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Agency Performance by Segmentation\"/>
    </mc:Choice>
  </mc:AlternateContent>
  <bookViews>
    <workbookView xWindow="0" yWindow="0" windowWidth="20400" windowHeight="7155" tabRatio="773" firstSheet="1" activeTab="9"/>
  </bookViews>
  <sheets>
    <sheet name="CAGR" sheetId="6" state="hidden" r:id="rId1"/>
    <sheet name="Q" sheetId="4" r:id="rId2"/>
    <sheet name="Plan Yearly Summary" sheetId="11" state="hidden" r:id="rId3"/>
    <sheet name="Total Agency" sheetId="10" state="hidden" r:id="rId4"/>
    <sheet name="Full Agency" sheetId="1" r:id="rId5"/>
    <sheet name="Agency North" sheetId="2" r:id="rId6"/>
    <sheet name="Agency South" sheetId="3" r:id="rId7"/>
    <sheet name="Chart" sheetId="5" r:id="rId8"/>
    <sheet name="GEN Lion GVL" sheetId="9" r:id="rId9"/>
    <sheet name="GEN Lion NORTH" sheetId="7" r:id="rId10"/>
    <sheet name="GEN Lion SOUTH" sheetId="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8">#REF!</definedName>
    <definedName name="abc" localSheetId="9">#REF!</definedName>
    <definedName name="abc" localSheetId="10">#REF!</definedName>
    <definedName name="abc">#REF!</definedName>
    <definedName name="BDName">[4]BDList!$A$2:$A$69</definedName>
    <definedName name="CIR1M">[1]CIR1!$A$6:$AA$38</definedName>
    <definedName name="cirage" localSheetId="8">#REF!</definedName>
    <definedName name="cirage" localSheetId="9">#REF!</definedName>
    <definedName name="cirage" localSheetId="10">#REF!</definedName>
    <definedName name="cirage">#REF!</definedName>
    <definedName name="DSR">[1]DSR2!$A$6:$AR$48</definedName>
    <definedName name="E" localSheetId="8">#REF!</definedName>
    <definedName name="E" localSheetId="9">#REF!</definedName>
    <definedName name="E" localSheetId="10">#REF!</definedName>
    <definedName name="E">#REF!</definedName>
    <definedName name="EENP2">[1]EENP2!$A$7:$AA$72</definedName>
    <definedName name="Eexrate" localSheetId="8">#REF!</definedName>
    <definedName name="Eexrate" localSheetId="9">#REF!</definedName>
    <definedName name="Eexrate" localSheetId="10">#REF!</definedName>
    <definedName name="Eexrate">#REF!</definedName>
    <definedName name="LTRage" localSheetId="8">#REF!</definedName>
    <definedName name="LTRage" localSheetId="9">#REF!</definedName>
    <definedName name="LTRage" localSheetId="10">#REF!</definedName>
    <definedName name="LTRage">#REF!</definedName>
    <definedName name="MORTF">'[1]Mort Fac'!$B$4:$D$30</definedName>
    <definedName name="Noi_RDMs" localSheetId="8">#REF!</definedName>
    <definedName name="Noi_RDMs" localSheetId="9">#REF!</definedName>
    <definedName name="Noi_RDMs" localSheetId="10">#REF!</definedName>
    <definedName name="Noi_RDMs">#REF!</definedName>
    <definedName name="OPW2M">[1]OPW2!$A$6:$AA$38</definedName>
    <definedName name="OPW3X" localSheetId="8">#REF!</definedName>
    <definedName name="OPW3X" localSheetId="9">#REF!</definedName>
    <definedName name="OPW3X" localSheetId="10">#REF!</definedName>
    <definedName name="OPW3X">#REF!</definedName>
    <definedName name="polterm" localSheetId="8">#REF!</definedName>
    <definedName name="polterm" localSheetId="9">#REF!</definedName>
    <definedName name="polterm" localSheetId="10">#REF!</definedName>
    <definedName name="polterm">#REF!</definedName>
    <definedName name="sex" localSheetId="8">#REF!</definedName>
    <definedName name="sex" localSheetId="9">#REF!</definedName>
    <definedName name="sex" localSheetId="10">#REF!</definedName>
    <definedName name="sex">#REF!</definedName>
    <definedName name="TerRate3">'[5]brief &amp; assumptions'!$E$103</definedName>
    <definedName name="TLR1X">[1]TLR1!$A$61:$AA$106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50" i="1" l="1"/>
  <c r="Z50" i="1"/>
  <c r="Z49" i="1"/>
  <c r="AT50" i="1"/>
  <c r="AP50" i="1"/>
  <c r="AR50" i="1"/>
  <c r="AS50" i="1"/>
  <c r="AS37" i="1"/>
  <c r="AS36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AO37" i="1"/>
  <c r="AP37" i="1"/>
  <c r="AQ37" i="1"/>
  <c r="AR37" i="1"/>
  <c r="AT37" i="1"/>
  <c r="C2" i="4" l="1"/>
  <c r="A138" i="7" l="1"/>
  <c r="A137" i="7"/>
  <c r="A136" i="7"/>
  <c r="A135" i="7"/>
  <c r="A134" i="7"/>
  <c r="A133" i="7"/>
  <c r="A132" i="7"/>
  <c r="A131" i="7"/>
  <c r="A130" i="7"/>
  <c r="A105" i="7"/>
  <c r="A104" i="7"/>
  <c r="A103" i="7"/>
  <c r="A102" i="7"/>
  <c r="A101" i="7"/>
  <c r="A100" i="7"/>
  <c r="A99" i="7"/>
  <c r="A98" i="7"/>
  <c r="A97" i="7"/>
  <c r="A86" i="7"/>
  <c r="A85" i="7"/>
  <c r="A84" i="7"/>
  <c r="A83" i="7"/>
  <c r="A82" i="7"/>
  <c r="A81" i="7"/>
  <c r="A80" i="7"/>
  <c r="A79" i="7"/>
  <c r="A78" i="7"/>
  <c r="A74" i="7"/>
  <c r="A73" i="7"/>
  <c r="A72" i="7"/>
  <c r="A71" i="7"/>
  <c r="A70" i="7"/>
  <c r="A69" i="7"/>
  <c r="A68" i="7"/>
  <c r="A67" i="7"/>
  <c r="A66" i="7"/>
  <c r="A62" i="7"/>
  <c r="A61" i="7"/>
  <c r="A60" i="7"/>
  <c r="A59" i="7"/>
  <c r="A58" i="7"/>
  <c r="A57" i="7"/>
  <c r="A56" i="7"/>
  <c r="A55" i="7"/>
  <c r="A54" i="7"/>
  <c r="A50" i="7"/>
  <c r="A49" i="7"/>
  <c r="A48" i="7"/>
  <c r="A47" i="7"/>
  <c r="A46" i="7"/>
  <c r="A45" i="7"/>
  <c r="A44" i="7"/>
  <c r="A43" i="7"/>
  <c r="A42" i="7"/>
  <c r="A38" i="7"/>
  <c r="A37" i="7"/>
  <c r="A36" i="7"/>
  <c r="A35" i="7"/>
  <c r="A34" i="7"/>
  <c r="A33" i="7"/>
  <c r="A32" i="7"/>
  <c r="A31" i="7"/>
  <c r="A30" i="7"/>
  <c r="A26" i="7"/>
  <c r="A25" i="7"/>
  <c r="A24" i="7"/>
  <c r="A23" i="7"/>
  <c r="A22" i="7"/>
  <c r="A21" i="7"/>
  <c r="A20" i="7"/>
  <c r="A19" i="7"/>
  <c r="A18" i="7"/>
  <c r="A14" i="7"/>
  <c r="A13" i="7"/>
  <c r="A12" i="7"/>
  <c r="A11" i="7"/>
  <c r="A10" i="7"/>
  <c r="A9" i="7"/>
  <c r="A8" i="7"/>
  <c r="A7" i="7"/>
  <c r="A6" i="7"/>
  <c r="A5" i="7"/>
  <c r="A131" i="8"/>
  <c r="A132" i="8"/>
  <c r="A133" i="8"/>
  <c r="A134" i="8"/>
  <c r="A135" i="8"/>
  <c r="A136" i="8"/>
  <c r="A137" i="8"/>
  <c r="A138" i="8"/>
  <c r="A130" i="8"/>
  <c r="A98" i="8"/>
  <c r="A99" i="8"/>
  <c r="A100" i="8"/>
  <c r="A101" i="8"/>
  <c r="A102" i="8"/>
  <c r="A103" i="8"/>
  <c r="A104" i="8"/>
  <c r="A105" i="8"/>
  <c r="A97" i="8"/>
  <c r="A79" i="8"/>
  <c r="A80" i="8"/>
  <c r="A81" i="8"/>
  <c r="A82" i="8"/>
  <c r="A83" i="8"/>
  <c r="A84" i="8"/>
  <c r="A85" i="8"/>
  <c r="A86" i="8"/>
  <c r="A78" i="8"/>
  <c r="A67" i="8"/>
  <c r="A68" i="8"/>
  <c r="A69" i="8"/>
  <c r="A70" i="8"/>
  <c r="A71" i="8"/>
  <c r="A72" i="8"/>
  <c r="A73" i="8"/>
  <c r="A74" i="8"/>
  <c r="A66" i="8"/>
  <c r="A55" i="8"/>
  <c r="A56" i="8"/>
  <c r="A57" i="8"/>
  <c r="A58" i="8"/>
  <c r="A59" i="8"/>
  <c r="A60" i="8"/>
  <c r="A61" i="8"/>
  <c r="A62" i="8"/>
  <c r="A54" i="8"/>
  <c r="A43" i="8"/>
  <c r="A44" i="8"/>
  <c r="A45" i="8"/>
  <c r="A46" i="8"/>
  <c r="A47" i="8"/>
  <c r="A48" i="8"/>
  <c r="A49" i="8"/>
  <c r="A50" i="8"/>
  <c r="A42" i="8"/>
  <c r="A31" i="8"/>
  <c r="A32" i="8"/>
  <c r="A33" i="8"/>
  <c r="A34" i="8"/>
  <c r="A35" i="8"/>
  <c r="A36" i="8"/>
  <c r="A37" i="8"/>
  <c r="A38" i="8"/>
  <c r="A30" i="8"/>
  <c r="A19" i="8"/>
  <c r="A20" i="8"/>
  <c r="A21" i="8"/>
  <c r="A22" i="8"/>
  <c r="A23" i="8"/>
  <c r="A24" i="8"/>
  <c r="A25" i="8"/>
  <c r="A26" i="8"/>
  <c r="A18" i="8"/>
  <c r="A14" i="8"/>
  <c r="A13" i="8"/>
  <c r="A12" i="8"/>
  <c r="A11" i="8"/>
  <c r="A10" i="8"/>
  <c r="A9" i="8"/>
  <c r="A8" i="8"/>
  <c r="A7" i="8"/>
  <c r="A6" i="8"/>
  <c r="A5" i="8"/>
  <c r="AR15" i="7"/>
  <c r="AQ117" i="3" l="1"/>
  <c r="AR117" i="3"/>
  <c r="AS117" i="3"/>
  <c r="AT117" i="3"/>
  <c r="AU117" i="3"/>
  <c r="AP117" i="3"/>
  <c r="U117" i="3"/>
  <c r="V117" i="3"/>
  <c r="W117" i="3"/>
  <c r="X117" i="3"/>
  <c r="Y117" i="3"/>
  <c r="Z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C117" i="3"/>
  <c r="AQ118" i="3"/>
  <c r="AR118" i="3"/>
  <c r="AS118" i="3"/>
  <c r="AT118" i="3"/>
  <c r="AU118" i="3"/>
  <c r="AP118" i="3"/>
  <c r="U118" i="3"/>
  <c r="V118" i="3"/>
  <c r="W118" i="3"/>
  <c r="X118" i="3"/>
  <c r="Y118" i="3"/>
  <c r="Z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AQ118" i="2"/>
  <c r="AR118" i="2"/>
  <c r="AS118" i="2"/>
  <c r="AT118" i="2"/>
  <c r="AU118" i="2"/>
  <c r="AW118" i="2"/>
  <c r="AP118" i="2"/>
  <c r="Z118" i="2"/>
  <c r="U118" i="2"/>
  <c r="V117" i="2"/>
  <c r="W117" i="2"/>
  <c r="X117" i="2"/>
  <c r="Y117" i="2"/>
  <c r="Z117" i="2"/>
  <c r="U117" i="2"/>
  <c r="T117" i="2"/>
  <c r="V118" i="2"/>
  <c r="W118" i="2"/>
  <c r="X118" i="2"/>
  <c r="Y118" i="2"/>
  <c r="T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C118" i="2"/>
  <c r="AV121" i="3" l="1"/>
  <c r="AV121" i="2"/>
  <c r="J9" i="4" l="1"/>
  <c r="J10" i="4"/>
  <c r="AD30" i="3" l="1"/>
  <c r="U42" i="3"/>
  <c r="BD83" i="9"/>
  <c r="BD71" i="9"/>
  <c r="AV130" i="8"/>
  <c r="AV131" i="8"/>
  <c r="AV132" i="8"/>
  <c r="AV133" i="8"/>
  <c r="AV134" i="8"/>
  <c r="AV135" i="8"/>
  <c r="AV136" i="8"/>
  <c r="AV137" i="8"/>
  <c r="AV97" i="8"/>
  <c r="AV98" i="8"/>
  <c r="AV99" i="8"/>
  <c r="AV100" i="8"/>
  <c r="AV101" i="8"/>
  <c r="AV102" i="8"/>
  <c r="AV103" i="8"/>
  <c r="AV104" i="8"/>
  <c r="AV91" i="8"/>
  <c r="AV90" i="8"/>
  <c r="AV54" i="8"/>
  <c r="AV55" i="8"/>
  <c r="AV56" i="8"/>
  <c r="AV57" i="8"/>
  <c r="AV58" i="8"/>
  <c r="AV59" i="8"/>
  <c r="AV60" i="8"/>
  <c r="AV61" i="8"/>
  <c r="AV30" i="8"/>
  <c r="AV31" i="8"/>
  <c r="AV32" i="8"/>
  <c r="AV33" i="8"/>
  <c r="AV34" i="8"/>
  <c r="AV35" i="8"/>
  <c r="AV36" i="8"/>
  <c r="AV37" i="8"/>
  <c r="AV18" i="8"/>
  <c r="AV19" i="8"/>
  <c r="AV20" i="8"/>
  <c r="AV21" i="8"/>
  <c r="AV22" i="8"/>
  <c r="AV23" i="8"/>
  <c r="AV24" i="8"/>
  <c r="AV25" i="8"/>
  <c r="AV14" i="8"/>
  <c r="AV5" i="8"/>
  <c r="AV6" i="8"/>
  <c r="AV7" i="8"/>
  <c r="AV8" i="8"/>
  <c r="AV9" i="8"/>
  <c r="AV10" i="8"/>
  <c r="AV11" i="8"/>
  <c r="AV84" i="8" s="1"/>
  <c r="AV12" i="8"/>
  <c r="AV139" i="7"/>
  <c r="AV130" i="7"/>
  <c r="AV131" i="7"/>
  <c r="AV132" i="7"/>
  <c r="AV133" i="7"/>
  <c r="AV134" i="7"/>
  <c r="AV135" i="7"/>
  <c r="AV136" i="7"/>
  <c r="AV137" i="7"/>
  <c r="AV97" i="7"/>
  <c r="AV98" i="7"/>
  <c r="AV99" i="7"/>
  <c r="AV100" i="7"/>
  <c r="AV101" i="7"/>
  <c r="AV102" i="7"/>
  <c r="AV103" i="7"/>
  <c r="AV104" i="7"/>
  <c r="AV91" i="7"/>
  <c r="AU89" i="9" s="1"/>
  <c r="AV90" i="7"/>
  <c r="AV82" i="8" l="1"/>
  <c r="AV78" i="8"/>
  <c r="AV92" i="8"/>
  <c r="AV83" i="8"/>
  <c r="AV79" i="8"/>
  <c r="AV138" i="7"/>
  <c r="AV140" i="7" s="1"/>
  <c r="AV80" i="8"/>
  <c r="AV138" i="8"/>
  <c r="AV92" i="7"/>
  <c r="AV105" i="7"/>
  <c r="AV85" i="8"/>
  <c r="AV81" i="8"/>
  <c r="AV26" i="8"/>
  <c r="AV38" i="8"/>
  <c r="AV71" i="8"/>
  <c r="AV67" i="8"/>
  <c r="AV73" i="8"/>
  <c r="AV69" i="8"/>
  <c r="AV70" i="8"/>
  <c r="AV66" i="8"/>
  <c r="AV72" i="8"/>
  <c r="AV68" i="8"/>
  <c r="AV62" i="8"/>
  <c r="AV74" i="8" s="1"/>
  <c r="AU102" i="9"/>
  <c r="AU88" i="9"/>
  <c r="AU90" i="9" s="1"/>
  <c r="AV13" i="8"/>
  <c r="AV86" i="8" l="1"/>
  <c r="AV15" i="8"/>
  <c r="AW78" i="7"/>
  <c r="AX78" i="7"/>
  <c r="AY78" i="7"/>
  <c r="AZ78" i="7"/>
  <c r="BA78" i="7"/>
  <c r="AV54" i="7"/>
  <c r="AV55" i="7"/>
  <c r="AV56" i="7"/>
  <c r="AV57" i="7"/>
  <c r="AV58" i="7"/>
  <c r="AV59" i="7"/>
  <c r="AV60" i="7"/>
  <c r="AV61" i="7"/>
  <c r="AU59" i="9" s="1"/>
  <c r="AX50" i="7"/>
  <c r="AY50" i="7"/>
  <c r="AZ50" i="7"/>
  <c r="BA50" i="7"/>
  <c r="AV30" i="7"/>
  <c r="AU28" i="9" s="1"/>
  <c r="AV31" i="7"/>
  <c r="AU29" i="9" s="1"/>
  <c r="AV32" i="7"/>
  <c r="AU30" i="9" s="1"/>
  <c r="AV33" i="7"/>
  <c r="AU31" i="9" s="1"/>
  <c r="AV34" i="7"/>
  <c r="AU32" i="9" s="1"/>
  <c r="AV35" i="7"/>
  <c r="AU33" i="9" s="1"/>
  <c r="AV36" i="7"/>
  <c r="AU34" i="9" s="1"/>
  <c r="AV37" i="7"/>
  <c r="AU35" i="9" s="1"/>
  <c r="BC35" i="9" s="1"/>
  <c r="AV18" i="7"/>
  <c r="AV19" i="7"/>
  <c r="AV20" i="7"/>
  <c r="AV21" i="7"/>
  <c r="AV22" i="7"/>
  <c r="AV23" i="7"/>
  <c r="AV24" i="7"/>
  <c r="AV25" i="7"/>
  <c r="AV14" i="7"/>
  <c r="AU13" i="9" s="1"/>
  <c r="AV5" i="7"/>
  <c r="AV6" i="7"/>
  <c r="AU5" i="9" s="1"/>
  <c r="AV7" i="7"/>
  <c r="AU6" i="9" s="1"/>
  <c r="AV8" i="7"/>
  <c r="AU7" i="9" s="1"/>
  <c r="AV9" i="7"/>
  <c r="AV10" i="7"/>
  <c r="AV11" i="7"/>
  <c r="AU10" i="9" s="1"/>
  <c r="AV12" i="7"/>
  <c r="AU11" i="9" s="1"/>
  <c r="AU83" i="9" s="1"/>
  <c r="AV85" i="7" l="1"/>
  <c r="AV71" i="7"/>
  <c r="AV70" i="7"/>
  <c r="AV62" i="7"/>
  <c r="AU36" i="9"/>
  <c r="AV69" i="7"/>
  <c r="AV66" i="7"/>
  <c r="AV67" i="7"/>
  <c r="AV72" i="7"/>
  <c r="AV68" i="7"/>
  <c r="AV83" i="7"/>
  <c r="AU9" i="9"/>
  <c r="AV82" i="7"/>
  <c r="AU8" i="9"/>
  <c r="AV13" i="7"/>
  <c r="AV15" i="7" s="1"/>
  <c r="AU14" i="9" s="1"/>
  <c r="AU4" i="9"/>
  <c r="AU133" i="9" s="1"/>
  <c r="AU21" i="9"/>
  <c r="BC21" i="9" s="1"/>
  <c r="AU17" i="9"/>
  <c r="BC17" i="9" s="1"/>
  <c r="AV84" i="7"/>
  <c r="AV79" i="7"/>
  <c r="AU20" i="9"/>
  <c r="BC20" i="9" s="1"/>
  <c r="BC59" i="9"/>
  <c r="BC71" i="9" s="1"/>
  <c r="AU71" i="9"/>
  <c r="AV73" i="7"/>
  <c r="AV81" i="7"/>
  <c r="AU22" i="9"/>
  <c r="BC22" i="9" s="1"/>
  <c r="AU18" i="9"/>
  <c r="BC18" i="9" s="1"/>
  <c r="AV38" i="7"/>
  <c r="AU16" i="9"/>
  <c r="AU151" i="9" s="1"/>
  <c r="AU23" i="9"/>
  <c r="AU19" i="9"/>
  <c r="BC19" i="9" s="1"/>
  <c r="AV26" i="7"/>
  <c r="AV80" i="7"/>
  <c r="AV78" i="7"/>
  <c r="AU129" i="9" l="1"/>
  <c r="AU128" i="9"/>
  <c r="AU130" i="9"/>
  <c r="AV74" i="7"/>
  <c r="AU12" i="9"/>
  <c r="AU135" i="9" s="1"/>
  <c r="AU149" i="9"/>
  <c r="AV86" i="7"/>
  <c r="AW50" i="7"/>
  <c r="AU165" i="9"/>
  <c r="AU150" i="9"/>
  <c r="AU166" i="9"/>
  <c r="AU134" i="9"/>
  <c r="AU140" i="9" s="1"/>
  <c r="AU132" i="9"/>
  <c r="BE23" i="9"/>
  <c r="BC23" i="9"/>
  <c r="BC16" i="9"/>
  <c r="AU24" i="9"/>
  <c r="AU145" i="9" s="1"/>
  <c r="AU131" i="9"/>
  <c r="AU164" i="9"/>
  <c r="AV54" i="1"/>
  <c r="AV55" i="1"/>
  <c r="AV56" i="1"/>
  <c r="AV57" i="1"/>
  <c r="AV58" i="1"/>
  <c r="AV59" i="1"/>
  <c r="AV60" i="1"/>
  <c r="AV62" i="1"/>
  <c r="AV140" i="2"/>
  <c r="AV131" i="3"/>
  <c r="AV132" i="3"/>
  <c r="AV133" i="3"/>
  <c r="AV134" i="3"/>
  <c r="AV135" i="3"/>
  <c r="AV136" i="3"/>
  <c r="AV137" i="3"/>
  <c r="AV138" i="3"/>
  <c r="AV131" i="2"/>
  <c r="AV132" i="2"/>
  <c r="AV133" i="2"/>
  <c r="AV134" i="2"/>
  <c r="AV135" i="2"/>
  <c r="AV136" i="2"/>
  <c r="AV137" i="2"/>
  <c r="AV138" i="2"/>
  <c r="AU139" i="9" l="1"/>
  <c r="AV139" i="2"/>
  <c r="AV141" i="2" s="1"/>
  <c r="AV139" i="3"/>
  <c r="AU144" i="9"/>
  <c r="AU143" i="9"/>
  <c r="AU146" i="9" s="1"/>
  <c r="BC24" i="9"/>
  <c r="BC145" i="9" s="1"/>
  <c r="AU138" i="9"/>
  <c r="AU141" i="9" s="1"/>
  <c r="A138" i="3"/>
  <c r="A139" i="3"/>
  <c r="A137" i="3"/>
  <c r="A136" i="3"/>
  <c r="A135" i="3"/>
  <c r="A134" i="3"/>
  <c r="A133" i="3"/>
  <c r="A132" i="3"/>
  <c r="A131" i="3"/>
  <c r="A132" i="2"/>
  <c r="A133" i="2"/>
  <c r="A134" i="2"/>
  <c r="A135" i="2"/>
  <c r="A136" i="2"/>
  <c r="A137" i="2"/>
  <c r="A138" i="2"/>
  <c r="A139" i="2"/>
  <c r="A131" i="2"/>
  <c r="BD121" i="3"/>
  <c r="AV127" i="3"/>
  <c r="BC144" i="9" l="1"/>
  <c r="BC143" i="9"/>
  <c r="AV127" i="2"/>
  <c r="BC146" i="9" l="1"/>
  <c r="AV115" i="2"/>
  <c r="AV114" i="2"/>
  <c r="BD114" i="2" s="1"/>
  <c r="AV113" i="2"/>
  <c r="AV112" i="2"/>
  <c r="BD112" i="2" s="1"/>
  <c r="AV111" i="2"/>
  <c r="AV110" i="2"/>
  <c r="AV109" i="2"/>
  <c r="BD109" i="2" s="1"/>
  <c r="BD115" i="3"/>
  <c r="AV115" i="3"/>
  <c r="AV114" i="3"/>
  <c r="BM114" i="3" s="1"/>
  <c r="AV113" i="3"/>
  <c r="BM113" i="3" s="1"/>
  <c r="AV112" i="3"/>
  <c r="BM112" i="3" s="1"/>
  <c r="AV111" i="3"/>
  <c r="BM111" i="3" s="1"/>
  <c r="AV110" i="3"/>
  <c r="AV109" i="3"/>
  <c r="AV97" i="3"/>
  <c r="AV98" i="3"/>
  <c r="AV99" i="3"/>
  <c r="AV100" i="3"/>
  <c r="AV101" i="3"/>
  <c r="AV102" i="3"/>
  <c r="AV103" i="3"/>
  <c r="AV104" i="3"/>
  <c r="AV97" i="2"/>
  <c r="AV98" i="2"/>
  <c r="AV99" i="2"/>
  <c r="AV100" i="2"/>
  <c r="AV101" i="2"/>
  <c r="AV102" i="2"/>
  <c r="AV103" i="2"/>
  <c r="AV104" i="2"/>
  <c r="AU104" i="1" s="1"/>
  <c r="AA19" i="3"/>
  <c r="AV91" i="3"/>
  <c r="AV90" i="3"/>
  <c r="AV91" i="2"/>
  <c r="AV90" i="2"/>
  <c r="BM109" i="3" l="1"/>
  <c r="AV117" i="3"/>
  <c r="BM110" i="3"/>
  <c r="AV118" i="3"/>
  <c r="BD110" i="2"/>
  <c r="AV118" i="2"/>
  <c r="BD112" i="3"/>
  <c r="BU112" i="3" s="1"/>
  <c r="AU115" i="1"/>
  <c r="BD111" i="3"/>
  <c r="BU111" i="3" s="1"/>
  <c r="AV116" i="2"/>
  <c r="BM111" i="2"/>
  <c r="AU111" i="1"/>
  <c r="BD115" i="2"/>
  <c r="BD111" i="2"/>
  <c r="AU90" i="1"/>
  <c r="BD114" i="3"/>
  <c r="BU114" i="3" s="1"/>
  <c r="BD110" i="3"/>
  <c r="BU110" i="3" s="1"/>
  <c r="BM112" i="2"/>
  <c r="AU112" i="1"/>
  <c r="BC115" i="1"/>
  <c r="BE115" i="1"/>
  <c r="AV116" i="3"/>
  <c r="BD113" i="3"/>
  <c r="BU113" i="3" s="1"/>
  <c r="BM109" i="2"/>
  <c r="AU109" i="1"/>
  <c r="BM113" i="2"/>
  <c r="AU113" i="1"/>
  <c r="BD109" i="3"/>
  <c r="BU109" i="3" s="1"/>
  <c r="BD113" i="2"/>
  <c r="AV92" i="3"/>
  <c r="BM110" i="2"/>
  <c r="AU110" i="1"/>
  <c r="BM114" i="2"/>
  <c r="AU114" i="1"/>
  <c r="AU91" i="1"/>
  <c r="AU92" i="1" s="1"/>
  <c r="C7" i="4" s="1"/>
  <c r="E7" i="4" s="1"/>
  <c r="AV92" i="2"/>
  <c r="AV54" i="3"/>
  <c r="AV55" i="3"/>
  <c r="AV56" i="3"/>
  <c r="AV57" i="3"/>
  <c r="AV58" i="3"/>
  <c r="AV59" i="3"/>
  <c r="AV60" i="3"/>
  <c r="AV61" i="3"/>
  <c r="AV54" i="2"/>
  <c r="AV55" i="2"/>
  <c r="AV56" i="2"/>
  <c r="AV57" i="2"/>
  <c r="AV58" i="2"/>
  <c r="AV59" i="2"/>
  <c r="AV60" i="2"/>
  <c r="AV61" i="2"/>
  <c r="AV30" i="2"/>
  <c r="AV31" i="2"/>
  <c r="AV32" i="2"/>
  <c r="AV33" i="2"/>
  <c r="AV34" i="2"/>
  <c r="AV35" i="2"/>
  <c r="AV36" i="2"/>
  <c r="AV37" i="2"/>
  <c r="AV30" i="3"/>
  <c r="AV31" i="3"/>
  <c r="AV32" i="3"/>
  <c r="AV33" i="3"/>
  <c r="AV34" i="3"/>
  <c r="AV35" i="3"/>
  <c r="AV36" i="3"/>
  <c r="AV37" i="3"/>
  <c r="BD37" i="3" s="1"/>
  <c r="AV18" i="3"/>
  <c r="AV19" i="3"/>
  <c r="AV20" i="3"/>
  <c r="AV21" i="3"/>
  <c r="AV22" i="3"/>
  <c r="AV23" i="3"/>
  <c r="AV24" i="3"/>
  <c r="AV25" i="3"/>
  <c r="BD25" i="3" s="1"/>
  <c r="AV25" i="2"/>
  <c r="AV18" i="2"/>
  <c r="AV19" i="2"/>
  <c r="AV20" i="2"/>
  <c r="AV21" i="2"/>
  <c r="AV22" i="2"/>
  <c r="AV23" i="2"/>
  <c r="AV24" i="2"/>
  <c r="BD116" i="2" l="1"/>
  <c r="AV66" i="3"/>
  <c r="AV70" i="3"/>
  <c r="AV72" i="3"/>
  <c r="AV68" i="3"/>
  <c r="AV72" i="2"/>
  <c r="AV68" i="2"/>
  <c r="AV26" i="2"/>
  <c r="AV39" i="3"/>
  <c r="AV70" i="2"/>
  <c r="AV66" i="2"/>
  <c r="BM24" i="2"/>
  <c r="AU22" i="1"/>
  <c r="BD22" i="3"/>
  <c r="BU22" i="3" s="1"/>
  <c r="BM22" i="3"/>
  <c r="BD18" i="3"/>
  <c r="BU18" i="3" s="1"/>
  <c r="BM18" i="3"/>
  <c r="AU33" i="1"/>
  <c r="AU29" i="1"/>
  <c r="BD116" i="3"/>
  <c r="BM23" i="2"/>
  <c r="AU21" i="1"/>
  <c r="BM19" i="2"/>
  <c r="AU17" i="1"/>
  <c r="BD21" i="3"/>
  <c r="BU21" i="3" s="1"/>
  <c r="BM21" i="3"/>
  <c r="AV26" i="3"/>
  <c r="AU32" i="1"/>
  <c r="AU28" i="1"/>
  <c r="AU61" i="1"/>
  <c r="AV73" i="2"/>
  <c r="AV69" i="2"/>
  <c r="AV62" i="2"/>
  <c r="AV63" i="2" s="1"/>
  <c r="AV71" i="3"/>
  <c r="AV67" i="3"/>
  <c r="BC110" i="1"/>
  <c r="BC109" i="1"/>
  <c r="AU116" i="1"/>
  <c r="AV39" i="2"/>
  <c r="BC111" i="1"/>
  <c r="BM20" i="2"/>
  <c r="AU18" i="1"/>
  <c r="BM22" i="2"/>
  <c r="AU20" i="1"/>
  <c r="BM18" i="2"/>
  <c r="AU16" i="1"/>
  <c r="BD24" i="3"/>
  <c r="BU24" i="3" s="1"/>
  <c r="BM24" i="3"/>
  <c r="BD20" i="3"/>
  <c r="BU20" i="3" s="1"/>
  <c r="BM20" i="3"/>
  <c r="AV38" i="3"/>
  <c r="AU35" i="1"/>
  <c r="BC35" i="1" s="1"/>
  <c r="AU31" i="1"/>
  <c r="BM21" i="2"/>
  <c r="AU19" i="1"/>
  <c r="AU23" i="1"/>
  <c r="BD23" i="3"/>
  <c r="BU23" i="3" s="1"/>
  <c r="BM23" i="3"/>
  <c r="BD19" i="3"/>
  <c r="BU19" i="3" s="1"/>
  <c r="BM19" i="3"/>
  <c r="AU34" i="1"/>
  <c r="AU30" i="1"/>
  <c r="AV38" i="2"/>
  <c r="AV71" i="2"/>
  <c r="AV67" i="2"/>
  <c r="AV73" i="3"/>
  <c r="AV69" i="3"/>
  <c r="AV62" i="3"/>
  <c r="BC114" i="1"/>
  <c r="BC113" i="1"/>
  <c r="BC112" i="1"/>
  <c r="AV13" i="3"/>
  <c r="AV13" i="2"/>
  <c r="AU24" i="1" l="1"/>
  <c r="AU25" i="1"/>
  <c r="AU37" i="1"/>
  <c r="AU36" i="1"/>
  <c r="AV74" i="3"/>
  <c r="AV63" i="3"/>
  <c r="AU13" i="1"/>
  <c r="BC18" i="1"/>
  <c r="AU73" i="1"/>
  <c r="BD26" i="3"/>
  <c r="BE23" i="1"/>
  <c r="BC23" i="1"/>
  <c r="BC20" i="1"/>
  <c r="AV74" i="2"/>
  <c r="BC28" i="1"/>
  <c r="AU153" i="1"/>
  <c r="AU152" i="1"/>
  <c r="BC16" i="1"/>
  <c r="C6" i="4"/>
  <c r="BC21" i="1"/>
  <c r="BC19" i="1"/>
  <c r="AU151" i="1"/>
  <c r="BC17" i="1"/>
  <c r="BC22" i="1"/>
  <c r="AV11" i="3"/>
  <c r="AV85" i="3" s="1"/>
  <c r="AV4" i="3"/>
  <c r="AV5" i="3"/>
  <c r="AV79" i="3" s="1"/>
  <c r="AV6" i="3"/>
  <c r="AV80" i="3" s="1"/>
  <c r="AV7" i="3"/>
  <c r="AV81" i="3" s="1"/>
  <c r="AV8" i="3"/>
  <c r="AV82" i="3" s="1"/>
  <c r="AV9" i="3"/>
  <c r="AV83" i="3" s="1"/>
  <c r="AV10" i="3"/>
  <c r="AV84" i="3" s="1"/>
  <c r="BE49" i="1" l="1"/>
  <c r="BE50" i="1"/>
  <c r="AU50" i="1"/>
  <c r="C8" i="4" s="1"/>
  <c r="BE25" i="1"/>
  <c r="C5" i="4"/>
  <c r="BC24" i="1"/>
  <c r="AU146" i="1"/>
  <c r="AU145" i="1"/>
  <c r="BD4" i="3"/>
  <c r="BU4" i="3" s="1"/>
  <c r="AV78" i="3"/>
  <c r="AU147" i="1"/>
  <c r="AV12" i="3"/>
  <c r="AV4" i="2"/>
  <c r="AV5" i="2"/>
  <c r="AV6" i="2"/>
  <c r="AV7" i="2"/>
  <c r="AV8" i="2"/>
  <c r="AV9" i="2"/>
  <c r="AV10" i="2"/>
  <c r="AV11" i="2"/>
  <c r="E8" i="4" l="1"/>
  <c r="D8" i="4"/>
  <c r="F8" i="4"/>
  <c r="H8" i="4" s="1"/>
  <c r="BV50" i="1"/>
  <c r="G8" i="4" s="1"/>
  <c r="F5" i="4"/>
  <c r="E5" i="4"/>
  <c r="H5" i="4" s="1"/>
  <c r="AV84" i="2"/>
  <c r="AU10" i="1"/>
  <c r="AV80" i="2"/>
  <c r="AU6" i="1"/>
  <c r="AV83" i="2"/>
  <c r="AU9" i="1"/>
  <c r="AV79" i="2"/>
  <c r="AU5" i="1"/>
  <c r="AV82" i="2"/>
  <c r="AU8" i="1"/>
  <c r="AV78" i="2"/>
  <c r="AU4" i="1"/>
  <c r="AV85" i="2"/>
  <c r="AU11" i="1"/>
  <c r="AU85" i="1" s="1"/>
  <c r="AV81" i="2"/>
  <c r="AU7" i="1"/>
  <c r="AV14" i="3"/>
  <c r="AV15" i="3" s="1"/>
  <c r="AV86" i="3"/>
  <c r="AU148" i="1"/>
  <c r="F6" i="4"/>
  <c r="AV12" i="2"/>
  <c r="AU132" i="1" l="1"/>
  <c r="BC4" i="1"/>
  <c r="AU136" i="1"/>
  <c r="AU168" i="1"/>
  <c r="AU130" i="1"/>
  <c r="AU167" i="1"/>
  <c r="AU12" i="1"/>
  <c r="AU131" i="1"/>
  <c r="AV14" i="2"/>
  <c r="AV86" i="2"/>
  <c r="AU133" i="1"/>
  <c r="AU166" i="1"/>
  <c r="AU134" i="1"/>
  <c r="AU135" i="1"/>
  <c r="AU14" i="1" l="1"/>
  <c r="C4" i="4" s="1"/>
  <c r="E4" i="4" s="1"/>
  <c r="AV15" i="2"/>
  <c r="AU137" i="1"/>
  <c r="AU4" i="2"/>
  <c r="C12" i="4" l="1"/>
  <c r="E12" i="4" s="1"/>
  <c r="BD138" i="3"/>
  <c r="BE138" i="3"/>
  <c r="BF115" i="3"/>
  <c r="BD104" i="3"/>
  <c r="BE104" i="3"/>
  <c r="BF25" i="3"/>
  <c r="BD11" i="3"/>
  <c r="BE11" i="3"/>
  <c r="AP73" i="2"/>
  <c r="D39" i="3" l="1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BM39" i="3" s="1"/>
  <c r="V39" i="3"/>
  <c r="W39" i="3"/>
  <c r="C39" i="3"/>
  <c r="O39" i="2"/>
  <c r="P39" i="2"/>
  <c r="Q39" i="2"/>
  <c r="R39" i="2"/>
  <c r="S39" i="2"/>
  <c r="T39" i="2"/>
  <c r="U39" i="2"/>
  <c r="BM39" i="2" s="1"/>
  <c r="V39" i="2"/>
  <c r="W39" i="2"/>
  <c r="D39" i="2"/>
  <c r="E39" i="2"/>
  <c r="F39" i="2"/>
  <c r="G39" i="2"/>
  <c r="H39" i="2"/>
  <c r="I39" i="2"/>
  <c r="J39" i="2"/>
  <c r="K39" i="2"/>
  <c r="L39" i="2"/>
  <c r="M39" i="2"/>
  <c r="N39" i="2"/>
  <c r="C39" i="2"/>
  <c r="C38" i="2"/>
  <c r="A127" i="3" l="1"/>
  <c r="A126" i="3"/>
  <c r="A125" i="3"/>
  <c r="A124" i="3"/>
  <c r="A123" i="3"/>
  <c r="A122" i="3"/>
  <c r="A121" i="3"/>
  <c r="A116" i="3"/>
  <c r="A115" i="3"/>
  <c r="A114" i="3"/>
  <c r="A113" i="3"/>
  <c r="A112" i="3"/>
  <c r="A111" i="3"/>
  <c r="A110" i="3"/>
  <c r="A109" i="3"/>
  <c r="A105" i="3"/>
  <c r="A104" i="3"/>
  <c r="A103" i="3"/>
  <c r="A102" i="3"/>
  <c r="A101" i="3"/>
  <c r="A100" i="3"/>
  <c r="A99" i="3"/>
  <c r="A98" i="3"/>
  <c r="A97" i="3"/>
  <c r="A86" i="3"/>
  <c r="A85" i="3"/>
  <c r="A84" i="3"/>
  <c r="A83" i="3"/>
  <c r="A82" i="3"/>
  <c r="A81" i="3"/>
  <c r="A80" i="3"/>
  <c r="A79" i="3"/>
  <c r="A78" i="3"/>
  <c r="A74" i="3"/>
  <c r="A73" i="3"/>
  <c r="A72" i="3"/>
  <c r="A71" i="3"/>
  <c r="A70" i="3"/>
  <c r="A69" i="3"/>
  <c r="A68" i="3"/>
  <c r="A67" i="3"/>
  <c r="A66" i="3"/>
  <c r="A62" i="3"/>
  <c r="A61" i="3"/>
  <c r="A60" i="3"/>
  <c r="A59" i="3"/>
  <c r="A58" i="3"/>
  <c r="A57" i="3"/>
  <c r="A56" i="3"/>
  <c r="A55" i="3"/>
  <c r="A54" i="3"/>
  <c r="A50" i="3"/>
  <c r="A49" i="3"/>
  <c r="A48" i="3"/>
  <c r="A47" i="3"/>
  <c r="A46" i="3"/>
  <c r="A45" i="3"/>
  <c r="A44" i="3"/>
  <c r="A43" i="3"/>
  <c r="A42" i="3"/>
  <c r="A38" i="3"/>
  <c r="A37" i="3"/>
  <c r="A36" i="3"/>
  <c r="A35" i="3"/>
  <c r="A34" i="3"/>
  <c r="A33" i="3"/>
  <c r="A32" i="3"/>
  <c r="A31" i="3"/>
  <c r="A30" i="3"/>
  <c r="A26" i="3"/>
  <c r="A25" i="3"/>
  <c r="A24" i="3"/>
  <c r="A23" i="3"/>
  <c r="A22" i="3"/>
  <c r="A21" i="3"/>
  <c r="A20" i="3"/>
  <c r="A19" i="3"/>
  <c r="A18" i="3"/>
  <c r="A13" i="3"/>
  <c r="A12" i="3"/>
  <c r="A11" i="3"/>
  <c r="A10" i="3"/>
  <c r="A9" i="3"/>
  <c r="A8" i="3"/>
  <c r="A7" i="3"/>
  <c r="A6" i="3"/>
  <c r="A5" i="3"/>
  <c r="A4" i="3"/>
  <c r="A2" i="3"/>
  <c r="A127" i="2"/>
  <c r="A126" i="2"/>
  <c r="A125" i="2"/>
  <c r="A124" i="2"/>
  <c r="A123" i="2"/>
  <c r="A122" i="2"/>
  <c r="A121" i="2"/>
  <c r="A116" i="2"/>
  <c r="A115" i="2"/>
  <c r="A114" i="2"/>
  <c r="A113" i="2"/>
  <c r="A112" i="2"/>
  <c r="A111" i="2"/>
  <c r="A110" i="2"/>
  <c r="A109" i="2"/>
  <c r="A105" i="2"/>
  <c r="A104" i="2"/>
  <c r="A103" i="2"/>
  <c r="A102" i="2"/>
  <c r="A101" i="2"/>
  <c r="A100" i="2"/>
  <c r="A99" i="2"/>
  <c r="A98" i="2"/>
  <c r="A97" i="2"/>
  <c r="A86" i="2"/>
  <c r="A85" i="2"/>
  <c r="A84" i="2"/>
  <c r="A83" i="2"/>
  <c r="A82" i="2"/>
  <c r="A81" i="2"/>
  <c r="A80" i="2"/>
  <c r="A79" i="2"/>
  <c r="A78" i="2"/>
  <c r="A74" i="2"/>
  <c r="A73" i="2"/>
  <c r="A72" i="2"/>
  <c r="A71" i="2"/>
  <c r="A70" i="2"/>
  <c r="A69" i="2"/>
  <c r="A68" i="2"/>
  <c r="A67" i="2"/>
  <c r="A66" i="2"/>
  <c r="A62" i="2"/>
  <c r="A61" i="2"/>
  <c r="A60" i="2"/>
  <c r="A59" i="2"/>
  <c r="A58" i="2"/>
  <c r="A57" i="2"/>
  <c r="A56" i="2"/>
  <c r="A55" i="2"/>
  <c r="A54" i="2"/>
  <c r="A50" i="2"/>
  <c r="A49" i="2"/>
  <c r="A48" i="2"/>
  <c r="A47" i="2"/>
  <c r="A46" i="2"/>
  <c r="A45" i="2"/>
  <c r="A44" i="2"/>
  <c r="A43" i="2"/>
  <c r="A42" i="2"/>
  <c r="A38" i="2"/>
  <c r="A37" i="2"/>
  <c r="A36" i="2"/>
  <c r="A35" i="2"/>
  <c r="A34" i="2"/>
  <c r="A33" i="2"/>
  <c r="A32" i="2"/>
  <c r="A31" i="2"/>
  <c r="A30" i="2"/>
  <c r="A26" i="2"/>
  <c r="A25" i="2"/>
  <c r="A24" i="2"/>
  <c r="A23" i="2"/>
  <c r="A22" i="2"/>
  <c r="A21" i="2"/>
  <c r="A20" i="2"/>
  <c r="A19" i="2"/>
  <c r="A18" i="2"/>
  <c r="A13" i="2"/>
  <c r="A12" i="2"/>
  <c r="A11" i="2"/>
  <c r="A10" i="2"/>
  <c r="A9" i="2"/>
  <c r="A8" i="2"/>
  <c r="A7" i="2"/>
  <c r="A6" i="2"/>
  <c r="A5" i="2"/>
  <c r="A4" i="2"/>
  <c r="A2" i="2"/>
  <c r="AZ123" i="9" l="1"/>
  <c r="AY123" i="9"/>
  <c r="AX123" i="9"/>
  <c r="AW123" i="9"/>
  <c r="AV123" i="9"/>
  <c r="AU123" i="9"/>
  <c r="AQ123" i="9"/>
  <c r="AZ122" i="9"/>
  <c r="AY122" i="9"/>
  <c r="AX122" i="9"/>
  <c r="AW122" i="9"/>
  <c r="AV122" i="9"/>
  <c r="AU122" i="9"/>
  <c r="AZ121" i="9"/>
  <c r="AY121" i="9"/>
  <c r="AX121" i="9"/>
  <c r="AW121" i="9"/>
  <c r="AV121" i="9"/>
  <c r="AU121" i="9"/>
  <c r="BC121" i="9" s="1"/>
  <c r="AZ120" i="9"/>
  <c r="AY120" i="9"/>
  <c r="AX120" i="9"/>
  <c r="AW120" i="9"/>
  <c r="AV120" i="9"/>
  <c r="AU120" i="9"/>
  <c r="AZ119" i="9"/>
  <c r="AY119" i="9"/>
  <c r="AX119" i="9"/>
  <c r="AW119" i="9"/>
  <c r="AV119" i="9"/>
  <c r="AU119" i="9"/>
  <c r="AS119" i="9"/>
  <c r="AR119" i="9"/>
  <c r="AQ119" i="9"/>
  <c r="AO119" i="9"/>
  <c r="AZ118" i="9"/>
  <c r="AY118" i="9"/>
  <c r="AX118" i="9"/>
  <c r="AW118" i="9"/>
  <c r="AV118" i="9"/>
  <c r="AU118" i="9"/>
  <c r="AZ101" i="9"/>
  <c r="AY101" i="9"/>
  <c r="AX101" i="9"/>
  <c r="AW101" i="9"/>
  <c r="AV101" i="9"/>
  <c r="AU101" i="9"/>
  <c r="AZ100" i="9"/>
  <c r="AY100" i="9"/>
  <c r="AX100" i="9"/>
  <c r="AW100" i="9"/>
  <c r="AV100" i="9"/>
  <c r="AU100" i="9"/>
  <c r="AZ99" i="9"/>
  <c r="AY99" i="9"/>
  <c r="AX99" i="9"/>
  <c r="BD99" i="9" s="1"/>
  <c r="AW99" i="9"/>
  <c r="AV99" i="9"/>
  <c r="AU99" i="9"/>
  <c r="AZ98" i="9"/>
  <c r="AY98" i="9"/>
  <c r="AX98" i="9"/>
  <c r="AW98" i="9"/>
  <c r="AV98" i="9"/>
  <c r="AU98" i="9"/>
  <c r="AZ97" i="9"/>
  <c r="AY97" i="9"/>
  <c r="AX97" i="9"/>
  <c r="BD97" i="9" s="1"/>
  <c r="AW97" i="9"/>
  <c r="AV97" i="9"/>
  <c r="AU97" i="9"/>
  <c r="AZ96" i="9"/>
  <c r="AY96" i="9"/>
  <c r="AX96" i="9"/>
  <c r="AW96" i="9"/>
  <c r="AV96" i="9"/>
  <c r="AU96" i="9"/>
  <c r="AZ95" i="9"/>
  <c r="AY95" i="9"/>
  <c r="AX95" i="9"/>
  <c r="BD95" i="9" s="1"/>
  <c r="AW95" i="9"/>
  <c r="AV95" i="9"/>
  <c r="AU95" i="9"/>
  <c r="AZ58" i="9"/>
  <c r="AY58" i="9"/>
  <c r="AX58" i="9"/>
  <c r="AW58" i="9"/>
  <c r="AV58" i="9"/>
  <c r="AU58" i="9"/>
  <c r="AZ57" i="9"/>
  <c r="AY57" i="9"/>
  <c r="AX57" i="9"/>
  <c r="AW57" i="9"/>
  <c r="AV57" i="9"/>
  <c r="AU57" i="9"/>
  <c r="BC57" i="9" s="1"/>
  <c r="AZ56" i="9"/>
  <c r="AY56" i="9"/>
  <c r="AX56" i="9"/>
  <c r="AW56" i="9"/>
  <c r="AV56" i="9"/>
  <c r="AU56" i="9"/>
  <c r="AZ55" i="9"/>
  <c r="AY55" i="9"/>
  <c r="AX55" i="9"/>
  <c r="AW55" i="9"/>
  <c r="AV55" i="9"/>
  <c r="AU55" i="9"/>
  <c r="AZ54" i="9"/>
  <c r="AY54" i="9"/>
  <c r="AX54" i="9"/>
  <c r="AW54" i="9"/>
  <c r="AV54" i="9"/>
  <c r="AU54" i="9"/>
  <c r="AZ53" i="9"/>
  <c r="AY53" i="9"/>
  <c r="AY60" i="9" s="1"/>
  <c r="AX53" i="9"/>
  <c r="AX60" i="9" s="1"/>
  <c r="AW53" i="9"/>
  <c r="AV53" i="9"/>
  <c r="AU53" i="9"/>
  <c r="AZ52" i="9"/>
  <c r="AY52" i="9"/>
  <c r="AX52" i="9"/>
  <c r="AW52" i="9"/>
  <c r="AW60" i="9" s="1"/>
  <c r="AV52" i="9"/>
  <c r="AV60" i="9" s="1"/>
  <c r="AU52" i="9"/>
  <c r="K141" i="9"/>
  <c r="V140" i="9"/>
  <c r="U140" i="9"/>
  <c r="T140" i="9"/>
  <c r="S140" i="9"/>
  <c r="R140" i="9"/>
  <c r="Q140" i="9"/>
  <c r="P140" i="9"/>
  <c r="O140" i="9"/>
  <c r="N140" i="9"/>
  <c r="M140" i="9"/>
  <c r="L140" i="9"/>
  <c r="K140" i="9"/>
  <c r="J140" i="9"/>
  <c r="I140" i="9"/>
  <c r="H140" i="9"/>
  <c r="G140" i="9"/>
  <c r="F140" i="9"/>
  <c r="E140" i="9"/>
  <c r="D140" i="9"/>
  <c r="C140" i="9"/>
  <c r="B140" i="9"/>
  <c r="V139" i="9"/>
  <c r="U139" i="9"/>
  <c r="T139" i="9"/>
  <c r="S139" i="9"/>
  <c r="R139" i="9"/>
  <c r="Q139" i="9"/>
  <c r="P139" i="9"/>
  <c r="O139" i="9"/>
  <c r="N139" i="9"/>
  <c r="M139" i="9"/>
  <c r="L139" i="9"/>
  <c r="K139" i="9"/>
  <c r="J139" i="9"/>
  <c r="I139" i="9"/>
  <c r="H139" i="9"/>
  <c r="G139" i="9"/>
  <c r="F139" i="9"/>
  <c r="E139" i="9"/>
  <c r="D139" i="9"/>
  <c r="C139" i="9"/>
  <c r="B139" i="9"/>
  <c r="V138" i="9"/>
  <c r="V141" i="9" s="1"/>
  <c r="U138" i="9"/>
  <c r="U141" i="9" s="1"/>
  <c r="T138" i="9"/>
  <c r="T141" i="9" s="1"/>
  <c r="S138" i="9"/>
  <c r="S141" i="9" s="1"/>
  <c r="R138" i="9"/>
  <c r="R141" i="9" s="1"/>
  <c r="Q138" i="9"/>
  <c r="Q141" i="9" s="1"/>
  <c r="P138" i="9"/>
  <c r="P141" i="9" s="1"/>
  <c r="O138" i="9"/>
  <c r="O141" i="9" s="1"/>
  <c r="N138" i="9"/>
  <c r="N141" i="9" s="1"/>
  <c r="M138" i="9"/>
  <c r="M141" i="9" s="1"/>
  <c r="L138" i="9"/>
  <c r="L141" i="9" s="1"/>
  <c r="K138" i="9"/>
  <c r="J138" i="9"/>
  <c r="J141" i="9" s="1"/>
  <c r="I138" i="9"/>
  <c r="I141" i="9" s="1"/>
  <c r="H138" i="9"/>
  <c r="H141" i="9" s="1"/>
  <c r="G138" i="9"/>
  <c r="G141" i="9" s="1"/>
  <c r="F138" i="9"/>
  <c r="F141" i="9" s="1"/>
  <c r="E138" i="9"/>
  <c r="E141" i="9" s="1"/>
  <c r="D138" i="9"/>
  <c r="D141" i="9" s="1"/>
  <c r="C138" i="9"/>
  <c r="C141" i="9" s="1"/>
  <c r="B138" i="9"/>
  <c r="B141" i="9" s="1"/>
  <c r="BE127" i="9"/>
  <c r="U123" i="9"/>
  <c r="N123" i="9"/>
  <c r="L123" i="9"/>
  <c r="D123" i="9"/>
  <c r="B123" i="9"/>
  <c r="U122" i="9"/>
  <c r="U121" i="9"/>
  <c r="BM121" i="9" s="1"/>
  <c r="U120" i="9"/>
  <c r="Y119" i="9"/>
  <c r="BQ119" i="9" s="1"/>
  <c r="X119" i="9"/>
  <c r="W119" i="9"/>
  <c r="U119" i="9"/>
  <c r="BM119" i="9" s="1"/>
  <c r="T119" i="9"/>
  <c r="S119" i="9"/>
  <c r="R119" i="9"/>
  <c r="Q119" i="9"/>
  <c r="BI119" i="9" s="1"/>
  <c r="P119" i="9"/>
  <c r="BH119" i="9" s="1"/>
  <c r="O119" i="9"/>
  <c r="N119" i="9"/>
  <c r="M119" i="9"/>
  <c r="L119" i="9"/>
  <c r="K119" i="9"/>
  <c r="J119" i="9"/>
  <c r="I119" i="9"/>
  <c r="H119" i="9"/>
  <c r="U118" i="9"/>
  <c r="BE117" i="9"/>
  <c r="AI117" i="9"/>
  <c r="BD114" i="9"/>
  <c r="BC114" i="9"/>
  <c r="AZ114" i="9"/>
  <c r="AY114" i="9"/>
  <c r="AX114" i="9"/>
  <c r="AW114" i="9"/>
  <c r="AV114" i="9"/>
  <c r="AU114" i="9"/>
  <c r="U112" i="9"/>
  <c r="T112" i="9"/>
  <c r="S112" i="9"/>
  <c r="AB112" i="9" s="1"/>
  <c r="U111" i="9"/>
  <c r="T111" i="9"/>
  <c r="S111" i="9"/>
  <c r="U110" i="9"/>
  <c r="T110" i="9"/>
  <c r="S110" i="9"/>
  <c r="AB110" i="9" s="1"/>
  <c r="U109" i="9"/>
  <c r="T109" i="9"/>
  <c r="S109" i="9"/>
  <c r="U108" i="9"/>
  <c r="T108" i="9"/>
  <c r="S108" i="9"/>
  <c r="U107" i="9"/>
  <c r="T107" i="9"/>
  <c r="S107" i="9"/>
  <c r="BE106" i="9"/>
  <c r="AI106" i="9"/>
  <c r="AH106" i="9"/>
  <c r="AH117" i="9" s="1"/>
  <c r="AG106" i="9"/>
  <c r="AG117" i="9" s="1"/>
  <c r="AF106" i="9"/>
  <c r="AF117" i="9" s="1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E106" i="9"/>
  <c r="D106" i="9"/>
  <c r="C106" i="9"/>
  <c r="B106" i="9"/>
  <c r="BD102" i="9"/>
  <c r="BC102" i="9"/>
  <c r="V101" i="9"/>
  <c r="BN101" i="9" s="1"/>
  <c r="U101" i="9"/>
  <c r="BM101" i="9" s="1"/>
  <c r="T101" i="9"/>
  <c r="BC100" i="9"/>
  <c r="V100" i="9"/>
  <c r="BN100" i="9" s="1"/>
  <c r="U100" i="9"/>
  <c r="T100" i="9"/>
  <c r="V99" i="9"/>
  <c r="BN99" i="9" s="1"/>
  <c r="U99" i="9"/>
  <c r="T99" i="9"/>
  <c r="V98" i="9"/>
  <c r="U98" i="9"/>
  <c r="T98" i="9"/>
  <c r="BL98" i="9" s="1"/>
  <c r="V97" i="9"/>
  <c r="BN97" i="9" s="1"/>
  <c r="U97" i="9"/>
  <c r="BM97" i="9" s="1"/>
  <c r="T97" i="9"/>
  <c r="BC96" i="9"/>
  <c r="V96" i="9"/>
  <c r="U96" i="9"/>
  <c r="T96" i="9"/>
  <c r="V95" i="9"/>
  <c r="U95" i="9"/>
  <c r="T95" i="9"/>
  <c r="BE94" i="9"/>
  <c r="AE94" i="9"/>
  <c r="AE106" i="9" s="1"/>
  <c r="AE117" i="9" s="1"/>
  <c r="Z94" i="9"/>
  <c r="BD90" i="9"/>
  <c r="BC90" i="9"/>
  <c r="BD89" i="9"/>
  <c r="BC89" i="9"/>
  <c r="V89" i="9"/>
  <c r="BN89" i="9" s="1"/>
  <c r="U89" i="9"/>
  <c r="T89" i="9"/>
  <c r="BL89" i="9" s="1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E89" i="9"/>
  <c r="D89" i="9"/>
  <c r="C89" i="9"/>
  <c r="B89" i="9"/>
  <c r="BD88" i="9"/>
  <c r="BC88" i="9"/>
  <c r="V88" i="9"/>
  <c r="U88" i="9"/>
  <c r="T88" i="9"/>
  <c r="S88" i="9"/>
  <c r="S90" i="9" s="1"/>
  <c r="S125" i="9" s="1"/>
  <c r="R88" i="9"/>
  <c r="Q88" i="9"/>
  <c r="P88" i="9"/>
  <c r="O88" i="9"/>
  <c r="O90" i="9" s="1"/>
  <c r="O125" i="9" s="1"/>
  <c r="N88" i="9"/>
  <c r="M88" i="9"/>
  <c r="L88" i="9"/>
  <c r="K88" i="9"/>
  <c r="K90" i="9" s="1"/>
  <c r="K125" i="9" s="1"/>
  <c r="J88" i="9"/>
  <c r="I88" i="9"/>
  <c r="H88" i="9"/>
  <c r="G88" i="9"/>
  <c r="G90" i="9" s="1"/>
  <c r="G125" i="9" s="1"/>
  <c r="F88" i="9"/>
  <c r="E88" i="9"/>
  <c r="D88" i="9"/>
  <c r="C88" i="9"/>
  <c r="C90" i="9" s="1"/>
  <c r="C125" i="9" s="1"/>
  <c r="B88" i="9"/>
  <c r="BE87" i="9"/>
  <c r="BE75" i="9"/>
  <c r="BE63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58" i="9"/>
  <c r="B58" i="9"/>
  <c r="V57" i="9"/>
  <c r="BN57" i="9" s="1"/>
  <c r="U57" i="9"/>
  <c r="BM57" i="9" s="1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57" i="9"/>
  <c r="B57" i="9"/>
  <c r="V56" i="9"/>
  <c r="BN56" i="9" s="1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56" i="9"/>
  <c r="B56" i="9"/>
  <c r="V55" i="9"/>
  <c r="BN55" i="9" s="1"/>
  <c r="U55" i="9"/>
  <c r="BM55" i="9" s="1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B54" i="9"/>
  <c r="V53" i="9"/>
  <c r="BN53" i="9" s="1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B53" i="9"/>
  <c r="AZ60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B52" i="9"/>
  <c r="BE51" i="9"/>
  <c r="AZ48" i="9"/>
  <c r="AY48" i="9"/>
  <c r="AX48" i="9"/>
  <c r="AW48" i="9"/>
  <c r="AV48" i="9"/>
  <c r="AZ46" i="9"/>
  <c r="AY46" i="9"/>
  <c r="AX46" i="9"/>
  <c r="AW46" i="9"/>
  <c r="AV46" i="9"/>
  <c r="AZ45" i="9"/>
  <c r="AY45" i="9"/>
  <c r="AX45" i="9"/>
  <c r="AW45" i="9"/>
  <c r="AV45" i="9"/>
  <c r="AZ44" i="9"/>
  <c r="AY44" i="9"/>
  <c r="AX44" i="9"/>
  <c r="AW44" i="9"/>
  <c r="AV44" i="9"/>
  <c r="AZ43" i="9"/>
  <c r="AY43" i="9"/>
  <c r="AX43" i="9"/>
  <c r="AW43" i="9"/>
  <c r="AV43" i="9"/>
  <c r="AZ42" i="9"/>
  <c r="AY42" i="9"/>
  <c r="AX42" i="9"/>
  <c r="AW42" i="9"/>
  <c r="AV42" i="9"/>
  <c r="AZ41" i="9"/>
  <c r="AY41" i="9"/>
  <c r="AX41" i="9"/>
  <c r="AW41" i="9"/>
  <c r="AV41" i="9"/>
  <c r="AZ40" i="9"/>
  <c r="AY40" i="9"/>
  <c r="AX40" i="9"/>
  <c r="AW40" i="9"/>
  <c r="AV40" i="9"/>
  <c r="BE39" i="9"/>
  <c r="Y39" i="9"/>
  <c r="Y75" i="9" s="1"/>
  <c r="X39" i="9"/>
  <c r="X75" i="9" s="1"/>
  <c r="W39" i="9"/>
  <c r="W75" i="9" s="1"/>
  <c r="V39" i="9"/>
  <c r="V75" i="9" s="1"/>
  <c r="U39" i="9"/>
  <c r="U75" i="9" s="1"/>
  <c r="T39" i="9"/>
  <c r="T75" i="9" s="1"/>
  <c r="S39" i="9"/>
  <c r="S75" i="9" s="1"/>
  <c r="R39" i="9"/>
  <c r="R75" i="9" s="1"/>
  <c r="Q39" i="9"/>
  <c r="Q75" i="9" s="1"/>
  <c r="P39" i="9"/>
  <c r="P75" i="9" s="1"/>
  <c r="O39" i="9"/>
  <c r="O75" i="9" s="1"/>
  <c r="N39" i="9"/>
  <c r="N75" i="9" s="1"/>
  <c r="M39" i="9"/>
  <c r="M75" i="9" s="1"/>
  <c r="L39" i="9"/>
  <c r="L75" i="9" s="1"/>
  <c r="K39" i="9"/>
  <c r="K75" i="9" s="1"/>
  <c r="J39" i="9"/>
  <c r="J75" i="9" s="1"/>
  <c r="I39" i="9"/>
  <c r="I75" i="9" s="1"/>
  <c r="H39" i="9"/>
  <c r="H75" i="9" s="1"/>
  <c r="G39" i="9"/>
  <c r="G75" i="9" s="1"/>
  <c r="F39" i="9"/>
  <c r="F75" i="9" s="1"/>
  <c r="E39" i="9"/>
  <c r="E75" i="9" s="1"/>
  <c r="D39" i="9"/>
  <c r="D75" i="9" s="1"/>
  <c r="C39" i="9"/>
  <c r="C75" i="9" s="1"/>
  <c r="B39" i="9"/>
  <c r="B75" i="9" s="1"/>
  <c r="BD36" i="9"/>
  <c r="BC36" i="9"/>
  <c r="BD34" i="9"/>
  <c r="BC34" i="9"/>
  <c r="V34" i="9"/>
  <c r="BN34" i="9" s="1"/>
  <c r="U34" i="9"/>
  <c r="T34" i="9"/>
  <c r="BL34" i="9" s="1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BD33" i="9"/>
  <c r="BC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BD32" i="9"/>
  <c r="BC32" i="9"/>
  <c r="V32" i="9"/>
  <c r="BN32" i="9" s="1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BD31" i="9"/>
  <c r="BC31" i="9"/>
  <c r="V31" i="9"/>
  <c r="U31" i="9"/>
  <c r="BM31" i="9" s="1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BD30" i="9"/>
  <c r="BC30" i="9"/>
  <c r="V30" i="9"/>
  <c r="BN30" i="9" s="1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BD29" i="9"/>
  <c r="BC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D28" i="9"/>
  <c r="BC28" i="9"/>
  <c r="V28" i="9"/>
  <c r="BN28" i="9" s="1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BE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V22" i="9"/>
  <c r="AC22" i="9" s="1"/>
  <c r="U22" i="9"/>
  <c r="T22" i="9"/>
  <c r="S22" i="9"/>
  <c r="AB22" i="9" s="1"/>
  <c r="R22" i="9"/>
  <c r="Q22" i="9"/>
  <c r="P22" i="9"/>
  <c r="O22" i="9"/>
  <c r="N22" i="9"/>
  <c r="M22" i="9"/>
  <c r="AI22" i="9" s="1"/>
  <c r="L22" i="9"/>
  <c r="K22" i="9"/>
  <c r="J22" i="9"/>
  <c r="AH22" i="9" s="1"/>
  <c r="I22" i="9"/>
  <c r="H22" i="9"/>
  <c r="G22" i="9"/>
  <c r="F22" i="9"/>
  <c r="E22" i="9"/>
  <c r="D22" i="9"/>
  <c r="AF22" i="9" s="1"/>
  <c r="C22" i="9"/>
  <c r="B22" i="9"/>
  <c r="V21" i="9"/>
  <c r="AC21" i="9" s="1"/>
  <c r="U21" i="9"/>
  <c r="T21" i="9"/>
  <c r="S21" i="9"/>
  <c r="AB21" i="9" s="1"/>
  <c r="R21" i="9"/>
  <c r="Q21" i="9"/>
  <c r="P21" i="9"/>
  <c r="AA21" i="9" s="1"/>
  <c r="O21" i="9"/>
  <c r="N21" i="9"/>
  <c r="M21" i="9"/>
  <c r="L21" i="9"/>
  <c r="K21" i="9"/>
  <c r="J21" i="9"/>
  <c r="AH21" i="9" s="1"/>
  <c r="I21" i="9"/>
  <c r="H21" i="9"/>
  <c r="G21" i="9"/>
  <c r="AG21" i="9" s="1"/>
  <c r="F21" i="9"/>
  <c r="E21" i="9"/>
  <c r="D21" i="9"/>
  <c r="AF21" i="9" s="1"/>
  <c r="C21" i="9"/>
  <c r="B21" i="9"/>
  <c r="V20" i="9"/>
  <c r="AC20" i="9" s="1"/>
  <c r="U20" i="9"/>
  <c r="T20" i="9"/>
  <c r="S20" i="9"/>
  <c r="R20" i="9"/>
  <c r="Q20" i="9"/>
  <c r="P20" i="9"/>
  <c r="AA20" i="9" s="1"/>
  <c r="O20" i="9"/>
  <c r="N20" i="9"/>
  <c r="M20" i="9"/>
  <c r="AI20" i="9" s="1"/>
  <c r="L20" i="9"/>
  <c r="K20" i="9"/>
  <c r="J20" i="9"/>
  <c r="AH20" i="9" s="1"/>
  <c r="I20" i="9"/>
  <c r="H20" i="9"/>
  <c r="G20" i="9"/>
  <c r="AG20" i="9" s="1"/>
  <c r="F20" i="9"/>
  <c r="E20" i="9"/>
  <c r="D20" i="9"/>
  <c r="AF20" i="9" s="1"/>
  <c r="C20" i="9"/>
  <c r="B20" i="9"/>
  <c r="V19" i="9"/>
  <c r="AC19" i="9" s="1"/>
  <c r="U19" i="9"/>
  <c r="T19" i="9"/>
  <c r="S19" i="9"/>
  <c r="AB19" i="9" s="1"/>
  <c r="R19" i="9"/>
  <c r="Q19" i="9"/>
  <c r="P19" i="9"/>
  <c r="AA19" i="9" s="1"/>
  <c r="O19" i="9"/>
  <c r="N19" i="9"/>
  <c r="M19" i="9"/>
  <c r="AI19" i="9" s="1"/>
  <c r="L19" i="9"/>
  <c r="K19" i="9"/>
  <c r="J19" i="9"/>
  <c r="AH19" i="9" s="1"/>
  <c r="I19" i="9"/>
  <c r="H19" i="9"/>
  <c r="G19" i="9"/>
  <c r="AE19" i="9" s="1"/>
  <c r="F19" i="9"/>
  <c r="E19" i="9"/>
  <c r="D19" i="9"/>
  <c r="AF19" i="9" s="1"/>
  <c r="C19" i="9"/>
  <c r="B19" i="9"/>
  <c r="V18" i="9"/>
  <c r="AC18" i="9" s="1"/>
  <c r="U18" i="9"/>
  <c r="T18" i="9"/>
  <c r="S18" i="9"/>
  <c r="AB18" i="9" s="1"/>
  <c r="R18" i="9"/>
  <c r="Q18" i="9"/>
  <c r="P18" i="9"/>
  <c r="O18" i="9"/>
  <c r="N18" i="9"/>
  <c r="M18" i="9"/>
  <c r="L18" i="9"/>
  <c r="K18" i="9"/>
  <c r="J18" i="9"/>
  <c r="AH18" i="9" s="1"/>
  <c r="I18" i="9"/>
  <c r="H18" i="9"/>
  <c r="G18" i="9"/>
  <c r="F18" i="9"/>
  <c r="E18" i="9"/>
  <c r="D18" i="9"/>
  <c r="AF18" i="9" s="1"/>
  <c r="C18" i="9"/>
  <c r="B18" i="9"/>
  <c r="V17" i="9"/>
  <c r="AC17" i="9" s="1"/>
  <c r="U17" i="9"/>
  <c r="T17" i="9"/>
  <c r="S17" i="9"/>
  <c r="R17" i="9"/>
  <c r="Q17" i="9"/>
  <c r="P17" i="9"/>
  <c r="AA17" i="9" s="1"/>
  <c r="O17" i="9"/>
  <c r="N17" i="9"/>
  <c r="M17" i="9"/>
  <c r="L17" i="9"/>
  <c r="K17" i="9"/>
  <c r="J17" i="9"/>
  <c r="AH17" i="9" s="1"/>
  <c r="I17" i="9"/>
  <c r="H17" i="9"/>
  <c r="G17" i="9"/>
  <c r="AG17" i="9" s="1"/>
  <c r="F17" i="9"/>
  <c r="E17" i="9"/>
  <c r="D17" i="9"/>
  <c r="AF17" i="9" s="1"/>
  <c r="C17" i="9"/>
  <c r="B17" i="9"/>
  <c r="V16" i="9"/>
  <c r="AC16" i="9" s="1"/>
  <c r="U16" i="9"/>
  <c r="T16" i="9"/>
  <c r="S16" i="9"/>
  <c r="R16" i="9"/>
  <c r="Q16" i="9"/>
  <c r="P16" i="9"/>
  <c r="AA16" i="9" s="1"/>
  <c r="O16" i="9"/>
  <c r="N16" i="9"/>
  <c r="M16" i="9"/>
  <c r="AI16" i="9" s="1"/>
  <c r="L16" i="9"/>
  <c r="K16" i="9"/>
  <c r="J16" i="9"/>
  <c r="I16" i="9"/>
  <c r="H16" i="9"/>
  <c r="G16" i="9"/>
  <c r="F16" i="9"/>
  <c r="E16" i="9"/>
  <c r="D16" i="9"/>
  <c r="C16" i="9"/>
  <c r="B16" i="9"/>
  <c r="BV15" i="9"/>
  <c r="BE15" i="9"/>
  <c r="AI15" i="9"/>
  <c r="AH15" i="9"/>
  <c r="AG15" i="9"/>
  <c r="AF15" i="9"/>
  <c r="Y15" i="9"/>
  <c r="Y51" i="9" s="1"/>
  <c r="X15" i="9"/>
  <c r="X51" i="9" s="1"/>
  <c r="W15" i="9"/>
  <c r="W51" i="9" s="1"/>
  <c r="V15" i="9"/>
  <c r="V51" i="9" s="1"/>
  <c r="U15" i="9"/>
  <c r="U51" i="9" s="1"/>
  <c r="T15" i="9"/>
  <c r="T51" i="9" s="1"/>
  <c r="S15" i="9"/>
  <c r="S51" i="9" s="1"/>
  <c r="R15" i="9"/>
  <c r="R51" i="9" s="1"/>
  <c r="Q15" i="9"/>
  <c r="Q51" i="9" s="1"/>
  <c r="P15" i="9"/>
  <c r="P51" i="9" s="1"/>
  <c r="O15" i="9"/>
  <c r="O51" i="9" s="1"/>
  <c r="N15" i="9"/>
  <c r="N51" i="9" s="1"/>
  <c r="M15" i="9"/>
  <c r="M51" i="9" s="1"/>
  <c r="L15" i="9"/>
  <c r="L51" i="9" s="1"/>
  <c r="K15" i="9"/>
  <c r="K51" i="9" s="1"/>
  <c r="J15" i="9"/>
  <c r="J51" i="9" s="1"/>
  <c r="I15" i="9"/>
  <c r="I51" i="9" s="1"/>
  <c r="H15" i="9"/>
  <c r="H51" i="9" s="1"/>
  <c r="G15" i="9"/>
  <c r="G51" i="9" s="1"/>
  <c r="F15" i="9"/>
  <c r="F51" i="9" s="1"/>
  <c r="E15" i="9"/>
  <c r="E51" i="9" s="1"/>
  <c r="D15" i="9"/>
  <c r="D51" i="9" s="1"/>
  <c r="C15" i="9"/>
  <c r="C51" i="9" s="1"/>
  <c r="B15" i="9"/>
  <c r="B51" i="9" s="1"/>
  <c r="BD14" i="9"/>
  <c r="BC14" i="9"/>
  <c r="BD13" i="9"/>
  <c r="BC13" i="9"/>
  <c r="M13" i="9"/>
  <c r="L13" i="9"/>
  <c r="K13" i="9"/>
  <c r="J13" i="9"/>
  <c r="I13" i="9"/>
  <c r="H13" i="9"/>
  <c r="G13" i="9"/>
  <c r="F13" i="9"/>
  <c r="E13" i="9"/>
  <c r="D13" i="9"/>
  <c r="C13" i="9"/>
  <c r="B13" i="9"/>
  <c r="BD12" i="9"/>
  <c r="BC12" i="9"/>
  <c r="BD10" i="9"/>
  <c r="BC10" i="9"/>
  <c r="V10" i="9"/>
  <c r="U10" i="9"/>
  <c r="T10" i="9"/>
  <c r="S10" i="9"/>
  <c r="S82" i="9" s="1"/>
  <c r="R10" i="9"/>
  <c r="Q10" i="9"/>
  <c r="P10" i="9"/>
  <c r="O10" i="9"/>
  <c r="O82" i="9" s="1"/>
  <c r="N10" i="9"/>
  <c r="M10" i="9"/>
  <c r="L10" i="9"/>
  <c r="K10" i="9"/>
  <c r="K82" i="9" s="1"/>
  <c r="J10" i="9"/>
  <c r="I10" i="9"/>
  <c r="H10" i="9"/>
  <c r="G10" i="9"/>
  <c r="G82" i="9" s="1"/>
  <c r="F10" i="9"/>
  <c r="E10" i="9"/>
  <c r="D10" i="9"/>
  <c r="C10" i="9"/>
  <c r="C82" i="9" s="1"/>
  <c r="B10" i="9"/>
  <c r="BD9" i="9"/>
  <c r="BC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BD8" i="9"/>
  <c r="BC8" i="9"/>
  <c r="V8" i="9"/>
  <c r="U8" i="9"/>
  <c r="BM8" i="9" s="1"/>
  <c r="T8" i="9"/>
  <c r="BL8" i="9" s="1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BD7" i="9"/>
  <c r="BC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BD6" i="9"/>
  <c r="BC6" i="9"/>
  <c r="V6" i="9"/>
  <c r="U6" i="9"/>
  <c r="T6" i="9"/>
  <c r="S6" i="9"/>
  <c r="S78" i="9" s="1"/>
  <c r="R6" i="9"/>
  <c r="Q6" i="9"/>
  <c r="P6" i="9"/>
  <c r="O6" i="9"/>
  <c r="O78" i="9" s="1"/>
  <c r="N6" i="9"/>
  <c r="M6" i="9"/>
  <c r="L6" i="9"/>
  <c r="K6" i="9"/>
  <c r="K78" i="9" s="1"/>
  <c r="J6" i="9"/>
  <c r="I6" i="9"/>
  <c r="H6" i="9"/>
  <c r="G6" i="9"/>
  <c r="G78" i="9" s="1"/>
  <c r="F6" i="9"/>
  <c r="E6" i="9"/>
  <c r="D6" i="9"/>
  <c r="C6" i="9"/>
  <c r="C78" i="9" s="1"/>
  <c r="B6" i="9"/>
  <c r="BD5" i="9"/>
  <c r="BC5" i="9"/>
  <c r="V5" i="9"/>
  <c r="BN5" i="9" s="1"/>
  <c r="U5" i="9"/>
  <c r="BM5" i="9" s="1"/>
  <c r="T5" i="9"/>
  <c r="BL5" i="9" s="1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BD4" i="9"/>
  <c r="BC4" i="9"/>
  <c r="V4" i="9"/>
  <c r="U4" i="9"/>
  <c r="BM4" i="9" s="1"/>
  <c r="T4" i="9"/>
  <c r="BL4" i="9" s="1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BE3" i="9"/>
  <c r="AE3" i="9"/>
  <c r="AE15" i="9" s="1"/>
  <c r="Z3" i="9"/>
  <c r="Z15" i="9" s="1"/>
  <c r="Z27" i="9" s="1"/>
  <c r="Z39" i="9" s="1"/>
  <c r="B2" i="9"/>
  <c r="AT30" i="8"/>
  <c r="AT31" i="8"/>
  <c r="AT32" i="8"/>
  <c r="AT33" i="8"/>
  <c r="AT34" i="8"/>
  <c r="AT35" i="8"/>
  <c r="AT36" i="8"/>
  <c r="AT37" i="8"/>
  <c r="AT30" i="7"/>
  <c r="AS28" i="9" s="1"/>
  <c r="AT31" i="7"/>
  <c r="AS29" i="9" s="1"/>
  <c r="AT32" i="7"/>
  <c r="AS30" i="9" s="1"/>
  <c r="AT33" i="7"/>
  <c r="AS31" i="9" s="1"/>
  <c r="AT34" i="7"/>
  <c r="AS32" i="9" s="1"/>
  <c r="AT35" i="7"/>
  <c r="AS33" i="9" s="1"/>
  <c r="AT36" i="7"/>
  <c r="AS34" i="9" s="1"/>
  <c r="AT37" i="7"/>
  <c r="AS35" i="9" s="1"/>
  <c r="AT18" i="8"/>
  <c r="AT19" i="8"/>
  <c r="AT20" i="8"/>
  <c r="AT21" i="8"/>
  <c r="AT22" i="8"/>
  <c r="AT23" i="8"/>
  <c r="AT24" i="8"/>
  <c r="AT25" i="8"/>
  <c r="AT18" i="7"/>
  <c r="AS16" i="9" s="1"/>
  <c r="AT19" i="7"/>
  <c r="AS17" i="9" s="1"/>
  <c r="AT20" i="7"/>
  <c r="AS18" i="9" s="1"/>
  <c r="AT21" i="7"/>
  <c r="AS19" i="9" s="1"/>
  <c r="AT22" i="7"/>
  <c r="AS20" i="9" s="1"/>
  <c r="AT23" i="7"/>
  <c r="AS21" i="9" s="1"/>
  <c r="AT24" i="7"/>
  <c r="AS22" i="9" s="1"/>
  <c r="AT25" i="7"/>
  <c r="AS23" i="9" s="1"/>
  <c r="AT54" i="7"/>
  <c r="AT55" i="7"/>
  <c r="AT56" i="7"/>
  <c r="AT57" i="7"/>
  <c r="AT58" i="7"/>
  <c r="AT59" i="7"/>
  <c r="AT60" i="7"/>
  <c r="AT61" i="7"/>
  <c r="AT54" i="8"/>
  <c r="AT55" i="8"/>
  <c r="AT56" i="8"/>
  <c r="AT57" i="8"/>
  <c r="AT58" i="8"/>
  <c r="AT59" i="8"/>
  <c r="AT60" i="8"/>
  <c r="AT61" i="8"/>
  <c r="AT130" i="8"/>
  <c r="AT131" i="8"/>
  <c r="AT132" i="8"/>
  <c r="AT133" i="8"/>
  <c r="AT134" i="8"/>
  <c r="AT135" i="8"/>
  <c r="AT136" i="8"/>
  <c r="AT137" i="8"/>
  <c r="AT130" i="7"/>
  <c r="AT131" i="7"/>
  <c r="AT132" i="7"/>
  <c r="AT133" i="7"/>
  <c r="AT134" i="7"/>
  <c r="AT135" i="7"/>
  <c r="AT136" i="7"/>
  <c r="AT137" i="7"/>
  <c r="AT97" i="7"/>
  <c r="AT98" i="7"/>
  <c r="AT99" i="7"/>
  <c r="AT100" i="7"/>
  <c r="AT101" i="7"/>
  <c r="AT102" i="7"/>
  <c r="AT103" i="7"/>
  <c r="AT104" i="7"/>
  <c r="AT97" i="8"/>
  <c r="AT98" i="8"/>
  <c r="AT99" i="8"/>
  <c r="AT100" i="8"/>
  <c r="AT101" i="8"/>
  <c r="AT102" i="8"/>
  <c r="AT103" i="8"/>
  <c r="AT104" i="8"/>
  <c r="AT5" i="8"/>
  <c r="AT6" i="8"/>
  <c r="AT7" i="8"/>
  <c r="AT8" i="8"/>
  <c r="AT9" i="8"/>
  <c r="AT10" i="8"/>
  <c r="AT11" i="8"/>
  <c r="AT12" i="8"/>
  <c r="AT5" i="7"/>
  <c r="AS4" i="9" s="1"/>
  <c r="AT6" i="7"/>
  <c r="AS5" i="9" s="1"/>
  <c r="AT7" i="7"/>
  <c r="AS6" i="9" s="1"/>
  <c r="AT8" i="7"/>
  <c r="AS7" i="9" s="1"/>
  <c r="AT9" i="7"/>
  <c r="AS8" i="9" s="1"/>
  <c r="AT10" i="7"/>
  <c r="AS9" i="9" s="1"/>
  <c r="AT11" i="7"/>
  <c r="AS10" i="9" s="1"/>
  <c r="AT12" i="7"/>
  <c r="AS11" i="9" s="1"/>
  <c r="BN54" i="9" l="1"/>
  <c r="BL95" i="9"/>
  <c r="BN98" i="9"/>
  <c r="BN58" i="9"/>
  <c r="BN96" i="9"/>
  <c r="BM54" i="9"/>
  <c r="BM98" i="9"/>
  <c r="BM58" i="9"/>
  <c r="BM96" i="9"/>
  <c r="BM120" i="9"/>
  <c r="BM56" i="9"/>
  <c r="BM100" i="9"/>
  <c r="BJ119" i="9"/>
  <c r="BD54" i="9"/>
  <c r="D78" i="9"/>
  <c r="H78" i="9"/>
  <c r="L78" i="9"/>
  <c r="P78" i="9"/>
  <c r="T78" i="9"/>
  <c r="D90" i="9"/>
  <c r="D125" i="9" s="1"/>
  <c r="H90" i="9"/>
  <c r="H125" i="9" s="1"/>
  <c r="L90" i="9"/>
  <c r="L125" i="9" s="1"/>
  <c r="P90" i="9"/>
  <c r="P125" i="9" s="1"/>
  <c r="AE22" i="9"/>
  <c r="Z111" i="9"/>
  <c r="AH119" i="9"/>
  <c r="AE18" i="9"/>
  <c r="AI119" i="9"/>
  <c r="E78" i="9"/>
  <c r="I78" i="9"/>
  <c r="M78" i="9"/>
  <c r="Q78" i="9"/>
  <c r="U78" i="9"/>
  <c r="BM78" i="9" s="1"/>
  <c r="D79" i="9"/>
  <c r="H79" i="9"/>
  <c r="L79" i="9"/>
  <c r="P79" i="9"/>
  <c r="T79" i="9"/>
  <c r="B81" i="9"/>
  <c r="F81" i="9"/>
  <c r="J81" i="9"/>
  <c r="N81" i="9"/>
  <c r="R81" i="9"/>
  <c r="V81" i="9"/>
  <c r="BN81" i="9" s="1"/>
  <c r="Z108" i="9"/>
  <c r="BL101" i="9"/>
  <c r="BL99" i="9"/>
  <c r="AU60" i="9"/>
  <c r="BC60" i="9" s="1"/>
  <c r="AU160" i="9"/>
  <c r="AU65" i="9"/>
  <c r="AU77" i="9"/>
  <c r="AU155" i="9"/>
  <c r="BC55" i="9"/>
  <c r="BC79" i="9" s="1"/>
  <c r="AU67" i="9"/>
  <c r="AU79" i="9"/>
  <c r="AU69" i="9"/>
  <c r="AU81" i="9"/>
  <c r="AU64" i="9"/>
  <c r="AU161" i="9"/>
  <c r="AU76" i="9"/>
  <c r="AU156" i="9"/>
  <c r="AU66" i="9"/>
  <c r="AU78" i="9"/>
  <c r="BL78" i="9" s="1"/>
  <c r="AU68" i="9"/>
  <c r="AU159" i="9"/>
  <c r="AU154" i="9"/>
  <c r="AU80" i="9"/>
  <c r="AU70" i="9"/>
  <c r="AU82" i="9"/>
  <c r="AS95" i="9"/>
  <c r="AS24" i="9"/>
  <c r="AS144" i="9" s="1"/>
  <c r="BJ5" i="9"/>
  <c r="BC134" i="9"/>
  <c r="BC140" i="9" s="1"/>
  <c r="BC128" i="9"/>
  <c r="BC132" i="9"/>
  <c r="BC131" i="9"/>
  <c r="BC130" i="9"/>
  <c r="BC129" i="9"/>
  <c r="BC133" i="9"/>
  <c r="BD119" i="9"/>
  <c r="BU119" i="9" s="1"/>
  <c r="BD121" i="9"/>
  <c r="BF119" i="9"/>
  <c r="BP119" i="9"/>
  <c r="BC119" i="9"/>
  <c r="AS56" i="9"/>
  <c r="AS52" i="9"/>
  <c r="AS102" i="9"/>
  <c r="AS98" i="9"/>
  <c r="AS59" i="9"/>
  <c r="AS83" i="9" s="1"/>
  <c r="AS55" i="9"/>
  <c r="BJ8" i="9"/>
  <c r="BJ28" i="9"/>
  <c r="AS101" i="9"/>
  <c r="AS97" i="9"/>
  <c r="AS58" i="9"/>
  <c r="AS54" i="9"/>
  <c r="AS78" i="9" s="1"/>
  <c r="AS100" i="9"/>
  <c r="AS96" i="9"/>
  <c r="AS57" i="9"/>
  <c r="AS53" i="9"/>
  <c r="AS65" i="9" s="1"/>
  <c r="AS99" i="9"/>
  <c r="BJ19" i="9"/>
  <c r="BJ33" i="9"/>
  <c r="BJ17" i="9"/>
  <c r="BJ32" i="9"/>
  <c r="BJ21" i="9"/>
  <c r="E82" i="9"/>
  <c r="I82" i="9"/>
  <c r="M82" i="9"/>
  <c r="Q82" i="9"/>
  <c r="U82" i="9"/>
  <c r="BM82" i="9" s="1"/>
  <c r="E79" i="9"/>
  <c r="I79" i="9"/>
  <c r="M79" i="9"/>
  <c r="Q79" i="9"/>
  <c r="U79" i="9"/>
  <c r="BM79" i="9" s="1"/>
  <c r="E90" i="9"/>
  <c r="E125" i="9" s="1"/>
  <c r="I90" i="9"/>
  <c r="I125" i="9" s="1"/>
  <c r="M90" i="9"/>
  <c r="M125" i="9" s="1"/>
  <c r="AA89" i="9"/>
  <c r="BL56" i="9"/>
  <c r="B78" i="9"/>
  <c r="F78" i="9"/>
  <c r="J78" i="9"/>
  <c r="N78" i="9"/>
  <c r="R78" i="9"/>
  <c r="V78" i="9"/>
  <c r="BN78" i="9" s="1"/>
  <c r="C81" i="9"/>
  <c r="G81" i="9"/>
  <c r="K81" i="9"/>
  <c r="O81" i="9"/>
  <c r="S81" i="9"/>
  <c r="AB28" i="9"/>
  <c r="D82" i="9"/>
  <c r="H82" i="9"/>
  <c r="L82" i="9"/>
  <c r="P82" i="9"/>
  <c r="T82" i="9"/>
  <c r="C12" i="9"/>
  <c r="C14" i="9" s="1"/>
  <c r="O12" i="9"/>
  <c r="O135" i="9" s="1"/>
  <c r="AG57" i="9"/>
  <c r="AB57" i="9"/>
  <c r="U124" i="9"/>
  <c r="AA119" i="9"/>
  <c r="AI13" i="9"/>
  <c r="C79" i="9"/>
  <c r="G79" i="9"/>
  <c r="K79" i="9"/>
  <c r="O79" i="9"/>
  <c r="S79" i="9"/>
  <c r="D81" i="9"/>
  <c r="H81" i="9"/>
  <c r="L81" i="9"/>
  <c r="P81" i="9"/>
  <c r="T81" i="9"/>
  <c r="AF30" i="9"/>
  <c r="AA30" i="9"/>
  <c r="AE13" i="9"/>
  <c r="Z22" i="9"/>
  <c r="B43" i="9"/>
  <c r="F43" i="9"/>
  <c r="J43" i="9"/>
  <c r="Z31" i="9"/>
  <c r="R43" i="9"/>
  <c r="V43" i="9"/>
  <c r="E46" i="9"/>
  <c r="I46" i="9"/>
  <c r="M46" i="9"/>
  <c r="Q46" i="9"/>
  <c r="U46" i="9"/>
  <c r="AA55" i="9"/>
  <c r="AI89" i="9"/>
  <c r="AK21" i="9"/>
  <c r="BN9" i="9"/>
  <c r="AC100" i="9"/>
  <c r="BT100" i="9" s="1"/>
  <c r="B79" i="9"/>
  <c r="F79" i="9"/>
  <c r="J79" i="9"/>
  <c r="N79" i="9"/>
  <c r="R79" i="9"/>
  <c r="V79" i="9"/>
  <c r="BN79" i="9" s="1"/>
  <c r="E81" i="9"/>
  <c r="I81" i="9"/>
  <c r="M81" i="9"/>
  <c r="Q81" i="9"/>
  <c r="U81" i="9"/>
  <c r="BM81" i="9" s="1"/>
  <c r="B82" i="9"/>
  <c r="F82" i="9"/>
  <c r="J82" i="9"/>
  <c r="N82" i="9"/>
  <c r="R82" i="9"/>
  <c r="V82" i="9"/>
  <c r="BN82" i="9" s="1"/>
  <c r="Z18" i="9"/>
  <c r="Z21" i="9"/>
  <c r="D45" i="9"/>
  <c r="H45" i="9"/>
  <c r="L45" i="9"/>
  <c r="P45" i="9"/>
  <c r="T45" i="9"/>
  <c r="AC97" i="9"/>
  <c r="AD119" i="9"/>
  <c r="AN119" i="9" s="1"/>
  <c r="AH4" i="9"/>
  <c r="AA5" i="9"/>
  <c r="AB5" i="9"/>
  <c r="BL7" i="9"/>
  <c r="AH8" i="9"/>
  <c r="AB17" i="9"/>
  <c r="AL17" i="9" s="1"/>
  <c r="Z17" i="9"/>
  <c r="F42" i="9"/>
  <c r="J42" i="9"/>
  <c r="E12" i="9"/>
  <c r="E135" i="9" s="1"/>
  <c r="AB4" i="9"/>
  <c r="AB8" i="9"/>
  <c r="AB9" i="9"/>
  <c r="BJ10" i="9"/>
  <c r="AG13" i="9"/>
  <c r="AH13" i="9"/>
  <c r="AF13" i="9"/>
  <c r="AM18" i="9"/>
  <c r="AM20" i="9"/>
  <c r="AM22" i="9"/>
  <c r="AB32" i="9"/>
  <c r="AJ22" i="9"/>
  <c r="C41" i="9"/>
  <c r="G41" i="9"/>
  <c r="K41" i="9"/>
  <c r="C42" i="9"/>
  <c r="G42" i="9"/>
  <c r="K42" i="9"/>
  <c r="O42" i="9"/>
  <c r="S42" i="9"/>
  <c r="C43" i="9"/>
  <c r="G43" i="9"/>
  <c r="K43" i="9"/>
  <c r="O43" i="9"/>
  <c r="S43" i="9"/>
  <c r="E45" i="9"/>
  <c r="I45" i="9"/>
  <c r="M45" i="9"/>
  <c r="AB33" i="9"/>
  <c r="U45" i="9"/>
  <c r="AF34" i="9"/>
  <c r="F46" i="9"/>
  <c r="J46" i="9"/>
  <c r="AA34" i="9"/>
  <c r="R46" i="9"/>
  <c r="AG53" i="9"/>
  <c r="AB53" i="9"/>
  <c r="AI54" i="9"/>
  <c r="AA54" i="9"/>
  <c r="AH55" i="9"/>
  <c r="T90" i="9"/>
  <c r="BL90" i="9" s="1"/>
  <c r="AC88" i="9"/>
  <c r="BT88" i="9" s="1"/>
  <c r="C36" i="9"/>
  <c r="G36" i="9"/>
  <c r="K36" i="9"/>
  <c r="D41" i="9"/>
  <c r="H41" i="9"/>
  <c r="L41" i="9"/>
  <c r="P41" i="9"/>
  <c r="T41" i="9"/>
  <c r="D42" i="9"/>
  <c r="H42" i="9"/>
  <c r="L42" i="9"/>
  <c r="P42" i="9"/>
  <c r="T42" i="9"/>
  <c r="BL30" i="9"/>
  <c r="B45" i="9"/>
  <c r="F45" i="9"/>
  <c r="J45" i="9"/>
  <c r="N45" i="9"/>
  <c r="R45" i="9"/>
  <c r="V45" i="9"/>
  <c r="C46" i="9"/>
  <c r="G46" i="9"/>
  <c r="K46" i="9"/>
  <c r="O46" i="9"/>
  <c r="S46" i="9"/>
  <c r="AH52" i="9"/>
  <c r="AC52" i="9"/>
  <c r="AB55" i="9"/>
  <c r="AB56" i="9"/>
  <c r="AH89" i="9"/>
  <c r="AG18" i="9"/>
  <c r="AL18" i="9" s="1"/>
  <c r="Z45" i="9"/>
  <c r="AG22" i="9"/>
  <c r="AL22" i="9" s="1"/>
  <c r="AG31" i="9"/>
  <c r="I43" i="9"/>
  <c r="M43" i="9"/>
  <c r="C45" i="9"/>
  <c r="G45" i="9"/>
  <c r="AI33" i="9"/>
  <c r="O45" i="9"/>
  <c r="S45" i="9"/>
  <c r="D46" i="9"/>
  <c r="H46" i="9"/>
  <c r="L46" i="9"/>
  <c r="P46" i="9"/>
  <c r="T46" i="9"/>
  <c r="AB54" i="9"/>
  <c r="AE55" i="9"/>
  <c r="Z55" i="9"/>
  <c r="AF56" i="9"/>
  <c r="AF57" i="9"/>
  <c r="BL97" i="9"/>
  <c r="AC99" i="9"/>
  <c r="AB107" i="9"/>
  <c r="AC107" i="9"/>
  <c r="AH58" i="9"/>
  <c r="AC58" i="9"/>
  <c r="B90" i="9"/>
  <c r="AF90" i="9" s="1"/>
  <c r="F90" i="9"/>
  <c r="F125" i="9" s="1"/>
  <c r="J90" i="9"/>
  <c r="J125" i="9" s="1"/>
  <c r="N90" i="9"/>
  <c r="N125" i="9" s="1"/>
  <c r="R90" i="9"/>
  <c r="R125" i="9" s="1"/>
  <c r="V90" i="9"/>
  <c r="BN90" i="9" s="1"/>
  <c r="AC96" i="9"/>
  <c r="BT96" i="9" s="1"/>
  <c r="AH57" i="9"/>
  <c r="AI88" i="9"/>
  <c r="AG88" i="9"/>
  <c r="U103" i="9"/>
  <c r="AC101" i="9"/>
  <c r="U114" i="9"/>
  <c r="Z110" i="9"/>
  <c r="BL119" i="9"/>
  <c r="BJ6" i="9"/>
  <c r="AB108" i="9"/>
  <c r="AC110" i="9"/>
  <c r="AB111" i="9"/>
  <c r="BL54" i="9"/>
  <c r="BL58" i="9"/>
  <c r="AC111" i="9"/>
  <c r="BJ4" i="9"/>
  <c r="BJ18" i="9"/>
  <c r="BL53" i="9"/>
  <c r="BD78" i="9"/>
  <c r="BJ20" i="9"/>
  <c r="BD56" i="9"/>
  <c r="BD80" i="9" s="1"/>
  <c r="BC81" i="9"/>
  <c r="BJ22" i="9"/>
  <c r="AE39" i="9"/>
  <c r="AE63" i="9" s="1"/>
  <c r="AE87" i="9" s="1"/>
  <c r="AE27" i="9"/>
  <c r="AE51" i="9" s="1"/>
  <c r="AE75" i="9" s="1"/>
  <c r="G166" i="9"/>
  <c r="G156" i="9"/>
  <c r="G76" i="9"/>
  <c r="S166" i="9"/>
  <c r="S156" i="9"/>
  <c r="S76" i="9"/>
  <c r="AA4" i="9"/>
  <c r="I166" i="9"/>
  <c r="I156" i="9"/>
  <c r="I76" i="9"/>
  <c r="M166" i="9"/>
  <c r="M156" i="9"/>
  <c r="M76" i="9"/>
  <c r="U166" i="9"/>
  <c r="U156" i="9"/>
  <c r="U76" i="9"/>
  <c r="BM76" i="9" s="1"/>
  <c r="B165" i="9"/>
  <c r="B155" i="9"/>
  <c r="B77" i="9"/>
  <c r="J165" i="9"/>
  <c r="J155" i="9"/>
  <c r="J77" i="9"/>
  <c r="Z5" i="9"/>
  <c r="AB43" i="9"/>
  <c r="AB46" i="9"/>
  <c r="AB42" i="9"/>
  <c r="AB45" i="9"/>
  <c r="AB41" i="9"/>
  <c r="AB44" i="9"/>
  <c r="AB40" i="9"/>
  <c r="B166" i="9"/>
  <c r="B156" i="9"/>
  <c r="B76" i="9"/>
  <c r="F166" i="9"/>
  <c r="F156" i="9"/>
  <c r="F76" i="9"/>
  <c r="J166" i="9"/>
  <c r="J156" i="9"/>
  <c r="J76" i="9"/>
  <c r="N166" i="9"/>
  <c r="N156" i="9"/>
  <c r="N76" i="9"/>
  <c r="R166" i="9"/>
  <c r="R156" i="9"/>
  <c r="R76" i="9"/>
  <c r="V166" i="9"/>
  <c r="V156" i="9"/>
  <c r="V76" i="9"/>
  <c r="BN76" i="9" s="1"/>
  <c r="Z4" i="9"/>
  <c r="C165" i="9"/>
  <c r="C155" i="9"/>
  <c r="C77" i="9"/>
  <c r="G165" i="9"/>
  <c r="G155" i="9"/>
  <c r="G77" i="9"/>
  <c r="K165" i="9"/>
  <c r="K155" i="9"/>
  <c r="K77" i="9"/>
  <c r="O165" i="9"/>
  <c r="O155" i="9"/>
  <c r="O77" i="9"/>
  <c r="S165" i="9"/>
  <c r="S155" i="9"/>
  <c r="S77" i="9"/>
  <c r="AE5" i="9"/>
  <c r="AI5" i="9"/>
  <c r="AB6" i="9"/>
  <c r="AF6" i="9"/>
  <c r="BN6" i="9"/>
  <c r="AC7" i="9"/>
  <c r="AG7" i="9"/>
  <c r="AS130" i="9"/>
  <c r="AS79" i="9"/>
  <c r="B164" i="9"/>
  <c r="B154" i="9"/>
  <c r="B80" i="9"/>
  <c r="F164" i="9"/>
  <c r="F154" i="9"/>
  <c r="F80" i="9"/>
  <c r="J164" i="9"/>
  <c r="J154" i="9"/>
  <c r="J80" i="9"/>
  <c r="N164" i="9"/>
  <c r="N154" i="9"/>
  <c r="N80" i="9"/>
  <c r="R164" i="9"/>
  <c r="R154" i="9"/>
  <c r="R80" i="9"/>
  <c r="V164" i="9"/>
  <c r="V154" i="9"/>
  <c r="V80" i="9"/>
  <c r="BN80" i="9" s="1"/>
  <c r="Z8" i="9"/>
  <c r="AA9" i="9"/>
  <c r="AE9" i="9"/>
  <c r="AI9" i="9"/>
  <c r="BM9" i="9"/>
  <c r="AB10" i="9"/>
  <c r="AF10" i="9"/>
  <c r="BN10" i="9"/>
  <c r="I12" i="9"/>
  <c r="M12" i="9"/>
  <c r="Q12" i="9"/>
  <c r="U12" i="9"/>
  <c r="AS12" i="9"/>
  <c r="AH39" i="9"/>
  <c r="AH63" i="9" s="1"/>
  <c r="AH87" i="9" s="1"/>
  <c r="AH27" i="9"/>
  <c r="AH51" i="9" s="1"/>
  <c r="AH75" i="9" s="1"/>
  <c r="B24" i="9"/>
  <c r="B145" i="9" s="1"/>
  <c r="F24" i="9"/>
  <c r="F145" i="9" s="1"/>
  <c r="J24" i="9"/>
  <c r="J145" i="9" s="1"/>
  <c r="N24" i="9"/>
  <c r="N145" i="9" s="1"/>
  <c r="R24" i="9"/>
  <c r="V24" i="9"/>
  <c r="V145" i="9" s="1"/>
  <c r="Z16" i="9"/>
  <c r="AH16" i="9"/>
  <c r="AM16" i="9" s="1"/>
  <c r="Z41" i="9"/>
  <c r="AK20" i="9"/>
  <c r="O41" i="9"/>
  <c r="S41" i="9"/>
  <c r="D43" i="9"/>
  <c r="H43" i="9"/>
  <c r="L43" i="9"/>
  <c r="P43" i="9"/>
  <c r="T43" i="9"/>
  <c r="AE4" i="9"/>
  <c r="D165" i="9"/>
  <c r="D155" i="9"/>
  <c r="D77" i="9"/>
  <c r="L165" i="9"/>
  <c r="L155" i="9"/>
  <c r="L77" i="9"/>
  <c r="Z7" i="9"/>
  <c r="AH7" i="9"/>
  <c r="C164" i="9"/>
  <c r="C154" i="9"/>
  <c r="C80" i="9"/>
  <c r="G164" i="9"/>
  <c r="G154" i="9"/>
  <c r="G80" i="9"/>
  <c r="K164" i="9"/>
  <c r="K154" i="9"/>
  <c r="K80" i="9"/>
  <c r="O164" i="9"/>
  <c r="O154" i="9"/>
  <c r="O80" i="9"/>
  <c r="S164" i="9"/>
  <c r="S154" i="9"/>
  <c r="S80" i="9"/>
  <c r="AA8" i="9"/>
  <c r="AE8" i="9"/>
  <c r="AI8" i="9"/>
  <c r="AF9" i="9"/>
  <c r="BJ9" i="9"/>
  <c r="AC10" i="9"/>
  <c r="BT10" i="9" s="1"/>
  <c r="AG10" i="9"/>
  <c r="AS133" i="9"/>
  <c r="B12" i="9"/>
  <c r="F12" i="9"/>
  <c r="J12" i="9"/>
  <c r="N12" i="9"/>
  <c r="R12" i="9"/>
  <c r="V12" i="9"/>
  <c r="AI39" i="9"/>
  <c r="AI63" i="9" s="1"/>
  <c r="AI87" i="9" s="1"/>
  <c r="AI27" i="9"/>
  <c r="AI51" i="9" s="1"/>
  <c r="AI75" i="9" s="1"/>
  <c r="C24" i="9"/>
  <c r="G24" i="9"/>
  <c r="G145" i="9" s="1"/>
  <c r="K24" i="9"/>
  <c r="O24" i="9"/>
  <c r="O145" i="9" s="1"/>
  <c r="S24" i="9"/>
  <c r="S145" i="9" s="1"/>
  <c r="AE16" i="9"/>
  <c r="AM17" i="9"/>
  <c r="AI18" i="9"/>
  <c r="Z42" i="9"/>
  <c r="Z20" i="9"/>
  <c r="AB20" i="9"/>
  <c r="AL20" i="9" s="1"/>
  <c r="AE20" i="9"/>
  <c r="E42" i="9"/>
  <c r="I42" i="9"/>
  <c r="M42" i="9"/>
  <c r="Q42" i="9"/>
  <c r="U42" i="9"/>
  <c r="Q43" i="9"/>
  <c r="U43" i="9"/>
  <c r="K166" i="9"/>
  <c r="K156" i="9"/>
  <c r="K76" i="9"/>
  <c r="H165" i="9"/>
  <c r="H155" i="9"/>
  <c r="H77" i="9"/>
  <c r="P165" i="9"/>
  <c r="P155" i="9"/>
  <c r="P77" i="9"/>
  <c r="T165" i="9"/>
  <c r="T155" i="9"/>
  <c r="T77" i="9"/>
  <c r="BL77" i="9" s="1"/>
  <c r="AF5" i="9"/>
  <c r="AC6" i="9"/>
  <c r="BT6" i="9" s="1"/>
  <c r="AG6" i="9"/>
  <c r="AS129" i="9"/>
  <c r="D166" i="9"/>
  <c r="D156" i="9"/>
  <c r="D76" i="9"/>
  <c r="H166" i="9"/>
  <c r="H156" i="9"/>
  <c r="H76" i="9"/>
  <c r="L166" i="9"/>
  <c r="L156" i="9"/>
  <c r="L76" i="9"/>
  <c r="P156" i="9"/>
  <c r="P166" i="9"/>
  <c r="P76" i="9"/>
  <c r="T166" i="9"/>
  <c r="T156" i="9"/>
  <c r="T76" i="9"/>
  <c r="AF4" i="9"/>
  <c r="BN4" i="9"/>
  <c r="E165" i="9"/>
  <c r="E155" i="9"/>
  <c r="E77" i="9"/>
  <c r="I165" i="9"/>
  <c r="I155" i="9"/>
  <c r="I77" i="9"/>
  <c r="M165" i="9"/>
  <c r="M155" i="9"/>
  <c r="M77" i="9"/>
  <c r="Q165" i="9"/>
  <c r="Q155" i="9"/>
  <c r="Q77" i="9"/>
  <c r="U165" i="9"/>
  <c r="U155" i="9"/>
  <c r="U77" i="9"/>
  <c r="BM77" i="9" s="1"/>
  <c r="AC5" i="9"/>
  <c r="AG5" i="9"/>
  <c r="AS155" i="9"/>
  <c r="AS165" i="9"/>
  <c r="AS128" i="9"/>
  <c r="Z6" i="9"/>
  <c r="AH6" i="9"/>
  <c r="BL6" i="9"/>
  <c r="AA7" i="9"/>
  <c r="AE7" i="9"/>
  <c r="AI7" i="9"/>
  <c r="BM7" i="9"/>
  <c r="D164" i="9"/>
  <c r="D154" i="9"/>
  <c r="D80" i="9"/>
  <c r="H164" i="9"/>
  <c r="H154" i="9"/>
  <c r="H80" i="9"/>
  <c r="L154" i="9"/>
  <c r="L164" i="9"/>
  <c r="L80" i="9"/>
  <c r="P164" i="9"/>
  <c r="P154" i="9"/>
  <c r="P80" i="9"/>
  <c r="T164" i="9"/>
  <c r="T154" i="9"/>
  <c r="T80" i="9"/>
  <c r="AF8" i="9"/>
  <c r="BN8" i="9"/>
  <c r="AC9" i="9"/>
  <c r="AG9" i="9"/>
  <c r="AS132" i="9"/>
  <c r="Z10" i="9"/>
  <c r="AH10" i="9"/>
  <c r="BL10" i="9"/>
  <c r="G12" i="9"/>
  <c r="K12" i="9"/>
  <c r="S12" i="9"/>
  <c r="AF39" i="9"/>
  <c r="AF63" i="9" s="1"/>
  <c r="AF87" i="9" s="1"/>
  <c r="AF27" i="9"/>
  <c r="AF51" i="9" s="1"/>
  <c r="AF75" i="9" s="1"/>
  <c r="D24" i="9"/>
  <c r="H24" i="9"/>
  <c r="H145" i="9" s="1"/>
  <c r="L24" i="9"/>
  <c r="P24" i="9"/>
  <c r="T24" i="9"/>
  <c r="AB16" i="9"/>
  <c r="AF16" i="9"/>
  <c r="AK16" i="9" s="1"/>
  <c r="AM19" i="9"/>
  <c r="AM21" i="9"/>
  <c r="R42" i="9"/>
  <c r="C166" i="9"/>
  <c r="C156" i="9"/>
  <c r="C76" i="9"/>
  <c r="O166" i="9"/>
  <c r="O156" i="9"/>
  <c r="O76" i="9"/>
  <c r="AI4" i="9"/>
  <c r="E166" i="9"/>
  <c r="E156" i="9"/>
  <c r="E76" i="9"/>
  <c r="Q166" i="9"/>
  <c r="Q156" i="9"/>
  <c r="Q76" i="9"/>
  <c r="AC4" i="9"/>
  <c r="AG4" i="9"/>
  <c r="AS166" i="9"/>
  <c r="AS156" i="9"/>
  <c r="AS134" i="9"/>
  <c r="AS140" i="9" s="1"/>
  <c r="AS76" i="9"/>
  <c r="F165" i="9"/>
  <c r="F155" i="9"/>
  <c r="F77" i="9"/>
  <c r="N155" i="9"/>
  <c r="N165" i="9"/>
  <c r="N77" i="9"/>
  <c r="R165" i="9"/>
  <c r="R155" i="9"/>
  <c r="R77" i="9"/>
  <c r="V165" i="9"/>
  <c r="V155" i="9"/>
  <c r="V77" i="9"/>
  <c r="BN77" i="9" s="1"/>
  <c r="AH5" i="9"/>
  <c r="AA6" i="9"/>
  <c r="AE6" i="9"/>
  <c r="AI6" i="9"/>
  <c r="BM6" i="9"/>
  <c r="AB7" i="9"/>
  <c r="AF7" i="9"/>
  <c r="BJ7" i="9"/>
  <c r="BN7" i="9"/>
  <c r="E164" i="9"/>
  <c r="E154" i="9"/>
  <c r="E80" i="9"/>
  <c r="I164" i="9"/>
  <c r="I154" i="9"/>
  <c r="I80" i="9"/>
  <c r="M164" i="9"/>
  <c r="M154" i="9"/>
  <c r="M80" i="9"/>
  <c r="Q164" i="9"/>
  <c r="Q154" i="9"/>
  <c r="Q80" i="9"/>
  <c r="U164" i="9"/>
  <c r="U154" i="9"/>
  <c r="U80" i="9"/>
  <c r="BM80" i="9" s="1"/>
  <c r="AC8" i="9"/>
  <c r="BT8" i="9" s="1"/>
  <c r="AG8" i="9"/>
  <c r="AS164" i="9"/>
  <c r="AS131" i="9"/>
  <c r="Z9" i="9"/>
  <c r="AH9" i="9"/>
  <c r="AH81" i="9" s="1"/>
  <c r="BL9" i="9"/>
  <c r="AA10" i="9"/>
  <c r="AE10" i="9"/>
  <c r="AI10" i="9"/>
  <c r="BM10" i="9"/>
  <c r="D12" i="9"/>
  <c r="H12" i="9"/>
  <c r="L12" i="9"/>
  <c r="P12" i="9"/>
  <c r="T12" i="9"/>
  <c r="AG39" i="9"/>
  <c r="AG63" i="9" s="1"/>
  <c r="AG87" i="9" s="1"/>
  <c r="AG27" i="9"/>
  <c r="AG51" i="9" s="1"/>
  <c r="AG75" i="9" s="1"/>
  <c r="E24" i="9"/>
  <c r="E145" i="9" s="1"/>
  <c r="I24" i="9"/>
  <c r="Z40" i="9"/>
  <c r="M24" i="9"/>
  <c r="M145" i="9" s="1"/>
  <c r="Q24" i="9"/>
  <c r="Q145" i="9" s="1"/>
  <c r="U24" i="9"/>
  <c r="U145" i="9" s="1"/>
  <c r="AC24" i="9"/>
  <c r="AG16" i="9"/>
  <c r="AS143" i="9"/>
  <c r="AK17" i="9"/>
  <c r="AK19" i="9"/>
  <c r="Z44" i="9"/>
  <c r="AL21" i="9"/>
  <c r="C87" i="9"/>
  <c r="C63" i="9"/>
  <c r="G87" i="9"/>
  <c r="G63" i="9"/>
  <c r="K87" i="9"/>
  <c r="K63" i="9"/>
  <c r="O87" i="9"/>
  <c r="O63" i="9"/>
  <c r="S87" i="9"/>
  <c r="S63" i="9"/>
  <c r="W87" i="9"/>
  <c r="W63" i="9"/>
  <c r="D151" i="9"/>
  <c r="H151" i="9"/>
  <c r="L151" i="9"/>
  <c r="P151" i="9"/>
  <c r="T151" i="9"/>
  <c r="AF28" i="9"/>
  <c r="E150" i="9"/>
  <c r="I150" i="9"/>
  <c r="M150" i="9"/>
  <c r="Q150" i="9"/>
  <c r="U150" i="9"/>
  <c r="AC29" i="9"/>
  <c r="BT29" i="9" s="1"/>
  <c r="AG29" i="9"/>
  <c r="AG65" i="9" s="1"/>
  <c r="AS150" i="9"/>
  <c r="Z30" i="9"/>
  <c r="AH30" i="9"/>
  <c r="AA31" i="9"/>
  <c r="AE31" i="9"/>
  <c r="AI31" i="9"/>
  <c r="D149" i="9"/>
  <c r="H149" i="9"/>
  <c r="L149" i="9"/>
  <c r="P149" i="9"/>
  <c r="T149" i="9"/>
  <c r="AF32" i="9"/>
  <c r="AF68" i="9" s="1"/>
  <c r="AC33" i="9"/>
  <c r="BT33" i="9" s="1"/>
  <c r="AG33" i="9"/>
  <c r="Z34" i="9"/>
  <c r="AH34" i="9"/>
  <c r="O36" i="9"/>
  <c r="S36" i="9"/>
  <c r="D40" i="9"/>
  <c r="H40" i="9"/>
  <c r="L40" i="9"/>
  <c r="P40" i="9"/>
  <c r="T40" i="9"/>
  <c r="B42" i="9"/>
  <c r="N42" i="9"/>
  <c r="V42" i="9"/>
  <c r="E43" i="9"/>
  <c r="D44" i="9"/>
  <c r="H44" i="9"/>
  <c r="L44" i="9"/>
  <c r="P44" i="9"/>
  <c r="T44" i="9"/>
  <c r="K45" i="9"/>
  <c r="B46" i="9"/>
  <c r="N46" i="9"/>
  <c r="V46" i="9"/>
  <c r="Z46" i="9"/>
  <c r="E161" i="9"/>
  <c r="E60" i="9"/>
  <c r="E64" i="9"/>
  <c r="I161" i="9"/>
  <c r="I60" i="9"/>
  <c r="I64" i="9"/>
  <c r="M161" i="9"/>
  <c r="M60" i="9"/>
  <c r="M64" i="9"/>
  <c r="Q161" i="9"/>
  <c r="Q60" i="9"/>
  <c r="Q64" i="9"/>
  <c r="U161" i="9"/>
  <c r="U60" i="9"/>
  <c r="BM60" i="9" s="1"/>
  <c r="U64" i="9"/>
  <c r="BM64" i="9" s="1"/>
  <c r="AG52" i="9"/>
  <c r="AS161" i="9"/>
  <c r="AS64" i="9"/>
  <c r="BM52" i="9"/>
  <c r="D160" i="9"/>
  <c r="D65" i="9"/>
  <c r="H160" i="9"/>
  <c r="H65" i="9"/>
  <c r="L160" i="9"/>
  <c r="L65" i="9"/>
  <c r="P160" i="9"/>
  <c r="P65" i="9"/>
  <c r="T160" i="9"/>
  <c r="T65" i="9"/>
  <c r="BM53" i="9"/>
  <c r="E66" i="9"/>
  <c r="I66" i="9"/>
  <c r="M66" i="9"/>
  <c r="U66" i="9"/>
  <c r="BM66" i="9" s="1"/>
  <c r="BD66" i="9"/>
  <c r="I69" i="9"/>
  <c r="M69" i="9"/>
  <c r="AE17" i="9"/>
  <c r="AI17" i="9"/>
  <c r="AG19" i="9"/>
  <c r="AL19" i="9" s="1"/>
  <c r="AE21" i="9"/>
  <c r="AI21" i="9"/>
  <c r="D87" i="9"/>
  <c r="D63" i="9"/>
  <c r="H87" i="9"/>
  <c r="H63" i="9"/>
  <c r="L87" i="9"/>
  <c r="L63" i="9"/>
  <c r="P87" i="9"/>
  <c r="P63" i="9"/>
  <c r="T87" i="9"/>
  <c r="T63" i="9"/>
  <c r="X87" i="9"/>
  <c r="X63" i="9"/>
  <c r="E151" i="9"/>
  <c r="I151" i="9"/>
  <c r="M151" i="9"/>
  <c r="Q151" i="9"/>
  <c r="U151" i="9"/>
  <c r="AC28" i="9"/>
  <c r="BT28" i="9" s="1"/>
  <c r="AG28" i="9"/>
  <c r="AS151" i="9"/>
  <c r="B150" i="9"/>
  <c r="F150" i="9"/>
  <c r="J150" i="9"/>
  <c r="N150" i="9"/>
  <c r="R150" i="9"/>
  <c r="V150" i="9"/>
  <c r="Z29" i="9"/>
  <c r="AH29" i="9"/>
  <c r="BL29" i="9"/>
  <c r="AE30" i="9"/>
  <c r="AI30" i="9"/>
  <c r="BM30" i="9"/>
  <c r="AB31" i="9"/>
  <c r="AF31" i="9"/>
  <c r="BJ31" i="9"/>
  <c r="BN31" i="9"/>
  <c r="E149" i="9"/>
  <c r="I149" i="9"/>
  <c r="M149" i="9"/>
  <c r="Q149" i="9"/>
  <c r="U149" i="9"/>
  <c r="AC32" i="9"/>
  <c r="AG32" i="9"/>
  <c r="AS149" i="9"/>
  <c r="Z33" i="9"/>
  <c r="AH33" i="9"/>
  <c r="BL33" i="9"/>
  <c r="AE34" i="9"/>
  <c r="AI34" i="9"/>
  <c r="BM34" i="9"/>
  <c r="D36" i="9"/>
  <c r="H36" i="9"/>
  <c r="L36" i="9"/>
  <c r="P36" i="9"/>
  <c r="T36" i="9"/>
  <c r="E40" i="9"/>
  <c r="I40" i="9"/>
  <c r="M40" i="9"/>
  <c r="Q40" i="9"/>
  <c r="U40" i="9"/>
  <c r="N43" i="9"/>
  <c r="Z43" i="9"/>
  <c r="E44" i="9"/>
  <c r="I44" i="9"/>
  <c r="M44" i="9"/>
  <c r="Q44" i="9"/>
  <c r="U44" i="9"/>
  <c r="B161" i="9"/>
  <c r="B60" i="9"/>
  <c r="B64" i="9"/>
  <c r="F161" i="9"/>
  <c r="F60" i="9"/>
  <c r="F64" i="9"/>
  <c r="J161" i="9"/>
  <c r="J60" i="9"/>
  <c r="J64" i="9"/>
  <c r="N161" i="9"/>
  <c r="N60" i="9"/>
  <c r="N64" i="9"/>
  <c r="R161" i="9"/>
  <c r="R60" i="9"/>
  <c r="R64" i="9"/>
  <c r="V161" i="9"/>
  <c r="V60" i="9"/>
  <c r="BN60" i="9" s="1"/>
  <c r="V64" i="9"/>
  <c r="BN64" i="9" s="1"/>
  <c r="Z52" i="9"/>
  <c r="BD60" i="9"/>
  <c r="BJ52" i="9"/>
  <c r="BN52" i="9"/>
  <c r="E160" i="9"/>
  <c r="E65" i="9"/>
  <c r="I160" i="9"/>
  <c r="I65" i="9"/>
  <c r="M160" i="9"/>
  <c r="M65" i="9"/>
  <c r="Q160" i="9"/>
  <c r="Q65" i="9"/>
  <c r="U160" i="9"/>
  <c r="U65" i="9"/>
  <c r="BM65" i="9" s="1"/>
  <c r="AC53" i="9"/>
  <c r="AH53" i="9"/>
  <c r="B66" i="9"/>
  <c r="F66" i="9"/>
  <c r="J66" i="9"/>
  <c r="N66" i="9"/>
  <c r="R66" i="9"/>
  <c r="V66" i="9"/>
  <c r="BN66" i="9" s="1"/>
  <c r="AS66" i="9"/>
  <c r="F67" i="9"/>
  <c r="J67" i="9"/>
  <c r="R67" i="9"/>
  <c r="V67" i="9"/>
  <c r="BN67" i="9" s="1"/>
  <c r="F68" i="9"/>
  <c r="J68" i="9"/>
  <c r="N68" i="9"/>
  <c r="R68" i="9"/>
  <c r="V68" i="9"/>
  <c r="BN68" i="9" s="1"/>
  <c r="F69" i="9"/>
  <c r="J69" i="9"/>
  <c r="AS145" i="9"/>
  <c r="AA18" i="9"/>
  <c r="AK18" i="9" s="1"/>
  <c r="Z19" i="9"/>
  <c r="AJ19" i="9" s="1"/>
  <c r="AA22" i="9"/>
  <c r="AK22" i="9" s="1"/>
  <c r="E87" i="9"/>
  <c r="E63" i="9"/>
  <c r="I87" i="9"/>
  <c r="I63" i="9"/>
  <c r="M87" i="9"/>
  <c r="M63" i="9"/>
  <c r="Q87" i="9"/>
  <c r="Q63" i="9"/>
  <c r="U87" i="9"/>
  <c r="U63" i="9"/>
  <c r="Y87" i="9"/>
  <c r="Y63" i="9"/>
  <c r="B151" i="9"/>
  <c r="F151" i="9"/>
  <c r="J151" i="9"/>
  <c r="N151" i="9"/>
  <c r="R151" i="9"/>
  <c r="V151" i="9"/>
  <c r="Z28" i="9"/>
  <c r="AH28" i="9"/>
  <c r="BL28" i="9"/>
  <c r="C150" i="9"/>
  <c r="G150" i="9"/>
  <c r="K150" i="9"/>
  <c r="O150" i="9"/>
  <c r="S150" i="9"/>
  <c r="AA29" i="9"/>
  <c r="AE29" i="9"/>
  <c r="AI29" i="9"/>
  <c r="BM29" i="9"/>
  <c r="AB30" i="9"/>
  <c r="BJ30" i="9"/>
  <c r="AC31" i="9"/>
  <c r="B149" i="9"/>
  <c r="F149" i="9"/>
  <c r="J149" i="9"/>
  <c r="N149" i="9"/>
  <c r="R149" i="9"/>
  <c r="V149" i="9"/>
  <c r="Z32" i="9"/>
  <c r="AH32" i="9"/>
  <c r="BL32" i="9"/>
  <c r="AA33" i="9"/>
  <c r="AE33" i="9"/>
  <c r="BM33" i="9"/>
  <c r="AB34" i="9"/>
  <c r="BJ34" i="9"/>
  <c r="E36" i="9"/>
  <c r="I36" i="9"/>
  <c r="M36" i="9"/>
  <c r="Q36" i="9"/>
  <c r="U36" i="9"/>
  <c r="AS36" i="9"/>
  <c r="B40" i="9"/>
  <c r="F40" i="9"/>
  <c r="J40" i="9"/>
  <c r="N40" i="9"/>
  <c r="R40" i="9"/>
  <c r="V40" i="9"/>
  <c r="E41" i="9"/>
  <c r="I41" i="9"/>
  <c r="M41" i="9"/>
  <c r="Q41" i="9"/>
  <c r="U41" i="9"/>
  <c r="B44" i="9"/>
  <c r="F44" i="9"/>
  <c r="J44" i="9"/>
  <c r="N44" i="9"/>
  <c r="R44" i="9"/>
  <c r="V44" i="9"/>
  <c r="Q45" i="9"/>
  <c r="C161" i="9"/>
  <c r="C60" i="9"/>
  <c r="C64" i="9"/>
  <c r="G161" i="9"/>
  <c r="G60" i="9"/>
  <c r="G64" i="9"/>
  <c r="K161" i="9"/>
  <c r="K60" i="9"/>
  <c r="K64" i="9"/>
  <c r="O161" i="9"/>
  <c r="O60" i="9"/>
  <c r="O64" i="9"/>
  <c r="S161" i="9"/>
  <c r="S60" i="9"/>
  <c r="S64" i="9"/>
  <c r="AA52" i="9"/>
  <c r="AE52" i="9"/>
  <c r="AI52" i="9"/>
  <c r="BC52" i="9"/>
  <c r="B160" i="9"/>
  <c r="B65" i="9"/>
  <c r="AE53" i="9"/>
  <c r="F160" i="9"/>
  <c r="F65" i="9"/>
  <c r="J160" i="9"/>
  <c r="J65" i="9"/>
  <c r="N160" i="9"/>
  <c r="N65" i="9"/>
  <c r="R160" i="9"/>
  <c r="R65" i="9"/>
  <c r="V160" i="9"/>
  <c r="V65" i="9"/>
  <c r="BN65" i="9" s="1"/>
  <c r="Z53" i="9"/>
  <c r="C66" i="9"/>
  <c r="G66" i="9"/>
  <c r="S66" i="9"/>
  <c r="C67" i="9"/>
  <c r="G67" i="9"/>
  <c r="K67" i="9"/>
  <c r="S67" i="9"/>
  <c r="BJ16" i="9"/>
  <c r="B87" i="9"/>
  <c r="B63" i="9"/>
  <c r="F87" i="9"/>
  <c r="F63" i="9"/>
  <c r="J87" i="9"/>
  <c r="J63" i="9"/>
  <c r="N87" i="9"/>
  <c r="N63" i="9"/>
  <c r="R87" i="9"/>
  <c r="R63" i="9"/>
  <c r="V87" i="9"/>
  <c r="V63" i="9"/>
  <c r="C151" i="9"/>
  <c r="G151" i="9"/>
  <c r="K151" i="9"/>
  <c r="O151" i="9"/>
  <c r="S151" i="9"/>
  <c r="AA28" i="9"/>
  <c r="AE28" i="9"/>
  <c r="AI28" i="9"/>
  <c r="BM28" i="9"/>
  <c r="D150" i="9"/>
  <c r="H150" i="9"/>
  <c r="L150" i="9"/>
  <c r="P150" i="9"/>
  <c r="T150" i="9"/>
  <c r="AB29" i="9"/>
  <c r="AF29" i="9"/>
  <c r="BJ29" i="9"/>
  <c r="BN29" i="9"/>
  <c r="AC30" i="9"/>
  <c r="AG30" i="9"/>
  <c r="AH31" i="9"/>
  <c r="BL31" i="9"/>
  <c r="C149" i="9"/>
  <c r="G149" i="9"/>
  <c r="K149" i="9"/>
  <c r="O149" i="9"/>
  <c r="S149" i="9"/>
  <c r="AA32" i="9"/>
  <c r="AE32" i="9"/>
  <c r="AI32" i="9"/>
  <c r="BM32" i="9"/>
  <c r="AF33" i="9"/>
  <c r="BN33" i="9"/>
  <c r="AC34" i="9"/>
  <c r="AG34" i="9"/>
  <c r="B36" i="9"/>
  <c r="F36" i="9"/>
  <c r="J36" i="9"/>
  <c r="N36" i="9"/>
  <c r="R36" i="9"/>
  <c r="V36" i="9"/>
  <c r="C40" i="9"/>
  <c r="G40" i="9"/>
  <c r="K40" i="9"/>
  <c r="O40" i="9"/>
  <c r="S40" i="9"/>
  <c r="B41" i="9"/>
  <c r="F41" i="9"/>
  <c r="J41" i="9"/>
  <c r="N41" i="9"/>
  <c r="R41" i="9"/>
  <c r="V41" i="9"/>
  <c r="C44" i="9"/>
  <c r="G44" i="9"/>
  <c r="K44" i="9"/>
  <c r="O44" i="9"/>
  <c r="S44" i="9"/>
  <c r="D161" i="9"/>
  <c r="D64" i="9"/>
  <c r="D60" i="9"/>
  <c r="H161" i="9"/>
  <c r="H64" i="9"/>
  <c r="H60" i="9"/>
  <c r="L161" i="9"/>
  <c r="L64" i="9"/>
  <c r="L60" i="9"/>
  <c r="P161" i="9"/>
  <c r="P64" i="9"/>
  <c r="P60" i="9"/>
  <c r="T161" i="9"/>
  <c r="T64" i="9"/>
  <c r="BL64" i="9" s="1"/>
  <c r="T60" i="9"/>
  <c r="AB52" i="9"/>
  <c r="AF52" i="9"/>
  <c r="BD52" i="9"/>
  <c r="BD76" i="9" s="1"/>
  <c r="BL52" i="9"/>
  <c r="C160" i="9"/>
  <c r="C65" i="9"/>
  <c r="G160" i="9"/>
  <c r="G65" i="9"/>
  <c r="K160" i="9"/>
  <c r="K65" i="9"/>
  <c r="AI53" i="9"/>
  <c r="O160" i="9"/>
  <c r="O65" i="9"/>
  <c r="S160" i="9"/>
  <c r="S65" i="9"/>
  <c r="AA53" i="9"/>
  <c r="AF53" i="9"/>
  <c r="D66" i="9"/>
  <c r="H66" i="9"/>
  <c r="L66" i="9"/>
  <c r="P66" i="9"/>
  <c r="T66" i="9"/>
  <c r="BL66" i="9" s="1"/>
  <c r="D67" i="9"/>
  <c r="L67" i="9"/>
  <c r="P67" i="9"/>
  <c r="T67" i="9"/>
  <c r="BC69" i="9"/>
  <c r="AC54" i="9"/>
  <c r="AG54" i="9"/>
  <c r="AF55" i="9"/>
  <c r="BD55" i="9"/>
  <c r="BD79" i="9" s="1"/>
  <c r="BL55" i="9"/>
  <c r="C159" i="9"/>
  <c r="G159" i="9"/>
  <c r="K159" i="9"/>
  <c r="O159" i="9"/>
  <c r="S159" i="9"/>
  <c r="AA56" i="9"/>
  <c r="AE56" i="9"/>
  <c r="AI56" i="9"/>
  <c r="BC56" i="9"/>
  <c r="BC80" i="9" s="1"/>
  <c r="N69" i="9"/>
  <c r="R69" i="9"/>
  <c r="V69" i="9"/>
  <c r="BN69" i="9" s="1"/>
  <c r="Z57" i="9"/>
  <c r="E70" i="9"/>
  <c r="I70" i="9"/>
  <c r="M70" i="9"/>
  <c r="Q70" i="9"/>
  <c r="U70" i="9"/>
  <c r="BM70" i="9" s="1"/>
  <c r="AG58" i="9"/>
  <c r="K66" i="9"/>
  <c r="O66" i="9"/>
  <c r="B67" i="9"/>
  <c r="B68" i="9"/>
  <c r="BC53" i="9"/>
  <c r="Z54" i="9"/>
  <c r="AH54" i="9"/>
  <c r="E67" i="9"/>
  <c r="I67" i="9"/>
  <c r="M67" i="9"/>
  <c r="Q67" i="9"/>
  <c r="U67" i="9"/>
  <c r="BM67" i="9" s="1"/>
  <c r="AC55" i="9"/>
  <c r="AG55" i="9"/>
  <c r="AS67" i="9"/>
  <c r="D159" i="9"/>
  <c r="D68" i="9"/>
  <c r="H159" i="9"/>
  <c r="H68" i="9"/>
  <c r="L159" i="9"/>
  <c r="L68" i="9"/>
  <c r="P159" i="9"/>
  <c r="P68" i="9"/>
  <c r="T159" i="9"/>
  <c r="T68" i="9"/>
  <c r="C69" i="9"/>
  <c r="G69" i="9"/>
  <c r="K69" i="9"/>
  <c r="O69" i="9"/>
  <c r="S69" i="9"/>
  <c r="AA57" i="9"/>
  <c r="AE57" i="9"/>
  <c r="AI57" i="9"/>
  <c r="B70" i="9"/>
  <c r="F70" i="9"/>
  <c r="J70" i="9"/>
  <c r="N70" i="9"/>
  <c r="R70" i="9"/>
  <c r="V70" i="9"/>
  <c r="BN70" i="9" s="1"/>
  <c r="Z58" i="9"/>
  <c r="H67" i="9"/>
  <c r="N67" i="9"/>
  <c r="C68" i="9"/>
  <c r="K68" i="9"/>
  <c r="S68" i="9"/>
  <c r="B69" i="9"/>
  <c r="BD53" i="9"/>
  <c r="BD77" i="9" s="1"/>
  <c r="AE54" i="9"/>
  <c r="BC54" i="9"/>
  <c r="BJ55" i="9"/>
  <c r="E159" i="9"/>
  <c r="E68" i="9"/>
  <c r="I159" i="9"/>
  <c r="I68" i="9"/>
  <c r="M159" i="9"/>
  <c r="M68" i="9"/>
  <c r="Q159" i="9"/>
  <c r="Q68" i="9"/>
  <c r="U159" i="9"/>
  <c r="U68" i="9"/>
  <c r="BM68" i="9" s="1"/>
  <c r="AC56" i="9"/>
  <c r="AG56" i="9"/>
  <c r="D69" i="9"/>
  <c r="H69" i="9"/>
  <c r="L69" i="9"/>
  <c r="P69" i="9"/>
  <c r="T69" i="9"/>
  <c r="BD57" i="9"/>
  <c r="BD81" i="9" s="1"/>
  <c r="BL57" i="9"/>
  <c r="C70" i="9"/>
  <c r="G70" i="9"/>
  <c r="K70" i="9"/>
  <c r="O70" i="9"/>
  <c r="S70" i="9"/>
  <c r="AA58" i="9"/>
  <c r="AE58" i="9"/>
  <c r="AI58" i="9"/>
  <c r="BC58" i="9"/>
  <c r="BC82" i="9" s="1"/>
  <c r="Q66" i="9"/>
  <c r="O67" i="9"/>
  <c r="E69" i="9"/>
  <c r="AF54" i="9"/>
  <c r="AI55" i="9"/>
  <c r="B159" i="9"/>
  <c r="F159" i="9"/>
  <c r="J159" i="9"/>
  <c r="N159" i="9"/>
  <c r="R159" i="9"/>
  <c r="V159" i="9"/>
  <c r="Z56" i="9"/>
  <c r="AH56" i="9"/>
  <c r="Q69" i="9"/>
  <c r="U69" i="9"/>
  <c r="BM69" i="9" s="1"/>
  <c r="AC57" i="9"/>
  <c r="BT57" i="9" s="1"/>
  <c r="AS69" i="9"/>
  <c r="D70" i="9"/>
  <c r="H70" i="9"/>
  <c r="L70" i="9"/>
  <c r="P70" i="9"/>
  <c r="T70" i="9"/>
  <c r="AB58" i="9"/>
  <c r="AF58" i="9"/>
  <c r="BD58" i="9"/>
  <c r="G68" i="9"/>
  <c r="O68" i="9"/>
  <c r="B125" i="9"/>
  <c r="AW103" i="9"/>
  <c r="BN95" i="9"/>
  <c r="BL96" i="9"/>
  <c r="BM99" i="9"/>
  <c r="Z109" i="9"/>
  <c r="AC109" i="9"/>
  <c r="AB109" i="9"/>
  <c r="AC95" i="9"/>
  <c r="BD98" i="9"/>
  <c r="AG89" i="9"/>
  <c r="AB89" i="9"/>
  <c r="AC89" i="9"/>
  <c r="BD96" i="9"/>
  <c r="AB88" i="9"/>
  <c r="Q90" i="9"/>
  <c r="Q125" i="9" s="1"/>
  <c r="U90" i="9"/>
  <c r="BM90" i="9" s="1"/>
  <c r="BM88" i="9"/>
  <c r="AF89" i="9"/>
  <c r="AE89" i="9"/>
  <c r="Z89" i="9"/>
  <c r="AV103" i="9"/>
  <c r="BM95" i="9"/>
  <c r="BC97" i="9"/>
  <c r="BC99" i="9"/>
  <c r="Z88" i="9"/>
  <c r="AH88" i="9"/>
  <c r="BL88" i="9"/>
  <c r="BM89" i="9"/>
  <c r="V103" i="9"/>
  <c r="AX103" i="9"/>
  <c r="BC98" i="9"/>
  <c r="AV124" i="9"/>
  <c r="BM118" i="9"/>
  <c r="AZ124" i="9"/>
  <c r="BD120" i="9"/>
  <c r="AA88" i="9"/>
  <c r="AE88" i="9"/>
  <c r="AU103" i="9"/>
  <c r="AY103" i="9"/>
  <c r="BC95" i="9"/>
  <c r="BD100" i="9"/>
  <c r="T103" i="9"/>
  <c r="AZ103" i="9"/>
  <c r="BD118" i="9"/>
  <c r="AB119" i="9"/>
  <c r="BO119" i="9"/>
  <c r="AF88" i="9"/>
  <c r="BN88" i="9"/>
  <c r="AC98" i="9"/>
  <c r="BL100" i="9"/>
  <c r="BD101" i="9"/>
  <c r="T114" i="9"/>
  <c r="BC122" i="9"/>
  <c r="BC101" i="9"/>
  <c r="Z107" i="9"/>
  <c r="AC108" i="9"/>
  <c r="AC112" i="9"/>
  <c r="BC120" i="9"/>
  <c r="BM122" i="9"/>
  <c r="BD123" i="9"/>
  <c r="AW124" i="9"/>
  <c r="Z112" i="9"/>
  <c r="S114" i="9"/>
  <c r="AX124" i="9"/>
  <c r="AU124" i="9"/>
  <c r="AY124" i="9"/>
  <c r="BC118" i="9"/>
  <c r="Z119" i="9"/>
  <c r="BD122" i="9"/>
  <c r="BM123" i="9"/>
  <c r="BC123" i="9"/>
  <c r="BL69" i="9" l="1"/>
  <c r="BJ54" i="9"/>
  <c r="BJ53" i="9"/>
  <c r="AS160" i="9"/>
  <c r="AS77" i="9"/>
  <c r="BJ24" i="9"/>
  <c r="AS159" i="9"/>
  <c r="AS60" i="9"/>
  <c r="BJ60" i="9" s="1"/>
  <c r="AS80" i="9"/>
  <c r="AS68" i="9"/>
  <c r="AS71" i="9"/>
  <c r="BJ56" i="9"/>
  <c r="BT101" i="9"/>
  <c r="AH69" i="9"/>
  <c r="BL79" i="9"/>
  <c r="E14" i="9"/>
  <c r="AI43" i="9"/>
  <c r="AI66" i="9"/>
  <c r="AJ18" i="9"/>
  <c r="AF80" i="9"/>
  <c r="AM88" i="9"/>
  <c r="AF67" i="9"/>
  <c r="AC90" i="9"/>
  <c r="BT90" i="9" s="1"/>
  <c r="AK89" i="9"/>
  <c r="L72" i="9"/>
  <c r="AG81" i="9"/>
  <c r="AI78" i="9"/>
  <c r="AL57" i="9"/>
  <c r="AK32" i="9"/>
  <c r="AL33" i="9"/>
  <c r="AF66" i="9"/>
  <c r="H72" i="9"/>
  <c r="AH65" i="9"/>
  <c r="AG90" i="9"/>
  <c r="BJ68" i="9"/>
  <c r="AJ17" i="9"/>
  <c r="BT97" i="9"/>
  <c r="AK30" i="9"/>
  <c r="BL81" i="9"/>
  <c r="BL70" i="9"/>
  <c r="BL68" i="9"/>
  <c r="BT55" i="9"/>
  <c r="BL80" i="9"/>
  <c r="BC67" i="9"/>
  <c r="BL76" i="9"/>
  <c r="BL67" i="9"/>
  <c r="AU72" i="9"/>
  <c r="AU84" i="9"/>
  <c r="BL65" i="9"/>
  <c r="BL82" i="9"/>
  <c r="AS103" i="9"/>
  <c r="BC138" i="9"/>
  <c r="BC135" i="9"/>
  <c r="BC139" i="9"/>
  <c r="BJ57" i="9"/>
  <c r="AS81" i="9"/>
  <c r="BJ81" i="9" s="1"/>
  <c r="AS154" i="9"/>
  <c r="AS82" i="9"/>
  <c r="BJ82" i="9" s="1"/>
  <c r="AS70" i="9"/>
  <c r="BJ70" i="9" s="1"/>
  <c r="BJ58" i="9"/>
  <c r="AH67" i="9"/>
  <c r="BJ78" i="9"/>
  <c r="AA66" i="9"/>
  <c r="AK66" i="9" s="1"/>
  <c r="AJ31" i="9"/>
  <c r="AL29" i="9"/>
  <c r="AI67" i="9"/>
  <c r="AA67" i="9"/>
  <c r="AK67" i="9" s="1"/>
  <c r="AH82" i="9"/>
  <c r="AH79" i="9"/>
  <c r="Z67" i="9"/>
  <c r="AH46" i="9"/>
  <c r="AB69" i="9"/>
  <c r="AL9" i="9"/>
  <c r="C135" i="9"/>
  <c r="AH70" i="9"/>
  <c r="AH68" i="9"/>
  <c r="AF65" i="9"/>
  <c r="AL32" i="9"/>
  <c r="AH66" i="9"/>
  <c r="AG70" i="9"/>
  <c r="AH64" i="9"/>
  <c r="AE79" i="9"/>
  <c r="R145" i="9"/>
  <c r="AB68" i="9"/>
  <c r="AG46" i="9"/>
  <c r="AL46" i="9" s="1"/>
  <c r="AF45" i="9"/>
  <c r="AK34" i="9"/>
  <c r="AB80" i="9"/>
  <c r="AH76" i="9"/>
  <c r="BM124" i="9"/>
  <c r="AI90" i="9"/>
  <c r="AI70" i="9"/>
  <c r="AE66" i="9"/>
  <c r="BJ79" i="9"/>
  <c r="AH90" i="9"/>
  <c r="AL31" i="9"/>
  <c r="AI45" i="9"/>
  <c r="AG77" i="9"/>
  <c r="AL53" i="9"/>
  <c r="AA41" i="9"/>
  <c r="AF69" i="9"/>
  <c r="S72" i="9"/>
  <c r="BJ76" i="9"/>
  <c r="AI42" i="9"/>
  <c r="K49" i="9"/>
  <c r="AE90" i="9"/>
  <c r="AF70" i="9"/>
  <c r="AL5" i="9"/>
  <c r="AC64" i="9"/>
  <c r="AM64" i="9" s="1"/>
  <c r="AI44" i="9"/>
  <c r="K72" i="9"/>
  <c r="AF81" i="9"/>
  <c r="AB81" i="9"/>
  <c r="BT95" i="9"/>
  <c r="AI69" i="9"/>
  <c r="P72" i="9"/>
  <c r="AJ55" i="9"/>
  <c r="AC46" i="9"/>
  <c r="AM46" i="9" s="1"/>
  <c r="AE45" i="9"/>
  <c r="AJ45" i="9" s="1"/>
  <c r="AI46" i="9"/>
  <c r="BN103" i="9"/>
  <c r="AK29" i="9"/>
  <c r="AJ21" i="9"/>
  <c r="AA42" i="9"/>
  <c r="BJ80" i="9"/>
  <c r="C49" i="9"/>
  <c r="AH43" i="9"/>
  <c r="AH45" i="9"/>
  <c r="AC70" i="9"/>
  <c r="T125" i="9"/>
  <c r="C72" i="9"/>
  <c r="AH41" i="9"/>
  <c r="AA43" i="9"/>
  <c r="AG43" i="9"/>
  <c r="AL43" i="9" s="1"/>
  <c r="AM52" i="9"/>
  <c r="AF43" i="9"/>
  <c r="AA45" i="9"/>
  <c r="AK45" i="9" s="1"/>
  <c r="G48" i="9"/>
  <c r="AC45" i="9"/>
  <c r="BT99" i="9"/>
  <c r="BM103" i="9"/>
  <c r="AG68" i="9"/>
  <c r="AG67" i="9"/>
  <c r="AI68" i="9"/>
  <c r="AK54" i="9"/>
  <c r="G72" i="9"/>
  <c r="AC41" i="9"/>
  <c r="AK33" i="9"/>
  <c r="AB66" i="9"/>
  <c r="BJ66" i="9"/>
  <c r="BJ65" i="9"/>
  <c r="AH42" i="9"/>
  <c r="K145" i="9"/>
  <c r="C145" i="9"/>
  <c r="AB77" i="9"/>
  <c r="AL89" i="9"/>
  <c r="BJ69" i="9"/>
  <c r="AM58" i="9"/>
  <c r="AG69" i="9"/>
  <c r="AL69" i="9" s="1"/>
  <c r="AH12" i="9"/>
  <c r="AC42" i="9"/>
  <c r="AG42" i="9"/>
  <c r="AL42" i="9" s="1"/>
  <c r="AJ20" i="9"/>
  <c r="AG45" i="9"/>
  <c r="AL45" i="9" s="1"/>
  <c r="BJ67" i="9"/>
  <c r="T72" i="9"/>
  <c r="D72" i="9"/>
  <c r="O72" i="9"/>
  <c r="AI41" i="9"/>
  <c r="J72" i="9"/>
  <c r="BJ64" i="9"/>
  <c r="AA46" i="9"/>
  <c r="AB48" i="9"/>
  <c r="C48" i="9"/>
  <c r="AE69" i="9"/>
  <c r="BD68" i="9"/>
  <c r="AJ32" i="9"/>
  <c r="AE67" i="9"/>
  <c r="AJ33" i="9"/>
  <c r="AJ29" i="9"/>
  <c r="AE70" i="9"/>
  <c r="AE36" i="9"/>
  <c r="AH14" i="9"/>
  <c r="BC103" i="9"/>
  <c r="BL103" i="9"/>
  <c r="AJ88" i="9"/>
  <c r="AM89" i="9"/>
  <c r="BT89" i="9"/>
  <c r="Z90" i="9"/>
  <c r="BD70" i="9"/>
  <c r="BT54" i="9"/>
  <c r="BC66" i="9"/>
  <c r="BT53" i="9"/>
  <c r="BC65" i="9"/>
  <c r="AE68" i="9"/>
  <c r="AG66" i="9"/>
  <c r="AI65" i="9"/>
  <c r="AF64" i="9"/>
  <c r="AF60" i="9"/>
  <c r="AI40" i="9"/>
  <c r="J49" i="9"/>
  <c r="J48" i="9"/>
  <c r="AM34" i="9"/>
  <c r="BT34" i="9"/>
  <c r="AK28" i="9"/>
  <c r="AA36" i="9"/>
  <c r="AE65" i="9"/>
  <c r="BL60" i="9"/>
  <c r="AE44" i="9"/>
  <c r="AJ44" i="9" s="1"/>
  <c r="AF44" i="9"/>
  <c r="M49" i="9"/>
  <c r="M48" i="9"/>
  <c r="AC65" i="9"/>
  <c r="AM53" i="9"/>
  <c r="BD72" i="9"/>
  <c r="Z64" i="9"/>
  <c r="AJ52" i="9"/>
  <c r="N72" i="9"/>
  <c r="Z60" i="9"/>
  <c r="H48" i="9"/>
  <c r="H49" i="9"/>
  <c r="AM32" i="9"/>
  <c r="AL56" i="9"/>
  <c r="AB67" i="9"/>
  <c r="U72" i="9"/>
  <c r="BM72" i="9" s="1"/>
  <c r="E72" i="9"/>
  <c r="AF46" i="9"/>
  <c r="AE46" i="9"/>
  <c r="AJ46" i="9" s="1"/>
  <c r="AH44" i="9"/>
  <c r="AF36" i="9"/>
  <c r="AC60" i="9"/>
  <c r="BT60" i="9" s="1"/>
  <c r="AS146" i="9"/>
  <c r="Q144" i="9"/>
  <c r="Q143" i="9"/>
  <c r="Q115" i="9"/>
  <c r="H135" i="9"/>
  <c r="H84" i="9"/>
  <c r="H14" i="9"/>
  <c r="AA82" i="9"/>
  <c r="AK10" i="9"/>
  <c r="Z81" i="9"/>
  <c r="AJ9" i="9"/>
  <c r="AG80" i="9"/>
  <c r="AB79" i="9"/>
  <c r="AL7" i="9"/>
  <c r="AI76" i="9"/>
  <c r="AI12" i="9"/>
  <c r="P145" i="9"/>
  <c r="G135" i="9"/>
  <c r="G84" i="9"/>
  <c r="G14" i="9"/>
  <c r="Z82" i="9"/>
  <c r="AJ10" i="9"/>
  <c r="AS139" i="9"/>
  <c r="AF77" i="9"/>
  <c r="O144" i="9"/>
  <c r="O143" i="9"/>
  <c r="O115" i="9"/>
  <c r="G144" i="9"/>
  <c r="G143" i="9"/>
  <c r="G115" i="9"/>
  <c r="AH49" i="9"/>
  <c r="AE24" i="9"/>
  <c r="AG24" i="9"/>
  <c r="BD84" i="9"/>
  <c r="R135" i="9"/>
  <c r="R84" i="9"/>
  <c r="B135" i="9"/>
  <c r="B84" i="9"/>
  <c r="B14" i="9"/>
  <c r="AI80" i="9"/>
  <c r="Z79" i="9"/>
  <c r="AJ7" i="9"/>
  <c r="AC43" i="9"/>
  <c r="V144" i="9"/>
  <c r="V143" i="9"/>
  <c r="N144" i="9"/>
  <c r="N143" i="9"/>
  <c r="N115" i="9"/>
  <c r="F144" i="9"/>
  <c r="F143" i="9"/>
  <c r="F115" i="9"/>
  <c r="U135" i="9"/>
  <c r="U84" i="9"/>
  <c r="BM84" i="9" s="1"/>
  <c r="BM12" i="9"/>
  <c r="AA81" i="9"/>
  <c r="AK9" i="9"/>
  <c r="AG79" i="9"/>
  <c r="AB78" i="9"/>
  <c r="AL6" i="9"/>
  <c r="AE77" i="9"/>
  <c r="O84" i="9"/>
  <c r="AL8" i="9"/>
  <c r="AK88" i="9"/>
  <c r="AA90" i="9"/>
  <c r="AK90" i="9" s="1"/>
  <c r="BD103" i="9"/>
  <c r="BD69" i="9"/>
  <c r="AC68" i="9"/>
  <c r="AM56" i="9"/>
  <c r="Z66" i="9"/>
  <c r="AJ54" i="9"/>
  <c r="BC68" i="9"/>
  <c r="BT56" i="9"/>
  <c r="AK56" i="9"/>
  <c r="AA68" i="9"/>
  <c r="AK68" i="9" s="1"/>
  <c r="AC66" i="9"/>
  <c r="AM54" i="9"/>
  <c r="AA65" i="9"/>
  <c r="AK53" i="9"/>
  <c r="AB64" i="9"/>
  <c r="AB60" i="9"/>
  <c r="AL52" i="9"/>
  <c r="V49" i="9"/>
  <c r="V48" i="9"/>
  <c r="BN36" i="9"/>
  <c r="F49" i="9"/>
  <c r="F48" i="9"/>
  <c r="AK55" i="9"/>
  <c r="Z65" i="9"/>
  <c r="AJ53" i="9"/>
  <c r="BC72" i="9"/>
  <c r="AI60" i="9"/>
  <c r="AI64" i="9"/>
  <c r="AA44" i="9"/>
  <c r="I49" i="9"/>
  <c r="I48" i="9"/>
  <c r="R72" i="9"/>
  <c r="B72" i="9"/>
  <c r="AG40" i="9"/>
  <c r="AL40" i="9" s="1"/>
  <c r="T48" i="9"/>
  <c r="BL36" i="9"/>
  <c r="V37" i="9"/>
  <c r="T49" i="9"/>
  <c r="D48" i="9"/>
  <c r="D49" i="9"/>
  <c r="AG36" i="9"/>
  <c r="AL55" i="9"/>
  <c r="I72" i="9"/>
  <c r="AC44" i="9"/>
  <c r="AH40" i="9"/>
  <c r="S49" i="9"/>
  <c r="S48" i="9"/>
  <c r="AJ34" i="9"/>
  <c r="AK31" i="9"/>
  <c r="I144" i="9"/>
  <c r="I143" i="9"/>
  <c r="I115" i="9"/>
  <c r="T135" i="9"/>
  <c r="T84" i="9"/>
  <c r="BL12" i="9"/>
  <c r="D135" i="9"/>
  <c r="D84" i="9"/>
  <c r="D14" i="9"/>
  <c r="AC80" i="9"/>
  <c r="AM8" i="9"/>
  <c r="AE78" i="9"/>
  <c r="AG76" i="9"/>
  <c r="AG12" i="9"/>
  <c r="T144" i="9"/>
  <c r="T143" i="9"/>
  <c r="L144" i="9"/>
  <c r="L143" i="9"/>
  <c r="L115" i="9"/>
  <c r="D144" i="9"/>
  <c r="D143" i="9"/>
  <c r="D115" i="9"/>
  <c r="AF24" i="9"/>
  <c r="AG49" i="9"/>
  <c r="BD82" i="9"/>
  <c r="AA79" i="9"/>
  <c r="AK7" i="9"/>
  <c r="AH78" i="9"/>
  <c r="AF76" i="9"/>
  <c r="AF12" i="9"/>
  <c r="N135" i="9"/>
  <c r="N84" i="9"/>
  <c r="AG82" i="9"/>
  <c r="AE80" i="9"/>
  <c r="BC78" i="9"/>
  <c r="AE76" i="9"/>
  <c r="AE12" i="9"/>
  <c r="BC84" i="9"/>
  <c r="Q135" i="9"/>
  <c r="Q84" i="9"/>
  <c r="Z80" i="9"/>
  <c r="AJ8" i="9"/>
  <c r="AC79" i="9"/>
  <c r="AM7" i="9"/>
  <c r="BT7" i="9"/>
  <c r="AA76" i="9"/>
  <c r="AK4" i="9"/>
  <c r="AA12" i="9"/>
  <c r="AL4" i="9"/>
  <c r="E84" i="9"/>
  <c r="BC124" i="9"/>
  <c r="BD124" i="9"/>
  <c r="AC114" i="9"/>
  <c r="BT98" i="9"/>
  <c r="AB90" i="9"/>
  <c r="AL88" i="9"/>
  <c r="AJ56" i="9"/>
  <c r="Z68" i="9"/>
  <c r="Z70" i="9"/>
  <c r="AJ58" i="9"/>
  <c r="AA69" i="9"/>
  <c r="AK57" i="9"/>
  <c r="AC67" i="9"/>
  <c r="AM55" i="9"/>
  <c r="Z69" i="9"/>
  <c r="AJ57" i="9"/>
  <c r="BD67" i="9"/>
  <c r="BD64" i="9"/>
  <c r="AF41" i="9"/>
  <c r="AE41" i="9"/>
  <c r="AJ41" i="9" s="1"/>
  <c r="R49" i="9"/>
  <c r="R48" i="9"/>
  <c r="B49" i="9"/>
  <c r="B48" i="9"/>
  <c r="AM30" i="9"/>
  <c r="BT30" i="9"/>
  <c r="AI36" i="9"/>
  <c r="BC64" i="9"/>
  <c r="BT52" i="9"/>
  <c r="AE60" i="9"/>
  <c r="AE64" i="9"/>
  <c r="AG41" i="9"/>
  <c r="AL41" i="9" s="1"/>
  <c r="AE40" i="9"/>
  <c r="AJ40" i="9" s="1"/>
  <c r="AF40" i="9"/>
  <c r="U49" i="9"/>
  <c r="U48" i="9"/>
  <c r="BM36" i="9"/>
  <c r="G37" i="9"/>
  <c r="E49" i="9"/>
  <c r="E48" i="9"/>
  <c r="AL34" i="9"/>
  <c r="AH36" i="9"/>
  <c r="V72" i="9"/>
  <c r="BN72" i="9" s="1"/>
  <c r="F72" i="9"/>
  <c r="AG44" i="9"/>
  <c r="AL44" i="9" s="1"/>
  <c r="P48" i="9"/>
  <c r="P49" i="9"/>
  <c r="AM28" i="9"/>
  <c r="AC36" i="9"/>
  <c r="AS72" i="9"/>
  <c r="M72" i="9"/>
  <c r="AC40" i="9"/>
  <c r="O49" i="9"/>
  <c r="O48" i="9"/>
  <c r="AH60" i="9"/>
  <c r="AL28" i="9"/>
  <c r="U144" i="9"/>
  <c r="U143" i="9"/>
  <c r="M144" i="9"/>
  <c r="M143" i="9"/>
  <c r="M115" i="9"/>
  <c r="AA49" i="9"/>
  <c r="Z49" i="9"/>
  <c r="AI24" i="9"/>
  <c r="Z48" i="9"/>
  <c r="I145" i="9"/>
  <c r="P135" i="9"/>
  <c r="P84" i="9"/>
  <c r="AI82" i="9"/>
  <c r="AS138" i="9"/>
  <c r="AA78" i="9"/>
  <c r="AK6" i="9"/>
  <c r="AH77" i="9"/>
  <c r="AC76" i="9"/>
  <c r="AC12" i="9"/>
  <c r="AM4" i="9"/>
  <c r="AL16" i="9"/>
  <c r="T145" i="9"/>
  <c r="L145" i="9"/>
  <c r="D145" i="9"/>
  <c r="S135" i="9"/>
  <c r="S84" i="9"/>
  <c r="AC81" i="9"/>
  <c r="AM81" i="9" s="1"/>
  <c r="BT9" i="9"/>
  <c r="AM9" i="9"/>
  <c r="BC77" i="9"/>
  <c r="AG78" i="9"/>
  <c r="S144" i="9"/>
  <c r="S143" i="9"/>
  <c r="S115" i="9"/>
  <c r="AB24" i="9"/>
  <c r="AC49" i="9"/>
  <c r="Z24" i="9"/>
  <c r="K115" i="9"/>
  <c r="K143" i="9"/>
  <c r="K144" i="9"/>
  <c r="C144" i="9"/>
  <c r="C143" i="9"/>
  <c r="C115" i="9"/>
  <c r="J135" i="9"/>
  <c r="J84" i="9"/>
  <c r="J14" i="9"/>
  <c r="AC82" i="9"/>
  <c r="AM10" i="9"/>
  <c r="AA80" i="9"/>
  <c r="AK8" i="9"/>
  <c r="BT32" i="9"/>
  <c r="K48" i="9"/>
  <c r="G49" i="9"/>
  <c r="R144" i="9"/>
  <c r="R143" i="9"/>
  <c r="R115" i="9"/>
  <c r="J144" i="9"/>
  <c r="J143" i="9"/>
  <c r="J115" i="9"/>
  <c r="AI49" i="9"/>
  <c r="AH24" i="9"/>
  <c r="AM24" i="9" s="1"/>
  <c r="B144" i="9"/>
  <c r="B143" i="9"/>
  <c r="B115" i="9"/>
  <c r="AE49" i="9"/>
  <c r="AF49" i="9"/>
  <c r="AS135" i="9"/>
  <c r="BJ12" i="9"/>
  <c r="M135" i="9"/>
  <c r="M84" i="9"/>
  <c r="M14" i="9"/>
  <c r="AF82" i="9"/>
  <c r="AI81" i="9"/>
  <c r="AK5" i="9"/>
  <c r="AB12" i="9"/>
  <c r="AB114" i="9"/>
  <c r="Z114" i="9"/>
  <c r="AJ89" i="9"/>
  <c r="AC103" i="9"/>
  <c r="AB70" i="9"/>
  <c r="AL58" i="9"/>
  <c r="AC69" i="9"/>
  <c r="AM69" i="9" s="1"/>
  <c r="AM57" i="9"/>
  <c r="BC70" i="9"/>
  <c r="BT58" i="9"/>
  <c r="AA70" i="9"/>
  <c r="AK58" i="9"/>
  <c r="BD65" i="9"/>
  <c r="Z36" i="9"/>
  <c r="N49" i="9"/>
  <c r="N48" i="9"/>
  <c r="AA60" i="9"/>
  <c r="AA64" i="9"/>
  <c r="AK52" i="9"/>
  <c r="AA40" i="9"/>
  <c r="BJ36" i="9"/>
  <c r="Q49" i="9"/>
  <c r="Q48" i="9"/>
  <c r="S37" i="9"/>
  <c r="BT31" i="9"/>
  <c r="AM31" i="9"/>
  <c r="AL30" i="9"/>
  <c r="AJ28" i="9"/>
  <c r="AB36" i="9"/>
  <c r="L48" i="9"/>
  <c r="L49" i="9"/>
  <c r="AL54" i="9"/>
  <c r="AG60" i="9"/>
  <c r="AG64" i="9"/>
  <c r="Q72" i="9"/>
  <c r="AF42" i="9"/>
  <c r="AE42" i="9"/>
  <c r="AJ42" i="9" s="1"/>
  <c r="AM33" i="9"/>
  <c r="AJ30" i="9"/>
  <c r="AM29" i="9"/>
  <c r="E144" i="9"/>
  <c r="E143" i="9"/>
  <c r="E115" i="9"/>
  <c r="L135" i="9"/>
  <c r="L84" i="9"/>
  <c r="L14" i="9"/>
  <c r="AE82" i="9"/>
  <c r="AF79" i="9"/>
  <c r="AE43" i="9"/>
  <c r="AJ43" i="9" s="1"/>
  <c r="P144" i="9"/>
  <c r="P143" i="9"/>
  <c r="P115" i="9"/>
  <c r="AA24" i="9"/>
  <c r="AB49" i="9"/>
  <c r="H144" i="9"/>
  <c r="H143" i="9"/>
  <c r="H115" i="9"/>
  <c r="K135" i="9"/>
  <c r="K84" i="9"/>
  <c r="K14" i="9"/>
  <c r="AI79" i="9"/>
  <c r="Z78" i="9"/>
  <c r="AJ6" i="9"/>
  <c r="BJ77" i="9"/>
  <c r="AC77" i="9"/>
  <c r="AM5" i="9"/>
  <c r="BT5" i="9"/>
  <c r="AC78" i="9"/>
  <c r="AM6" i="9"/>
  <c r="V84" i="9"/>
  <c r="BN84" i="9" s="1"/>
  <c r="V135" i="9"/>
  <c r="BN12" i="9"/>
  <c r="F135" i="9"/>
  <c r="F84" i="9"/>
  <c r="F14" i="9"/>
  <c r="AB65" i="9"/>
  <c r="AL65" i="9" s="1"/>
  <c r="M37" i="9"/>
  <c r="AJ16" i="9"/>
  <c r="I135" i="9"/>
  <c r="I84" i="9"/>
  <c r="I14" i="9"/>
  <c r="AB82" i="9"/>
  <c r="AL10" i="9"/>
  <c r="AE81" i="9"/>
  <c r="AF78" i="9"/>
  <c r="AI77" i="9"/>
  <c r="BT4" i="9"/>
  <c r="Z76" i="9"/>
  <c r="AJ4" i="9"/>
  <c r="Z12" i="9"/>
  <c r="Z77" i="9"/>
  <c r="AJ5" i="9"/>
  <c r="BC76" i="9"/>
  <c r="C84" i="9"/>
  <c r="AA77" i="9"/>
  <c r="AB76" i="9"/>
  <c r="AH80" i="9"/>
  <c r="AS84" i="9" l="1"/>
  <c r="BL84" i="9"/>
  <c r="BL72" i="9"/>
  <c r="AL66" i="9"/>
  <c r="AK80" i="9"/>
  <c r="AM70" i="9"/>
  <c r="AM90" i="9"/>
  <c r="AL81" i="9"/>
  <c r="AM65" i="9"/>
  <c r="AL90" i="9"/>
  <c r="AM82" i="9"/>
  <c r="AM78" i="9"/>
  <c r="AK81" i="9"/>
  <c r="AK42" i="9"/>
  <c r="AM67" i="9"/>
  <c r="AM76" i="9"/>
  <c r="AK46" i="9"/>
  <c r="AM42" i="9"/>
  <c r="AJ66" i="9"/>
  <c r="BC141" i="9"/>
  <c r="AJ90" i="9"/>
  <c r="AJ67" i="9"/>
  <c r="AM77" i="9"/>
  <c r="AM79" i="9"/>
  <c r="Q146" i="9"/>
  <c r="AL68" i="9"/>
  <c r="AL70" i="9"/>
  <c r="AK69" i="9"/>
  <c r="AM66" i="9"/>
  <c r="BJ72" i="9"/>
  <c r="AE72" i="9"/>
  <c r="AM68" i="9"/>
  <c r="AM41" i="9"/>
  <c r="AK40" i="9"/>
  <c r="AG48" i="9"/>
  <c r="AL48" i="9" s="1"/>
  <c r="AK41" i="9"/>
  <c r="AK65" i="9"/>
  <c r="AL80" i="9"/>
  <c r="AL77" i="9"/>
  <c r="AK43" i="9"/>
  <c r="AK70" i="9"/>
  <c r="AK76" i="9"/>
  <c r="AJ79" i="9"/>
  <c r="AL76" i="9"/>
  <c r="AK64" i="9"/>
  <c r="AK24" i="9"/>
  <c r="AA48" i="9"/>
  <c r="AM45" i="9"/>
  <c r="P146" i="9"/>
  <c r="AL67" i="9"/>
  <c r="AL49" i="9"/>
  <c r="AL24" i="9"/>
  <c r="AF72" i="9"/>
  <c r="O146" i="9"/>
  <c r="AG72" i="9"/>
  <c r="AL36" i="9"/>
  <c r="AJ36" i="9"/>
  <c r="BJ84" i="9"/>
  <c r="AJ24" i="9"/>
  <c r="S146" i="9"/>
  <c r="M146" i="9"/>
  <c r="AK44" i="9"/>
  <c r="AK36" i="9"/>
  <c r="AH84" i="9"/>
  <c r="AL82" i="9"/>
  <c r="AK77" i="9"/>
  <c r="J146" i="9"/>
  <c r="K146" i="9"/>
  <c r="U146" i="9"/>
  <c r="AJ69" i="9"/>
  <c r="AJ78" i="9"/>
  <c r="AJ70" i="9"/>
  <c r="AJ65" i="9"/>
  <c r="AJ77" i="9"/>
  <c r="AM49" i="9"/>
  <c r="AJ68" i="9"/>
  <c r="AJ76" i="9"/>
  <c r="AS141" i="9"/>
  <c r="AJ80" i="9"/>
  <c r="Z135" i="9"/>
  <c r="Z134" i="9"/>
  <c r="Z130" i="9"/>
  <c r="Z131" i="9"/>
  <c r="Z132" i="9"/>
  <c r="Z128" i="9"/>
  <c r="Z129" i="9"/>
  <c r="Z133" i="9"/>
  <c r="Z84" i="9"/>
  <c r="E146" i="9"/>
  <c r="AB84" i="9"/>
  <c r="AL12" i="9"/>
  <c r="B146" i="9"/>
  <c r="R146" i="9"/>
  <c r="AI48" i="9"/>
  <c r="C146" i="9"/>
  <c r="BT36" i="9"/>
  <c r="AM36" i="9"/>
  <c r="AF84" i="9"/>
  <c r="AF14" i="9"/>
  <c r="AK79" i="9"/>
  <c r="L146" i="9"/>
  <c r="V146" i="9"/>
  <c r="G146" i="9"/>
  <c r="AJ82" i="9"/>
  <c r="AL79" i="9"/>
  <c r="Z72" i="9"/>
  <c r="AJ60" i="9"/>
  <c r="AM40" i="9"/>
  <c r="AF48" i="9"/>
  <c r="AE48" i="9"/>
  <c r="AJ48" i="9" s="1"/>
  <c r="AA84" i="9"/>
  <c r="AK12" i="9"/>
  <c r="D146" i="9"/>
  <c r="AM80" i="9"/>
  <c r="AI72" i="9"/>
  <c r="AL78" i="9"/>
  <c r="N146" i="9"/>
  <c r="AM43" i="9"/>
  <c r="AK82" i="9"/>
  <c r="AH48" i="9"/>
  <c r="H146" i="9"/>
  <c r="AC84" i="9"/>
  <c r="AM12" i="9"/>
  <c r="BT12" i="9"/>
  <c r="AK78" i="9"/>
  <c r="AJ49" i="9"/>
  <c r="AH72" i="9"/>
  <c r="AE84" i="9"/>
  <c r="AE14" i="9"/>
  <c r="T146" i="9"/>
  <c r="I146" i="9"/>
  <c r="AB72" i="9"/>
  <c r="AL60" i="9"/>
  <c r="F146" i="9"/>
  <c r="AI84" i="9"/>
  <c r="AI14" i="9"/>
  <c r="AC72" i="9"/>
  <c r="AM60" i="9"/>
  <c r="BT103" i="9"/>
  <c r="AA72" i="9"/>
  <c r="AK60" i="9"/>
  <c r="AK49" i="9"/>
  <c r="AG84" i="9"/>
  <c r="AG14" i="9"/>
  <c r="AM44" i="9"/>
  <c r="AC48" i="9"/>
  <c r="AL64" i="9"/>
  <c r="AJ81" i="9"/>
  <c r="AJ64" i="9"/>
  <c r="AM84" i="9" l="1"/>
  <c r="AK72" i="9"/>
  <c r="AK48" i="9"/>
  <c r="AJ72" i="9"/>
  <c r="AL72" i="9"/>
  <c r="AK84" i="9"/>
  <c r="AM48" i="9"/>
  <c r="AL84" i="9"/>
  <c r="AM72" i="9"/>
  <c r="AJ84" i="9"/>
  <c r="AS139" i="7" l="1"/>
  <c r="AS130" i="7"/>
  <c r="AS131" i="7"/>
  <c r="AS132" i="7"/>
  <c r="AS133" i="7"/>
  <c r="AS134" i="7"/>
  <c r="AS135" i="7"/>
  <c r="AS136" i="7"/>
  <c r="AS137" i="7"/>
  <c r="AS97" i="7"/>
  <c r="AS98" i="7"/>
  <c r="AS99" i="7"/>
  <c r="AS100" i="7"/>
  <c r="AS101" i="7"/>
  <c r="AS102" i="7"/>
  <c r="AS103" i="7"/>
  <c r="AS104" i="7"/>
  <c r="AS130" i="8"/>
  <c r="AS131" i="8"/>
  <c r="AS132" i="8"/>
  <c r="AS133" i="8"/>
  <c r="AS134" i="8"/>
  <c r="AS135" i="8"/>
  <c r="AS136" i="8"/>
  <c r="AS137" i="8"/>
  <c r="AS97" i="8"/>
  <c r="AS98" i="8"/>
  <c r="AS99" i="8"/>
  <c r="AS100" i="8"/>
  <c r="AS101" i="8"/>
  <c r="AS102" i="8"/>
  <c r="AS103" i="8"/>
  <c r="AS104" i="8"/>
  <c r="AS5" i="8"/>
  <c r="AS6" i="8"/>
  <c r="AS7" i="8"/>
  <c r="AS8" i="8"/>
  <c r="AS9" i="8"/>
  <c r="AS10" i="8"/>
  <c r="AS11" i="8"/>
  <c r="AS12" i="8"/>
  <c r="AS5" i="7"/>
  <c r="AR4" i="9" s="1"/>
  <c r="AS6" i="7"/>
  <c r="AS7" i="7"/>
  <c r="AR6" i="9" s="1"/>
  <c r="AS8" i="7"/>
  <c r="AR7" i="9" s="1"/>
  <c r="AS9" i="7"/>
  <c r="AR8" i="9" s="1"/>
  <c r="AS10" i="7"/>
  <c r="AR9" i="9" s="1"/>
  <c r="AS11" i="7"/>
  <c r="AR10" i="9" s="1"/>
  <c r="AS12" i="7"/>
  <c r="AS54" i="7"/>
  <c r="AS55" i="7"/>
  <c r="AS56" i="7"/>
  <c r="AS57" i="7"/>
  <c r="AS58" i="7"/>
  <c r="AS59" i="7"/>
  <c r="AS60" i="7"/>
  <c r="AS61" i="7"/>
  <c r="AS54" i="8"/>
  <c r="AS55" i="8"/>
  <c r="AS56" i="8"/>
  <c r="AS57" i="8"/>
  <c r="AS58" i="8"/>
  <c r="AS59" i="8"/>
  <c r="AS60" i="8"/>
  <c r="AS61" i="8"/>
  <c r="AS30" i="8"/>
  <c r="AS31" i="8"/>
  <c r="AS32" i="8"/>
  <c r="AS33" i="8"/>
  <c r="AS34" i="8"/>
  <c r="AS35" i="8"/>
  <c r="AS36" i="8"/>
  <c r="AS37" i="8"/>
  <c r="AS30" i="7"/>
  <c r="AR28" i="9" s="1"/>
  <c r="AS31" i="7"/>
  <c r="AR29" i="9" s="1"/>
  <c r="AS32" i="7"/>
  <c r="AR30" i="9" s="1"/>
  <c r="AS33" i="7"/>
  <c r="AR31" i="9" s="1"/>
  <c r="AS34" i="7"/>
  <c r="AR32" i="9" s="1"/>
  <c r="AS35" i="7"/>
  <c r="AR33" i="9" s="1"/>
  <c r="AS36" i="7"/>
  <c r="AR34" i="9" s="1"/>
  <c r="AS37" i="7"/>
  <c r="AR35" i="9" s="1"/>
  <c r="AS18" i="8"/>
  <c r="AS19" i="8"/>
  <c r="AS20" i="8"/>
  <c r="AS21" i="8"/>
  <c r="AS22" i="8"/>
  <c r="AS23" i="8"/>
  <c r="AS24" i="8"/>
  <c r="AS25" i="8"/>
  <c r="AS18" i="7"/>
  <c r="AR16" i="9" s="1"/>
  <c r="AS19" i="7"/>
  <c r="AR17" i="9" s="1"/>
  <c r="AS20" i="7"/>
  <c r="AR18" i="9" s="1"/>
  <c r="AS21" i="7"/>
  <c r="AR19" i="9" s="1"/>
  <c r="AS22" i="7"/>
  <c r="AR20" i="9" s="1"/>
  <c r="AS23" i="7"/>
  <c r="AR21" i="9" s="1"/>
  <c r="AS24" i="7"/>
  <c r="AR22" i="9" s="1"/>
  <c r="AS25" i="7"/>
  <c r="AR23" i="9" s="1"/>
  <c r="AS47" i="9" s="1"/>
  <c r="AR5" i="9" l="1"/>
  <c r="AR11" i="9"/>
  <c r="BI21" i="9"/>
  <c r="AS45" i="9"/>
  <c r="BJ45" i="9" s="1"/>
  <c r="BI17" i="9"/>
  <c r="AS41" i="9"/>
  <c r="BJ41" i="9" s="1"/>
  <c r="BI33" i="9"/>
  <c r="BI29" i="9"/>
  <c r="AR150" i="9"/>
  <c r="AR57" i="9"/>
  <c r="AR81" i="9" s="1"/>
  <c r="BI81" i="9" s="1"/>
  <c r="AR53" i="9"/>
  <c r="BI9" i="9"/>
  <c r="AR132" i="9"/>
  <c r="AR128" i="9"/>
  <c r="BI5" i="9"/>
  <c r="AR165" i="9"/>
  <c r="AR100" i="9"/>
  <c r="AR96" i="9"/>
  <c r="BI20" i="9"/>
  <c r="AS44" i="9"/>
  <c r="BJ44" i="9" s="1"/>
  <c r="AS40" i="9"/>
  <c r="BJ40" i="9" s="1"/>
  <c r="BI16" i="9"/>
  <c r="AR24" i="9"/>
  <c r="BI32" i="9"/>
  <c r="AR149" i="9"/>
  <c r="AR36" i="9"/>
  <c r="BI28" i="9"/>
  <c r="AR151" i="9"/>
  <c r="AR56" i="9"/>
  <c r="AR80" i="9" s="1"/>
  <c r="BI80" i="9" s="1"/>
  <c r="AR52" i="9"/>
  <c r="AR76" i="9" s="1"/>
  <c r="BI76" i="9" s="1"/>
  <c r="AR164" i="9"/>
  <c r="BI8" i="9"/>
  <c r="AR131" i="9"/>
  <c r="AR134" i="9"/>
  <c r="AR140" i="9" s="1"/>
  <c r="BI4" i="9"/>
  <c r="AR12" i="9"/>
  <c r="AR166" i="9"/>
  <c r="AR99" i="9"/>
  <c r="AR95" i="9"/>
  <c r="BI19" i="9"/>
  <c r="AS43" i="9"/>
  <c r="BJ43" i="9" s="1"/>
  <c r="BI31" i="9"/>
  <c r="AR59" i="9"/>
  <c r="AR71" i="9" s="1"/>
  <c r="AR55" i="9"/>
  <c r="AR79" i="9" s="1"/>
  <c r="BI79" i="9" s="1"/>
  <c r="BI7" i="9"/>
  <c r="AR130" i="9"/>
  <c r="AR102" i="9"/>
  <c r="AR98" i="9"/>
  <c r="AS46" i="9"/>
  <c r="BJ46" i="9" s="1"/>
  <c r="BI22" i="9"/>
  <c r="AS42" i="9"/>
  <c r="BJ42" i="9" s="1"/>
  <c r="BI18" i="9"/>
  <c r="BI34" i="9"/>
  <c r="BI30" i="9"/>
  <c r="AR58" i="9"/>
  <c r="AR54" i="9"/>
  <c r="AR133" i="9"/>
  <c r="BI10" i="9"/>
  <c r="BI6" i="9"/>
  <c r="AR129" i="9"/>
  <c r="AR101" i="9"/>
  <c r="AR97" i="9"/>
  <c r="AU18" i="8"/>
  <c r="AV42" i="8" s="1"/>
  <c r="AU19" i="8"/>
  <c r="AV43" i="8" s="1"/>
  <c r="AU20" i="8"/>
  <c r="AV44" i="8" s="1"/>
  <c r="AU21" i="8"/>
  <c r="AU22" i="8"/>
  <c r="AV46" i="8" s="1"/>
  <c r="AU23" i="8"/>
  <c r="AV47" i="8" s="1"/>
  <c r="AU24" i="8"/>
  <c r="AV48" i="8" s="1"/>
  <c r="AU25" i="8"/>
  <c r="AU30" i="8"/>
  <c r="AU31" i="8"/>
  <c r="AU32" i="8"/>
  <c r="AU33" i="8"/>
  <c r="AU34" i="8"/>
  <c r="AU35" i="8"/>
  <c r="BL35" i="8" s="1"/>
  <c r="AU36" i="8"/>
  <c r="AU37" i="8"/>
  <c r="AU54" i="8"/>
  <c r="AU55" i="8"/>
  <c r="AU56" i="8"/>
  <c r="AU57" i="8"/>
  <c r="AU58" i="8"/>
  <c r="AU59" i="8"/>
  <c r="AU60" i="8"/>
  <c r="BL60" i="8" s="1"/>
  <c r="AU61" i="8"/>
  <c r="AU130" i="8"/>
  <c r="AU131" i="8"/>
  <c r="BL131" i="8" s="1"/>
  <c r="AU132" i="8"/>
  <c r="AU133" i="8"/>
  <c r="AU134" i="8"/>
  <c r="BL134" i="8" s="1"/>
  <c r="AU135" i="8"/>
  <c r="BL135" i="8" s="1"/>
  <c r="AU136" i="8"/>
  <c r="AU137" i="8"/>
  <c r="AU97" i="8"/>
  <c r="AU98" i="8"/>
  <c r="AU99" i="8"/>
  <c r="BL99" i="8" s="1"/>
  <c r="AU100" i="8"/>
  <c r="AU101" i="8"/>
  <c r="BL101" i="8" s="1"/>
  <c r="AU102" i="8"/>
  <c r="BL102" i="8" s="1"/>
  <c r="AU103" i="8"/>
  <c r="BL103" i="8" s="1"/>
  <c r="AU104" i="8"/>
  <c r="AU5" i="8"/>
  <c r="AU78" i="8" s="1"/>
  <c r="AU6" i="8"/>
  <c r="AU79" i="8" s="1"/>
  <c r="BL79" i="8" s="1"/>
  <c r="AU7" i="8"/>
  <c r="AU80" i="8" s="1"/>
  <c r="AU8" i="8"/>
  <c r="BL8" i="8" s="1"/>
  <c r="AU9" i="8"/>
  <c r="AU82" i="8" s="1"/>
  <c r="BL82" i="8" s="1"/>
  <c r="AU10" i="8"/>
  <c r="AU11" i="8"/>
  <c r="AU84" i="8" s="1"/>
  <c r="AU12" i="8"/>
  <c r="AR137" i="8"/>
  <c r="AQ137" i="8"/>
  <c r="BR136" i="8"/>
  <c r="BQ136" i="8"/>
  <c r="BN136" i="8"/>
  <c r="BM136" i="8"/>
  <c r="BJ136" i="8"/>
  <c r="AR136" i="8"/>
  <c r="BI136" i="8" s="1"/>
  <c r="AQ136" i="8"/>
  <c r="AP136" i="8"/>
  <c r="BP136" i="8"/>
  <c r="BO136" i="8"/>
  <c r="BQ135" i="8"/>
  <c r="BP135" i="8"/>
  <c r="BM135" i="8"/>
  <c r="BK135" i="8"/>
  <c r="AR135" i="8"/>
  <c r="BI135" i="8" s="1"/>
  <c r="AQ135" i="8"/>
  <c r="BH135" i="8" s="1"/>
  <c r="AP135" i="8"/>
  <c r="BG135" i="8" s="1"/>
  <c r="BR135" i="8"/>
  <c r="BO135" i="8"/>
  <c r="BN135" i="8"/>
  <c r="BP134" i="8"/>
  <c r="BO134" i="8"/>
  <c r="BK134" i="8"/>
  <c r="AR134" i="8"/>
  <c r="BI134" i="8" s="1"/>
  <c r="AQ134" i="8"/>
  <c r="BH134" i="8" s="1"/>
  <c r="AP134" i="8"/>
  <c r="BG134" i="8" s="1"/>
  <c r="BR134" i="8"/>
  <c r="BQ134" i="8"/>
  <c r="BN134" i="8"/>
  <c r="BM134" i="8"/>
  <c r="BR133" i="8"/>
  <c r="BO133" i="8"/>
  <c r="BN133" i="8"/>
  <c r="BK133" i="8"/>
  <c r="BJ133" i="8"/>
  <c r="AR133" i="8"/>
  <c r="AQ133" i="8"/>
  <c r="AP133" i="8"/>
  <c r="BG133" i="8" s="1"/>
  <c r="BQ133" i="8"/>
  <c r="BR132" i="8"/>
  <c r="BQ132" i="8"/>
  <c r="BN132" i="8"/>
  <c r="BM132" i="8"/>
  <c r="BJ132" i="8"/>
  <c r="AR132" i="8"/>
  <c r="BI132" i="8" s="1"/>
  <c r="AQ132" i="8"/>
  <c r="AP132" i="8"/>
  <c r="BP132" i="8"/>
  <c r="BO132" i="8"/>
  <c r="BQ131" i="8"/>
  <c r="BP131" i="8"/>
  <c r="BM131" i="8"/>
  <c r="BK131" i="8"/>
  <c r="AR131" i="8"/>
  <c r="BI131" i="8" s="1"/>
  <c r="AQ131" i="8"/>
  <c r="AP131" i="8"/>
  <c r="BG131" i="8" s="1"/>
  <c r="BR131" i="8"/>
  <c r="BN131" i="8"/>
  <c r="G138" i="8"/>
  <c r="BO130" i="8"/>
  <c r="BK130" i="8"/>
  <c r="AT138" i="8"/>
  <c r="AR130" i="8"/>
  <c r="BI130" i="8" s="1"/>
  <c r="AQ130" i="8"/>
  <c r="AP130" i="8"/>
  <c r="T138" i="8"/>
  <c r="R138" i="8"/>
  <c r="Q138" i="8"/>
  <c r="P138" i="8"/>
  <c r="N138" i="8"/>
  <c r="M138" i="8"/>
  <c r="L138" i="8"/>
  <c r="J138" i="8"/>
  <c r="H138" i="8"/>
  <c r="F138" i="8"/>
  <c r="E138" i="8"/>
  <c r="D138" i="8"/>
  <c r="AF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V126" i="8"/>
  <c r="BN126" i="8" s="1"/>
  <c r="BR125" i="8"/>
  <c r="BO125" i="8"/>
  <c r="BN125" i="8"/>
  <c r="BM125" i="8"/>
  <c r="BI125" i="8"/>
  <c r="AU125" i="8"/>
  <c r="BL125" i="8" s="1"/>
  <c r="AT125" i="8"/>
  <c r="AS125" i="8"/>
  <c r="BJ125" i="8" s="1"/>
  <c r="AQ125" i="8"/>
  <c r="BH125" i="8" s="1"/>
  <c r="AP125" i="8"/>
  <c r="BP125" i="8"/>
  <c r="BR124" i="8"/>
  <c r="BQ124" i="8"/>
  <c r="BO124" i="8"/>
  <c r="BN124" i="8"/>
  <c r="AU124" i="8"/>
  <c r="BL124" i="8" s="1"/>
  <c r="AT124" i="8"/>
  <c r="AS124" i="8"/>
  <c r="BJ124" i="8" s="1"/>
  <c r="AR124" i="8"/>
  <c r="BI124" i="8" s="1"/>
  <c r="AQ124" i="8"/>
  <c r="BH124" i="8" s="1"/>
  <c r="AP124" i="8"/>
  <c r="BP124" i="8"/>
  <c r="BR123" i="8"/>
  <c r="BN123" i="8"/>
  <c r="BM123" i="8"/>
  <c r="AU123" i="8"/>
  <c r="AT123" i="8"/>
  <c r="AS123" i="8"/>
  <c r="AR123" i="8"/>
  <c r="BI123" i="8" s="1"/>
  <c r="AQ123" i="8"/>
  <c r="BH123" i="8" s="1"/>
  <c r="AP123" i="8"/>
  <c r="BG123" i="8" s="1"/>
  <c r="BQ123" i="8"/>
  <c r="BP123" i="8"/>
  <c r="BO123" i="8"/>
  <c r="BK123" i="8"/>
  <c r="BQ122" i="8"/>
  <c r="BN122" i="8"/>
  <c r="BM122" i="8"/>
  <c r="AU122" i="8"/>
  <c r="BL122" i="8" s="1"/>
  <c r="AT122" i="8"/>
  <c r="BK122" i="8" s="1"/>
  <c r="AS122" i="8"/>
  <c r="BJ122" i="8" s="1"/>
  <c r="AR122" i="8"/>
  <c r="BI122" i="8" s="1"/>
  <c r="AQ122" i="8"/>
  <c r="BH122" i="8" s="1"/>
  <c r="AP122" i="8"/>
  <c r="BG122" i="8" s="1"/>
  <c r="BR122" i="8"/>
  <c r="BP122" i="8"/>
  <c r="BO122" i="8"/>
  <c r="BR121" i="8"/>
  <c r="BQ121" i="8"/>
  <c r="BP121" i="8"/>
  <c r="BO121" i="8"/>
  <c r="BN121" i="8"/>
  <c r="BM121" i="8"/>
  <c r="BL121" i="8"/>
  <c r="BK121" i="8"/>
  <c r="BJ121" i="8"/>
  <c r="BI121" i="8"/>
  <c r="BH121" i="8"/>
  <c r="BG121" i="8"/>
  <c r="BN120" i="8"/>
  <c r="BM120" i="8"/>
  <c r="AU120" i="8"/>
  <c r="AT120" i="8"/>
  <c r="AS120" i="8"/>
  <c r="AR120" i="8"/>
  <c r="AQ120" i="8"/>
  <c r="AP120" i="8"/>
  <c r="Z126" i="8"/>
  <c r="BR126" i="8" s="1"/>
  <c r="Y126" i="8"/>
  <c r="BQ126" i="8" s="1"/>
  <c r="BP120" i="8"/>
  <c r="W126" i="8"/>
  <c r="BO126" i="8" s="1"/>
  <c r="U126" i="8"/>
  <c r="BM126" i="8" s="1"/>
  <c r="T126" i="8"/>
  <c r="S126" i="8"/>
  <c r="R126" i="8"/>
  <c r="Q126" i="8"/>
  <c r="P126" i="8"/>
  <c r="O126" i="8"/>
  <c r="N126" i="8"/>
  <c r="M126" i="8"/>
  <c r="L126" i="8"/>
  <c r="K126" i="8"/>
  <c r="J126" i="8"/>
  <c r="I126" i="8"/>
  <c r="H126" i="8"/>
  <c r="G126" i="8"/>
  <c r="F126" i="8"/>
  <c r="E126" i="8"/>
  <c r="D126" i="8"/>
  <c r="C126" i="8"/>
  <c r="V117" i="8"/>
  <c r="U117" i="8"/>
  <c r="BE116" i="8"/>
  <c r="BD116" i="8"/>
  <c r="V116" i="8"/>
  <c r="U116" i="8"/>
  <c r="T116" i="8"/>
  <c r="AC116" i="8" s="1"/>
  <c r="AU115" i="8"/>
  <c r="AT113" i="9" s="1"/>
  <c r="BB113" i="9" s="1"/>
  <c r="AT115" i="8"/>
  <c r="AS113" i="9" s="1"/>
  <c r="AS115" i="8"/>
  <c r="AR113" i="9" s="1"/>
  <c r="AR115" i="8"/>
  <c r="AQ115" i="8"/>
  <c r="AU114" i="8"/>
  <c r="AT114" i="8"/>
  <c r="AS114" i="8"/>
  <c r="AR112" i="9" s="1"/>
  <c r="AR114" i="8"/>
  <c r="BI114" i="8" s="1"/>
  <c r="AQ114" i="8"/>
  <c r="AP114" i="8"/>
  <c r="BG114" i="8" s="1"/>
  <c r="AU113" i="8"/>
  <c r="AT113" i="8"/>
  <c r="AS113" i="8"/>
  <c r="AR113" i="8"/>
  <c r="BI113" i="8" s="1"/>
  <c r="AQ113" i="8"/>
  <c r="BH113" i="8" s="1"/>
  <c r="AP113" i="8"/>
  <c r="BG113" i="8" s="1"/>
  <c r="AU112" i="8"/>
  <c r="AT112" i="8"/>
  <c r="AS112" i="8"/>
  <c r="AR110" i="9" s="1"/>
  <c r="AR112" i="8"/>
  <c r="BI112" i="8" s="1"/>
  <c r="AQ112" i="8"/>
  <c r="AP112" i="8"/>
  <c r="BG112" i="8" s="1"/>
  <c r="AU111" i="8"/>
  <c r="AT111" i="8"/>
  <c r="AS109" i="9" s="1"/>
  <c r="AS111" i="8"/>
  <c r="AR111" i="8"/>
  <c r="AQ111" i="8"/>
  <c r="BH111" i="8" s="1"/>
  <c r="AP111" i="8"/>
  <c r="BG111" i="8" s="1"/>
  <c r="AU110" i="8"/>
  <c r="AT108" i="9" s="1"/>
  <c r="AT110" i="8"/>
  <c r="AS110" i="8"/>
  <c r="AR110" i="8"/>
  <c r="BI110" i="8" s="1"/>
  <c r="AQ110" i="8"/>
  <c r="BH110" i="8" s="1"/>
  <c r="AP110" i="8"/>
  <c r="BG110" i="8" s="1"/>
  <c r="AU109" i="8"/>
  <c r="AT107" i="9" s="1"/>
  <c r="AT109" i="8"/>
  <c r="AS107" i="9" s="1"/>
  <c r="AS109" i="8"/>
  <c r="AR109" i="8"/>
  <c r="AQ109" i="8"/>
  <c r="BH109" i="8" s="1"/>
  <c r="AP109" i="8"/>
  <c r="Z116" i="8"/>
  <c r="AE116" i="8" s="1"/>
  <c r="AO116" i="8" s="1"/>
  <c r="X116" i="8"/>
  <c r="S116" i="8"/>
  <c r="R116" i="8"/>
  <c r="Q116" i="8"/>
  <c r="AB116" i="8" s="1"/>
  <c r="P116" i="8"/>
  <c r="O116" i="8"/>
  <c r="N116" i="8"/>
  <c r="AJ116" i="8" s="1"/>
  <c r="M116" i="8"/>
  <c r="L116" i="8"/>
  <c r="K116" i="8"/>
  <c r="AI116" i="8" s="1"/>
  <c r="J116" i="8"/>
  <c r="I116" i="8"/>
  <c r="H116" i="8"/>
  <c r="AH116" i="8" s="1"/>
  <c r="G116" i="8"/>
  <c r="F116" i="8"/>
  <c r="E116" i="8"/>
  <c r="AG116" i="8" s="1"/>
  <c r="D116" i="8"/>
  <c r="C116" i="8"/>
  <c r="AJ108" i="8"/>
  <c r="AJ119" i="8" s="1"/>
  <c r="AI108" i="8"/>
  <c r="AI119" i="8" s="1"/>
  <c r="AH108" i="8"/>
  <c r="AH119" i="8" s="1"/>
  <c r="AG108" i="8"/>
  <c r="AG119" i="8" s="1"/>
  <c r="BA105" i="8"/>
  <c r="AZ105" i="8"/>
  <c r="AY105" i="8"/>
  <c r="AX105" i="8"/>
  <c r="AW105" i="8"/>
  <c r="BN105" i="8" s="1"/>
  <c r="AV105" i="8"/>
  <c r="W105" i="8"/>
  <c r="BO105" i="8" s="1"/>
  <c r="V105" i="8"/>
  <c r="U105" i="8"/>
  <c r="AR104" i="8"/>
  <c r="AQ104" i="8"/>
  <c r="BO103" i="8"/>
  <c r="BN103" i="8"/>
  <c r="BM103" i="8"/>
  <c r="BK103" i="8"/>
  <c r="BJ103" i="8"/>
  <c r="AR103" i="8"/>
  <c r="BI103" i="8" s="1"/>
  <c r="AQ103" i="8"/>
  <c r="BH103" i="8" s="1"/>
  <c r="AP103" i="8"/>
  <c r="BG103" i="8" s="1"/>
  <c r="BR103" i="8"/>
  <c r="BQ103" i="8"/>
  <c r="BP103" i="8"/>
  <c r="BO102" i="8"/>
  <c r="BN102" i="8"/>
  <c r="BM102" i="8"/>
  <c r="BK102" i="8"/>
  <c r="BJ102" i="8"/>
  <c r="AR102" i="8"/>
  <c r="BI102" i="8" s="1"/>
  <c r="AQ102" i="8"/>
  <c r="BH102" i="8" s="1"/>
  <c r="AP102" i="8"/>
  <c r="BG102" i="8" s="1"/>
  <c r="BR102" i="8"/>
  <c r="BQ102" i="8"/>
  <c r="BP102" i="8"/>
  <c r="BO101" i="8"/>
  <c r="BN101" i="8"/>
  <c r="BM101" i="8"/>
  <c r="BK101" i="8"/>
  <c r="BJ101" i="8"/>
  <c r="AR101" i="8"/>
  <c r="BI101" i="8" s="1"/>
  <c r="AQ101" i="8"/>
  <c r="BH101" i="8" s="1"/>
  <c r="AP101" i="8"/>
  <c r="BG101" i="8" s="1"/>
  <c r="BR101" i="8"/>
  <c r="BQ101" i="8"/>
  <c r="BP101" i="8"/>
  <c r="BO100" i="8"/>
  <c r="BN100" i="8"/>
  <c r="BM100" i="8"/>
  <c r="BK100" i="8"/>
  <c r="BL100" i="8"/>
  <c r="BJ100" i="8"/>
  <c r="AR100" i="8"/>
  <c r="BI100" i="8" s="1"/>
  <c r="AQ100" i="8"/>
  <c r="BH100" i="8" s="1"/>
  <c r="AP100" i="8"/>
  <c r="BG100" i="8" s="1"/>
  <c r="BR100" i="8"/>
  <c r="BQ100" i="8"/>
  <c r="BP100" i="8"/>
  <c r="BO99" i="8"/>
  <c r="BN99" i="8"/>
  <c r="BM99" i="8"/>
  <c r="BK99" i="8"/>
  <c r="BJ99" i="8"/>
  <c r="AR99" i="8"/>
  <c r="BI99" i="8" s="1"/>
  <c r="AQ99" i="8"/>
  <c r="BH99" i="8" s="1"/>
  <c r="AP99" i="8"/>
  <c r="BG99" i="8" s="1"/>
  <c r="BR99" i="8"/>
  <c r="BQ99" i="8"/>
  <c r="BP99" i="8"/>
  <c r="BO98" i="8"/>
  <c r="BN98" i="8"/>
  <c r="BM98" i="8"/>
  <c r="BK98" i="8"/>
  <c r="BL98" i="8"/>
  <c r="BJ98" i="8"/>
  <c r="AR98" i="8"/>
  <c r="BI98" i="8" s="1"/>
  <c r="AQ98" i="8"/>
  <c r="BH98" i="8" s="1"/>
  <c r="AP98" i="8"/>
  <c r="BG98" i="8" s="1"/>
  <c r="BR98" i="8"/>
  <c r="BQ98" i="8"/>
  <c r="BP98" i="8"/>
  <c r="BO97" i="8"/>
  <c r="BN97" i="8"/>
  <c r="BM97" i="8"/>
  <c r="BK97" i="8"/>
  <c r="AT105" i="8"/>
  <c r="AS105" i="8"/>
  <c r="BJ105" i="8" s="1"/>
  <c r="AR97" i="8"/>
  <c r="BI97" i="8" s="1"/>
  <c r="AQ97" i="8"/>
  <c r="AP97" i="8"/>
  <c r="AI105" i="8"/>
  <c r="BR97" i="8"/>
  <c r="X105" i="8"/>
  <c r="T105" i="8"/>
  <c r="S105" i="8"/>
  <c r="R105" i="8"/>
  <c r="Q105" i="8"/>
  <c r="P105" i="8"/>
  <c r="N105" i="8"/>
  <c r="M105" i="8"/>
  <c r="K105" i="8"/>
  <c r="J105" i="8"/>
  <c r="I105" i="8"/>
  <c r="H105" i="8"/>
  <c r="G105" i="8"/>
  <c r="E105" i="8"/>
  <c r="D105" i="8"/>
  <c r="C105" i="8"/>
  <c r="AF96" i="8"/>
  <c r="AF108" i="8" s="1"/>
  <c r="AF119" i="8" s="1"/>
  <c r="AA96" i="8"/>
  <c r="AA108" i="8" s="1"/>
  <c r="Z96" i="8"/>
  <c r="Y96" i="8"/>
  <c r="X96" i="8"/>
  <c r="W96" i="8"/>
  <c r="V96" i="8"/>
  <c r="U96" i="8"/>
  <c r="T96" i="8"/>
  <c r="S96" i="8"/>
  <c r="R96" i="8"/>
  <c r="Q96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W92" i="8"/>
  <c r="BO92" i="8" s="1"/>
  <c r="V92" i="8"/>
  <c r="BN92" i="8" s="1"/>
  <c r="U92" i="8"/>
  <c r="BM92" i="8" s="1"/>
  <c r="T92" i="8"/>
  <c r="S92" i="8"/>
  <c r="R92" i="8"/>
  <c r="Q92" i="8"/>
  <c r="P92" i="8"/>
  <c r="O92" i="8"/>
  <c r="N92" i="8"/>
  <c r="M92" i="8"/>
  <c r="L92" i="8"/>
  <c r="AJ92" i="8" s="1"/>
  <c r="K92" i="8"/>
  <c r="J92" i="8"/>
  <c r="I92" i="8"/>
  <c r="AI92" i="8" s="1"/>
  <c r="H92" i="8"/>
  <c r="AH92" i="8" s="1"/>
  <c r="G92" i="8"/>
  <c r="F92" i="8"/>
  <c r="E92" i="8"/>
  <c r="D92" i="8"/>
  <c r="C92" i="8"/>
  <c r="BO91" i="8"/>
  <c r="BN91" i="8"/>
  <c r="BM91" i="8"/>
  <c r="AU91" i="8"/>
  <c r="BL91" i="8" s="1"/>
  <c r="AT91" i="8"/>
  <c r="BK91" i="8" s="1"/>
  <c r="AS91" i="8"/>
  <c r="BJ91" i="8" s="1"/>
  <c r="AR91" i="8"/>
  <c r="BI91" i="8" s="1"/>
  <c r="AQ91" i="8"/>
  <c r="BH91" i="8" s="1"/>
  <c r="AP91" i="8"/>
  <c r="BG91" i="8" s="1"/>
  <c r="AJ91" i="8"/>
  <c r="AI91" i="8"/>
  <c r="AH91" i="8"/>
  <c r="AG91" i="8"/>
  <c r="AL91" i="8" s="1"/>
  <c r="AD91" i="8"/>
  <c r="AN91" i="8" s="1"/>
  <c r="AC91" i="8"/>
  <c r="AM91" i="8" s="1"/>
  <c r="AB91" i="8"/>
  <c r="Z91" i="8"/>
  <c r="BR91" i="8" s="1"/>
  <c r="Y91" i="8"/>
  <c r="BQ91" i="8" s="1"/>
  <c r="X91" i="8"/>
  <c r="BP91" i="8" s="1"/>
  <c r="BO90" i="8"/>
  <c r="BN90" i="8"/>
  <c r="BM90" i="8"/>
  <c r="AU90" i="8"/>
  <c r="AT90" i="8"/>
  <c r="BK90" i="8" s="1"/>
  <c r="AS90" i="8"/>
  <c r="AR90" i="8"/>
  <c r="BI90" i="8" s="1"/>
  <c r="AQ90" i="8"/>
  <c r="AP90" i="8"/>
  <c r="AJ90" i="8"/>
  <c r="AI90" i="8"/>
  <c r="AH90" i="8"/>
  <c r="AG90" i="8"/>
  <c r="AL90" i="8" s="1"/>
  <c r="AD90" i="8"/>
  <c r="AD92" i="8" s="1"/>
  <c r="AN92" i="8" s="1"/>
  <c r="AC90" i="8"/>
  <c r="AC92" i="8" s="1"/>
  <c r="AB90" i="8"/>
  <c r="AB92" i="8" s="1"/>
  <c r="Z90" i="8"/>
  <c r="BR90" i="8" s="1"/>
  <c r="Y90" i="8"/>
  <c r="X90" i="8"/>
  <c r="BP90" i="8" s="1"/>
  <c r="W84" i="8"/>
  <c r="BO84" i="8" s="1"/>
  <c r="V84" i="8"/>
  <c r="BN84" i="8" s="1"/>
  <c r="U84" i="8"/>
  <c r="BM84" i="8" s="1"/>
  <c r="T84" i="8"/>
  <c r="S84" i="8"/>
  <c r="R84" i="8"/>
  <c r="Q84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W83" i="8"/>
  <c r="BO83" i="8" s="1"/>
  <c r="V83" i="8"/>
  <c r="BN83" i="8" s="1"/>
  <c r="U83" i="8"/>
  <c r="BM83" i="8" s="1"/>
  <c r="T83" i="8"/>
  <c r="S83" i="8"/>
  <c r="R83" i="8"/>
  <c r="Q83" i="8"/>
  <c r="P83" i="8"/>
  <c r="O83" i="8"/>
  <c r="N83" i="8"/>
  <c r="M83" i="8"/>
  <c r="L83" i="8"/>
  <c r="K83" i="8"/>
  <c r="J83" i="8"/>
  <c r="I83" i="8"/>
  <c r="H83" i="8"/>
  <c r="G83" i="8"/>
  <c r="F83" i="8"/>
  <c r="E83" i="8"/>
  <c r="D83" i="8"/>
  <c r="C83" i="8"/>
  <c r="W82" i="8"/>
  <c r="BO82" i="8" s="1"/>
  <c r="V82" i="8"/>
  <c r="BN82" i="8" s="1"/>
  <c r="U82" i="8"/>
  <c r="BM82" i="8" s="1"/>
  <c r="T82" i="8"/>
  <c r="S82" i="8"/>
  <c r="R82" i="8"/>
  <c r="Q82" i="8"/>
  <c r="P82" i="8"/>
  <c r="O82" i="8"/>
  <c r="N82" i="8"/>
  <c r="M82" i="8"/>
  <c r="L82" i="8"/>
  <c r="K82" i="8"/>
  <c r="J82" i="8"/>
  <c r="I82" i="8"/>
  <c r="H82" i="8"/>
  <c r="G82" i="8"/>
  <c r="F82" i="8"/>
  <c r="E82" i="8"/>
  <c r="D82" i="8"/>
  <c r="C82" i="8"/>
  <c r="W81" i="8"/>
  <c r="BO81" i="8" s="1"/>
  <c r="V81" i="8"/>
  <c r="BN81" i="8" s="1"/>
  <c r="U81" i="8"/>
  <c r="BM81" i="8" s="1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W80" i="8"/>
  <c r="BO80" i="8" s="1"/>
  <c r="V80" i="8"/>
  <c r="BN80" i="8" s="1"/>
  <c r="U80" i="8"/>
  <c r="BM80" i="8" s="1"/>
  <c r="T80" i="8"/>
  <c r="S80" i="8"/>
  <c r="R80" i="8"/>
  <c r="Q80" i="8"/>
  <c r="P80" i="8"/>
  <c r="O80" i="8"/>
  <c r="N80" i="8"/>
  <c r="M80" i="8"/>
  <c r="L80" i="8"/>
  <c r="K80" i="8"/>
  <c r="J80" i="8"/>
  <c r="I80" i="8"/>
  <c r="H80" i="8"/>
  <c r="G80" i="8"/>
  <c r="F80" i="8"/>
  <c r="E80" i="8"/>
  <c r="D80" i="8"/>
  <c r="C80" i="8"/>
  <c r="W79" i="8"/>
  <c r="BO79" i="8" s="1"/>
  <c r="V79" i="8"/>
  <c r="BN79" i="8" s="1"/>
  <c r="U79" i="8"/>
  <c r="BM79" i="8" s="1"/>
  <c r="T79" i="8"/>
  <c r="S79" i="8"/>
  <c r="R79" i="8"/>
  <c r="Q79" i="8"/>
  <c r="P79" i="8"/>
  <c r="O79" i="8"/>
  <c r="N79" i="8"/>
  <c r="M79" i="8"/>
  <c r="L79" i="8"/>
  <c r="K79" i="8"/>
  <c r="J79" i="8"/>
  <c r="I79" i="8"/>
  <c r="H79" i="8"/>
  <c r="G79" i="8"/>
  <c r="F79" i="8"/>
  <c r="E79" i="8"/>
  <c r="D79" i="8"/>
  <c r="C79" i="8"/>
  <c r="W78" i="8"/>
  <c r="BO78" i="8" s="1"/>
  <c r="V78" i="8"/>
  <c r="BN78" i="8" s="1"/>
  <c r="U78" i="8"/>
  <c r="BM78" i="8" s="1"/>
  <c r="T78" i="8"/>
  <c r="S78" i="8"/>
  <c r="R78" i="8"/>
  <c r="Q78" i="8"/>
  <c r="P78" i="8"/>
  <c r="O78" i="8"/>
  <c r="N78" i="8"/>
  <c r="M78" i="8"/>
  <c r="L78" i="8"/>
  <c r="K78" i="8"/>
  <c r="J78" i="8"/>
  <c r="I78" i="8"/>
  <c r="H78" i="8"/>
  <c r="G78" i="8"/>
  <c r="F78" i="8"/>
  <c r="E78" i="8"/>
  <c r="D78" i="8"/>
  <c r="C78" i="8"/>
  <c r="W72" i="8"/>
  <c r="BO72" i="8" s="1"/>
  <c r="V72" i="8"/>
  <c r="BN72" i="8" s="1"/>
  <c r="U72" i="8"/>
  <c r="BM72" i="8" s="1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BO71" i="8" s="1"/>
  <c r="V71" i="8"/>
  <c r="BN71" i="8" s="1"/>
  <c r="U71" i="8"/>
  <c r="BM71" i="8" s="1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BO70" i="8" s="1"/>
  <c r="V70" i="8"/>
  <c r="BN70" i="8" s="1"/>
  <c r="U70" i="8"/>
  <c r="BM70" i="8" s="1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BO69" i="8" s="1"/>
  <c r="V69" i="8"/>
  <c r="BN69" i="8" s="1"/>
  <c r="U69" i="8"/>
  <c r="BM69" i="8" s="1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8" i="8"/>
  <c r="BO68" i="8" s="1"/>
  <c r="V68" i="8"/>
  <c r="BN68" i="8" s="1"/>
  <c r="U68" i="8"/>
  <c r="BM68" i="8" s="1"/>
  <c r="T68" i="8"/>
  <c r="S68" i="8"/>
  <c r="R68" i="8"/>
  <c r="Q68" i="8"/>
  <c r="P68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W67" i="8"/>
  <c r="BO67" i="8" s="1"/>
  <c r="V67" i="8"/>
  <c r="BN67" i="8" s="1"/>
  <c r="U67" i="8"/>
  <c r="BM67" i="8" s="1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N66" i="8"/>
  <c r="W66" i="8"/>
  <c r="BO66" i="8" s="1"/>
  <c r="V66" i="8"/>
  <c r="U66" i="8"/>
  <c r="BM66" i="8" s="1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2" i="8"/>
  <c r="BO62" i="8" s="1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AR61" i="8"/>
  <c r="AQ61" i="8"/>
  <c r="BO60" i="8"/>
  <c r="BN60" i="8"/>
  <c r="BM60" i="8"/>
  <c r="BK60" i="8"/>
  <c r="BJ60" i="8"/>
  <c r="AR60" i="8"/>
  <c r="BI60" i="8" s="1"/>
  <c r="AQ60" i="8"/>
  <c r="BH60" i="8" s="1"/>
  <c r="AP60" i="8"/>
  <c r="BG60" i="8" s="1"/>
  <c r="BQ60" i="8"/>
  <c r="BP60" i="8"/>
  <c r="BO59" i="8"/>
  <c r="BN59" i="8"/>
  <c r="BM59" i="8"/>
  <c r="BK59" i="8"/>
  <c r="BJ59" i="8"/>
  <c r="AR59" i="8"/>
  <c r="BI59" i="8" s="1"/>
  <c r="AQ59" i="8"/>
  <c r="AP59" i="8"/>
  <c r="BG59" i="8" s="1"/>
  <c r="BO58" i="8"/>
  <c r="BN58" i="8"/>
  <c r="BM58" i="8"/>
  <c r="BK58" i="8"/>
  <c r="AR58" i="8"/>
  <c r="BI58" i="8" s="1"/>
  <c r="AQ58" i="8"/>
  <c r="AP58" i="8"/>
  <c r="BG58" i="8" s="1"/>
  <c r="BO57" i="8"/>
  <c r="BN57" i="8"/>
  <c r="BM57" i="8"/>
  <c r="BK57" i="8"/>
  <c r="AR57" i="8"/>
  <c r="BI57" i="8" s="1"/>
  <c r="AQ57" i="8"/>
  <c r="AP57" i="8"/>
  <c r="BG57" i="8" s="1"/>
  <c r="BQ57" i="8"/>
  <c r="BP57" i="8"/>
  <c r="BO56" i="8"/>
  <c r="BN56" i="8"/>
  <c r="BM56" i="8"/>
  <c r="BK56" i="8"/>
  <c r="BJ56" i="8"/>
  <c r="AR56" i="8"/>
  <c r="BI56" i="8" s="1"/>
  <c r="AQ56" i="8"/>
  <c r="AP56" i="8"/>
  <c r="BG56" i="8" s="1"/>
  <c r="BR56" i="8"/>
  <c r="BQ56" i="8"/>
  <c r="BO55" i="8"/>
  <c r="BN55" i="8"/>
  <c r="BM55" i="8"/>
  <c r="BK55" i="8"/>
  <c r="BL55" i="8"/>
  <c r="AR55" i="8"/>
  <c r="BI55" i="8" s="1"/>
  <c r="AQ55" i="8"/>
  <c r="BH55" i="8" s="1"/>
  <c r="AP55" i="8"/>
  <c r="BG55" i="8" s="1"/>
  <c r="BO54" i="8"/>
  <c r="BN54" i="8"/>
  <c r="BM54" i="8"/>
  <c r="BK54" i="8"/>
  <c r="AR54" i="8"/>
  <c r="BI54" i="8" s="1"/>
  <c r="AQ54" i="8"/>
  <c r="AP54" i="8"/>
  <c r="BG54" i="8" s="1"/>
  <c r="AJ62" i="8"/>
  <c r="AI62" i="8"/>
  <c r="AB62" i="8"/>
  <c r="X62" i="8"/>
  <c r="W48" i="8"/>
  <c r="V48" i="8"/>
  <c r="AD48" i="8" s="1"/>
  <c r="U48" i="8"/>
  <c r="T48" i="8"/>
  <c r="S48" i="8"/>
  <c r="R48" i="8"/>
  <c r="Q48" i="8"/>
  <c r="P48" i="8"/>
  <c r="AB48" i="8" s="1"/>
  <c r="O48" i="8"/>
  <c r="N48" i="8"/>
  <c r="M48" i="8"/>
  <c r="L48" i="8"/>
  <c r="AJ48" i="8" s="1"/>
  <c r="K48" i="8"/>
  <c r="J48" i="8"/>
  <c r="I48" i="8"/>
  <c r="H48" i="8"/>
  <c r="G48" i="8"/>
  <c r="F48" i="8"/>
  <c r="E48" i="8"/>
  <c r="D48" i="8"/>
  <c r="C48" i="8"/>
  <c r="W47" i="8"/>
  <c r="V47" i="8"/>
  <c r="U47" i="8"/>
  <c r="AD47" i="8" s="1"/>
  <c r="T47" i="8"/>
  <c r="S47" i="8"/>
  <c r="R47" i="8"/>
  <c r="Q47" i="8"/>
  <c r="P47" i="8"/>
  <c r="O47" i="8"/>
  <c r="AB47" i="8" s="1"/>
  <c r="N47" i="8"/>
  <c r="M47" i="8"/>
  <c r="L47" i="8"/>
  <c r="K47" i="8"/>
  <c r="J47" i="8"/>
  <c r="I47" i="8"/>
  <c r="AI47" i="8" s="1"/>
  <c r="H47" i="8"/>
  <c r="G47" i="8"/>
  <c r="F47" i="8"/>
  <c r="E47" i="8"/>
  <c r="D47" i="8"/>
  <c r="C47" i="8"/>
  <c r="W46" i="8"/>
  <c r="V46" i="8"/>
  <c r="AD46" i="8" s="1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AH46" i="8" s="1"/>
  <c r="E46" i="8"/>
  <c r="D46" i="8"/>
  <c r="C46" i="8"/>
  <c r="W45" i="8"/>
  <c r="V45" i="8"/>
  <c r="U45" i="8"/>
  <c r="AD45" i="8" s="1"/>
  <c r="T45" i="8"/>
  <c r="S45" i="8"/>
  <c r="R45" i="8"/>
  <c r="Q45" i="8"/>
  <c r="P45" i="8"/>
  <c r="O45" i="8"/>
  <c r="AB45" i="8" s="1"/>
  <c r="N45" i="8"/>
  <c r="M45" i="8"/>
  <c r="L45" i="8"/>
  <c r="K45" i="8"/>
  <c r="J45" i="8"/>
  <c r="I45" i="8"/>
  <c r="H45" i="8"/>
  <c r="G45" i="8"/>
  <c r="F45" i="8"/>
  <c r="E45" i="8"/>
  <c r="D45" i="8"/>
  <c r="C45" i="8"/>
  <c r="AG45" i="8" s="1"/>
  <c r="W44" i="8"/>
  <c r="V44" i="8"/>
  <c r="U44" i="8"/>
  <c r="T44" i="8"/>
  <c r="S44" i="8"/>
  <c r="R44" i="8"/>
  <c r="Q44" i="8"/>
  <c r="P44" i="8"/>
  <c r="AB44" i="8" s="1"/>
  <c r="O44" i="8"/>
  <c r="N44" i="8"/>
  <c r="M44" i="8"/>
  <c r="L44" i="8"/>
  <c r="AJ44" i="8" s="1"/>
  <c r="K44" i="8"/>
  <c r="J44" i="8"/>
  <c r="I44" i="8"/>
  <c r="H44" i="8"/>
  <c r="G44" i="8"/>
  <c r="F44" i="8"/>
  <c r="E44" i="8"/>
  <c r="D44" i="8"/>
  <c r="C44" i="8"/>
  <c r="W43" i="8"/>
  <c r="V43" i="8"/>
  <c r="U43" i="8"/>
  <c r="AD43" i="8" s="1"/>
  <c r="T43" i="8"/>
  <c r="S43" i="8"/>
  <c r="R43" i="8"/>
  <c r="Q43" i="8"/>
  <c r="P43" i="8"/>
  <c r="O43" i="8"/>
  <c r="AB43" i="8" s="1"/>
  <c r="N43" i="8"/>
  <c r="M43" i="8"/>
  <c r="L43" i="8"/>
  <c r="K43" i="8"/>
  <c r="J43" i="8"/>
  <c r="I43" i="8"/>
  <c r="AI43" i="8" s="1"/>
  <c r="H43" i="8"/>
  <c r="G43" i="8"/>
  <c r="F43" i="8"/>
  <c r="AH43" i="8" s="1"/>
  <c r="E43" i="8"/>
  <c r="D43" i="8"/>
  <c r="C43" i="8"/>
  <c r="W42" i="8"/>
  <c r="V42" i="8"/>
  <c r="AD42" i="8" s="1"/>
  <c r="U42" i="8"/>
  <c r="T42" i="8"/>
  <c r="S42" i="8"/>
  <c r="R42" i="8"/>
  <c r="Q42" i="8"/>
  <c r="P42" i="8"/>
  <c r="AB42" i="8" s="1"/>
  <c r="O42" i="8"/>
  <c r="N42" i="8"/>
  <c r="M42" i="8"/>
  <c r="L42" i="8"/>
  <c r="K42" i="8"/>
  <c r="J42" i="8"/>
  <c r="I42" i="8"/>
  <c r="H42" i="8"/>
  <c r="G42" i="8"/>
  <c r="F42" i="8"/>
  <c r="AH42" i="8" s="1"/>
  <c r="E42" i="8"/>
  <c r="D42" i="8"/>
  <c r="C42" i="8"/>
  <c r="AG42" i="8" s="1"/>
  <c r="W38" i="8"/>
  <c r="V38" i="8"/>
  <c r="BN38" i="8" s="1"/>
  <c r="U38" i="8"/>
  <c r="T38" i="8"/>
  <c r="S38" i="8"/>
  <c r="R38" i="8"/>
  <c r="Q38" i="8"/>
  <c r="P38" i="8"/>
  <c r="O38" i="8"/>
  <c r="N38" i="8"/>
  <c r="M38" i="8"/>
  <c r="L38" i="8"/>
  <c r="K38" i="8"/>
  <c r="K50" i="8" s="1"/>
  <c r="J38" i="8"/>
  <c r="I38" i="8"/>
  <c r="H38" i="8"/>
  <c r="G38" i="8"/>
  <c r="G50" i="8" s="1"/>
  <c r="F38" i="8"/>
  <c r="E38" i="8"/>
  <c r="D38" i="8"/>
  <c r="C38" i="8"/>
  <c r="C50" i="8" s="1"/>
  <c r="AR37" i="8"/>
  <c r="AQ37" i="8"/>
  <c r="BO36" i="8"/>
  <c r="BN36" i="8"/>
  <c r="BM36" i="8"/>
  <c r="BK36" i="8"/>
  <c r="AR36" i="8"/>
  <c r="BI36" i="8" s="1"/>
  <c r="AQ36" i="8"/>
  <c r="AP36" i="8"/>
  <c r="BG36" i="8" s="1"/>
  <c r="X48" i="8"/>
  <c r="BO35" i="8"/>
  <c r="BN35" i="8"/>
  <c r="BM35" i="8"/>
  <c r="BK35" i="8"/>
  <c r="AR35" i="8"/>
  <c r="BI35" i="8" s="1"/>
  <c r="AQ35" i="8"/>
  <c r="BH35" i="8" s="1"/>
  <c r="AP35" i="8"/>
  <c r="X47" i="8"/>
  <c r="BO34" i="8"/>
  <c r="BN34" i="8"/>
  <c r="BM34" i="8"/>
  <c r="BK34" i="8"/>
  <c r="BJ34" i="8"/>
  <c r="AR34" i="8"/>
  <c r="BI34" i="8" s="1"/>
  <c r="AQ34" i="8"/>
  <c r="AP34" i="8"/>
  <c r="BR34" i="8"/>
  <c r="BQ34" i="8"/>
  <c r="X46" i="8"/>
  <c r="BO33" i="8"/>
  <c r="BN33" i="8"/>
  <c r="BM33" i="8"/>
  <c r="BK33" i="8"/>
  <c r="AR33" i="8"/>
  <c r="BI33" i="8" s="1"/>
  <c r="AQ33" i="8"/>
  <c r="AP33" i="8"/>
  <c r="BQ33" i="8"/>
  <c r="BP33" i="8"/>
  <c r="BO32" i="8"/>
  <c r="BN32" i="8"/>
  <c r="BM32" i="8"/>
  <c r="BK32" i="8"/>
  <c r="BG32" i="8"/>
  <c r="AR32" i="8"/>
  <c r="BI32" i="8" s="1"/>
  <c r="AQ32" i="8"/>
  <c r="AP32" i="8"/>
  <c r="X44" i="8"/>
  <c r="BO31" i="8"/>
  <c r="BN31" i="8"/>
  <c r="BM31" i="8"/>
  <c r="BK31" i="8"/>
  <c r="BL31" i="8"/>
  <c r="AR31" i="8"/>
  <c r="BI31" i="8" s="1"/>
  <c r="AQ31" i="8"/>
  <c r="BH31" i="8" s="1"/>
  <c r="AP31" i="8"/>
  <c r="BG31" i="8" s="1"/>
  <c r="X43" i="8"/>
  <c r="BO30" i="8"/>
  <c r="BN30" i="8"/>
  <c r="BM30" i="8"/>
  <c r="BK30" i="8"/>
  <c r="AT38" i="8"/>
  <c r="AS38" i="8"/>
  <c r="AR30" i="8"/>
  <c r="BI30" i="8" s="1"/>
  <c r="AQ30" i="8"/>
  <c r="AP30" i="8"/>
  <c r="BG30" i="8" s="1"/>
  <c r="AJ38" i="8"/>
  <c r="AI38" i="8"/>
  <c r="AH38" i="8"/>
  <c r="AG38" i="8"/>
  <c r="AD38" i="8"/>
  <c r="AC38" i="8"/>
  <c r="AB38" i="8"/>
  <c r="AL38" i="8" s="1"/>
  <c r="Z38" i="8"/>
  <c r="Y38" i="8"/>
  <c r="X42" i="8"/>
  <c r="X26" i="8"/>
  <c r="W26" i="8"/>
  <c r="AD26" i="8" s="1"/>
  <c r="AN26" i="8" s="1"/>
  <c r="V26" i="8"/>
  <c r="U26" i="8"/>
  <c r="T26" i="8"/>
  <c r="S26" i="8"/>
  <c r="R26" i="8"/>
  <c r="Q26" i="8"/>
  <c r="AB26" i="8" s="1"/>
  <c r="P26" i="8"/>
  <c r="O26" i="8"/>
  <c r="N26" i="8"/>
  <c r="AJ26" i="8" s="1"/>
  <c r="M26" i="8"/>
  <c r="L26" i="8"/>
  <c r="K26" i="8"/>
  <c r="AI26" i="8" s="1"/>
  <c r="J26" i="8"/>
  <c r="I26" i="8"/>
  <c r="H26" i="8"/>
  <c r="AH26" i="8" s="1"/>
  <c r="G26" i="8"/>
  <c r="F26" i="8"/>
  <c r="E26" i="8"/>
  <c r="AG26" i="8" s="1"/>
  <c r="D26" i="8"/>
  <c r="C26" i="8"/>
  <c r="AR25" i="8"/>
  <c r="AQ25" i="8"/>
  <c r="BK24" i="8"/>
  <c r="BL24" i="8"/>
  <c r="BJ24" i="8"/>
  <c r="AR24" i="8"/>
  <c r="BI24" i="8" s="1"/>
  <c r="AQ24" i="8"/>
  <c r="BH24" i="8" s="1"/>
  <c r="AP24" i="8"/>
  <c r="BG24" i="8" s="1"/>
  <c r="BK23" i="8"/>
  <c r="BJ23" i="8"/>
  <c r="AR23" i="8"/>
  <c r="BI23" i="8" s="1"/>
  <c r="AQ23" i="8"/>
  <c r="BH23" i="8" s="1"/>
  <c r="AP23" i="8"/>
  <c r="BG23" i="8" s="1"/>
  <c r="BK22" i="8"/>
  <c r="BJ22" i="8"/>
  <c r="AR22" i="8"/>
  <c r="BI22" i="8" s="1"/>
  <c r="AQ22" i="8"/>
  <c r="BH22" i="8" s="1"/>
  <c r="AP22" i="8"/>
  <c r="BG22" i="8" s="1"/>
  <c r="BK21" i="8"/>
  <c r="BJ21" i="8"/>
  <c r="AR21" i="8"/>
  <c r="BI21" i="8" s="1"/>
  <c r="AQ21" i="8"/>
  <c r="BH21" i="8" s="1"/>
  <c r="AP21" i="8"/>
  <c r="BG21" i="8" s="1"/>
  <c r="BK20" i="8"/>
  <c r="BJ20" i="8"/>
  <c r="AR20" i="8"/>
  <c r="BI20" i="8" s="1"/>
  <c r="AQ20" i="8"/>
  <c r="BH20" i="8" s="1"/>
  <c r="AP20" i="8"/>
  <c r="BG20" i="8" s="1"/>
  <c r="BK19" i="8"/>
  <c r="BJ19" i="8"/>
  <c r="AR19" i="8"/>
  <c r="BI19" i="8" s="1"/>
  <c r="AQ19" i="8"/>
  <c r="BH19" i="8" s="1"/>
  <c r="AP19" i="8"/>
  <c r="BG19" i="8" s="1"/>
  <c r="BJ18" i="8"/>
  <c r="AT26" i="8"/>
  <c r="BK26" i="8" s="1"/>
  <c r="AR18" i="8"/>
  <c r="AQ18" i="8"/>
  <c r="AP18" i="8"/>
  <c r="Z26" i="8"/>
  <c r="Y26" i="8"/>
  <c r="AE26" i="8" s="1"/>
  <c r="BW17" i="8"/>
  <c r="AJ17" i="8"/>
  <c r="AI17" i="8"/>
  <c r="AH17" i="8"/>
  <c r="AG17" i="8"/>
  <c r="I15" i="8"/>
  <c r="BR14" i="8"/>
  <c r="BO14" i="8"/>
  <c r="BN14" i="8"/>
  <c r="BM14" i="8"/>
  <c r="AU14" i="8"/>
  <c r="BL14" i="8" s="1"/>
  <c r="AT14" i="8"/>
  <c r="BK14" i="8" s="1"/>
  <c r="AS14" i="8"/>
  <c r="BJ14" i="8" s="1"/>
  <c r="AR14" i="8"/>
  <c r="BI14" i="8" s="1"/>
  <c r="AQ14" i="8"/>
  <c r="BH14" i="8" s="1"/>
  <c r="AP14" i="8"/>
  <c r="BG14" i="8" s="1"/>
  <c r="BQ14" i="8"/>
  <c r="W13" i="8"/>
  <c r="W86" i="8" s="1"/>
  <c r="BO86" i="8" s="1"/>
  <c r="V13" i="8"/>
  <c r="V86" i="8" s="1"/>
  <c r="BN86" i="8" s="1"/>
  <c r="U13" i="8"/>
  <c r="T13" i="8"/>
  <c r="T86" i="8" s="1"/>
  <c r="S13" i="8"/>
  <c r="S86" i="8" s="1"/>
  <c r="R13" i="8"/>
  <c r="R86" i="8" s="1"/>
  <c r="Q13" i="8"/>
  <c r="P13" i="8"/>
  <c r="P86" i="8" s="1"/>
  <c r="O13" i="8"/>
  <c r="O86" i="8" s="1"/>
  <c r="N13" i="8"/>
  <c r="N86" i="8" s="1"/>
  <c r="M13" i="8"/>
  <c r="L13" i="8"/>
  <c r="L86" i="8" s="1"/>
  <c r="K13" i="8"/>
  <c r="K86" i="8" s="1"/>
  <c r="J13" i="8"/>
  <c r="J86" i="8" s="1"/>
  <c r="I13" i="8"/>
  <c r="H13" i="8"/>
  <c r="H86" i="8" s="1"/>
  <c r="G13" i="8"/>
  <c r="G86" i="8" s="1"/>
  <c r="F13" i="8"/>
  <c r="F86" i="8" s="1"/>
  <c r="E13" i="8"/>
  <c r="D13" i="8"/>
  <c r="D86" i="8" s="1"/>
  <c r="C13" i="8"/>
  <c r="C86" i="8" s="1"/>
  <c r="AT85" i="8"/>
  <c r="AS85" i="8"/>
  <c r="AR12" i="8"/>
  <c r="AR85" i="8" s="1"/>
  <c r="AQ12" i="8"/>
  <c r="BQ11" i="8"/>
  <c r="BP11" i="8"/>
  <c r="BO11" i="8"/>
  <c r="BN11" i="8"/>
  <c r="BM11" i="8"/>
  <c r="AT84" i="8"/>
  <c r="BK84" i="8" s="1"/>
  <c r="AS84" i="8"/>
  <c r="BJ84" i="8" s="1"/>
  <c r="AR11" i="8"/>
  <c r="AQ11" i="8"/>
  <c r="AP11" i="8"/>
  <c r="AP84" i="8" s="1"/>
  <c r="BG84" i="8" s="1"/>
  <c r="AJ84" i="8"/>
  <c r="AI84" i="8"/>
  <c r="AH84" i="8"/>
  <c r="AG84" i="8"/>
  <c r="AD84" i="8"/>
  <c r="AC84" i="8"/>
  <c r="AB84" i="8"/>
  <c r="Z84" i="8"/>
  <c r="BR84" i="8" s="1"/>
  <c r="Y84" i="8"/>
  <c r="BQ84" i="8" s="1"/>
  <c r="X84" i="8"/>
  <c r="BP84" i="8" s="1"/>
  <c r="BR10" i="8"/>
  <c r="BO10" i="8"/>
  <c r="BN10" i="8"/>
  <c r="BM10" i="8"/>
  <c r="BK10" i="8"/>
  <c r="AU83" i="8"/>
  <c r="AT83" i="8"/>
  <c r="BK83" i="8" s="1"/>
  <c r="AS83" i="8"/>
  <c r="AR10" i="8"/>
  <c r="AR83" i="8" s="1"/>
  <c r="BI83" i="8" s="1"/>
  <c r="AQ10" i="8"/>
  <c r="AQ83" i="8" s="1"/>
  <c r="AP10" i="8"/>
  <c r="AJ83" i="8"/>
  <c r="AI83" i="8"/>
  <c r="AH83" i="8"/>
  <c r="AG83" i="8"/>
  <c r="AD83" i="8"/>
  <c r="AC83" i="8"/>
  <c r="AB83" i="8"/>
  <c r="Z83" i="8"/>
  <c r="BR83" i="8" s="1"/>
  <c r="Y83" i="8"/>
  <c r="BQ83" i="8" s="1"/>
  <c r="X83" i="8"/>
  <c r="BP83" i="8" s="1"/>
  <c r="BQ9" i="8"/>
  <c r="BP9" i="8"/>
  <c r="BO9" i="8"/>
  <c r="BN9" i="8"/>
  <c r="BM9" i="8"/>
  <c r="AT82" i="8"/>
  <c r="AS82" i="8"/>
  <c r="BJ82" i="8" s="1"/>
  <c r="AR9" i="8"/>
  <c r="AR82" i="8" s="1"/>
  <c r="BI82" i="8" s="1"/>
  <c r="AQ9" i="8"/>
  <c r="AP9" i="8"/>
  <c r="AJ82" i="8"/>
  <c r="AI82" i="8"/>
  <c r="AH82" i="8"/>
  <c r="AG82" i="8"/>
  <c r="AD82" i="8"/>
  <c r="AC82" i="8"/>
  <c r="AB82" i="8"/>
  <c r="Z82" i="8"/>
  <c r="BR82" i="8" s="1"/>
  <c r="Y82" i="8"/>
  <c r="BQ82" i="8" s="1"/>
  <c r="X82" i="8"/>
  <c r="BP82" i="8" s="1"/>
  <c r="BR8" i="8"/>
  <c r="BO8" i="8"/>
  <c r="BN8" i="8"/>
  <c r="BM8" i="8"/>
  <c r="BK8" i="8"/>
  <c r="BJ8" i="8"/>
  <c r="AT81" i="8"/>
  <c r="BK81" i="8" s="1"/>
  <c r="AS81" i="8"/>
  <c r="BJ81" i="8" s="1"/>
  <c r="AR8" i="8"/>
  <c r="AQ8" i="8"/>
  <c r="AQ81" i="8" s="1"/>
  <c r="AP8" i="8"/>
  <c r="AP81" i="8" s="1"/>
  <c r="BG81" i="8" s="1"/>
  <c r="AJ81" i="8"/>
  <c r="AI81" i="8"/>
  <c r="AH81" i="8"/>
  <c r="AG81" i="8"/>
  <c r="AD81" i="8"/>
  <c r="AC81" i="8"/>
  <c r="AB81" i="8"/>
  <c r="Z81" i="8"/>
  <c r="BR81" i="8" s="1"/>
  <c r="Y81" i="8"/>
  <c r="BQ81" i="8" s="1"/>
  <c r="X81" i="8"/>
  <c r="BP81" i="8" s="1"/>
  <c r="BQ7" i="8"/>
  <c r="BP7" i="8"/>
  <c r="BO7" i="8"/>
  <c r="BN7" i="8"/>
  <c r="BM7" i="8"/>
  <c r="BJ7" i="8"/>
  <c r="AT80" i="8"/>
  <c r="AS80" i="8"/>
  <c r="BJ80" i="8" s="1"/>
  <c r="AR7" i="8"/>
  <c r="AQ7" i="8"/>
  <c r="AP7" i="8"/>
  <c r="AJ80" i="8"/>
  <c r="AI80" i="8"/>
  <c r="AH80" i="8"/>
  <c r="AG80" i="8"/>
  <c r="AD80" i="8"/>
  <c r="AC80" i="8"/>
  <c r="AB80" i="8"/>
  <c r="Z80" i="8"/>
  <c r="BR80" i="8" s="1"/>
  <c r="Y80" i="8"/>
  <c r="BQ80" i="8" s="1"/>
  <c r="X80" i="8"/>
  <c r="BP80" i="8" s="1"/>
  <c r="BR6" i="8"/>
  <c r="BO6" i="8"/>
  <c r="BN6" i="8"/>
  <c r="BM6" i="8"/>
  <c r="BK6" i="8"/>
  <c r="BJ6" i="8"/>
  <c r="AT79" i="8"/>
  <c r="BK79" i="8" s="1"/>
  <c r="AS79" i="8"/>
  <c r="AR6" i="8"/>
  <c r="AQ6" i="8"/>
  <c r="AQ79" i="8" s="1"/>
  <c r="AP6" i="8"/>
  <c r="AP79" i="8" s="1"/>
  <c r="BG79" i="8" s="1"/>
  <c r="AJ79" i="8"/>
  <c r="AI79" i="8"/>
  <c r="AH79" i="8"/>
  <c r="AG79" i="8"/>
  <c r="AD79" i="8"/>
  <c r="AC79" i="8"/>
  <c r="AB79" i="8"/>
  <c r="Z79" i="8"/>
  <c r="BR79" i="8" s="1"/>
  <c r="Y79" i="8"/>
  <c r="BQ79" i="8" s="1"/>
  <c r="X79" i="8"/>
  <c r="BP79" i="8" s="1"/>
  <c r="BQ5" i="8"/>
  <c r="BP5" i="8"/>
  <c r="BO5" i="8"/>
  <c r="BN5" i="8"/>
  <c r="BM5" i="8"/>
  <c r="BL5" i="8"/>
  <c r="BJ5" i="8"/>
  <c r="AT78" i="8"/>
  <c r="AS78" i="8"/>
  <c r="AR5" i="8"/>
  <c r="AR78" i="8" s="1"/>
  <c r="BI78" i="8" s="1"/>
  <c r="AQ5" i="8"/>
  <c r="AP5" i="8"/>
  <c r="AP78" i="8" s="1"/>
  <c r="AJ78" i="8"/>
  <c r="AI78" i="8"/>
  <c r="AH78" i="8"/>
  <c r="AG78" i="8"/>
  <c r="AD78" i="8"/>
  <c r="AC78" i="8"/>
  <c r="AB78" i="8"/>
  <c r="Z78" i="8"/>
  <c r="BR78" i="8" s="1"/>
  <c r="Y78" i="8"/>
  <c r="BQ78" i="8" s="1"/>
  <c r="X78" i="8"/>
  <c r="BP78" i="8" s="1"/>
  <c r="Z4" i="8"/>
  <c r="Y4" i="8"/>
  <c r="Y17" i="8" s="1"/>
  <c r="Y53" i="8" s="1"/>
  <c r="X4" i="8"/>
  <c r="W4" i="8"/>
  <c r="V4" i="8"/>
  <c r="U4" i="8"/>
  <c r="U17" i="8" s="1"/>
  <c r="U53" i="8" s="1"/>
  <c r="T4" i="8"/>
  <c r="S4" i="8"/>
  <c r="R4" i="8"/>
  <c r="Q4" i="8"/>
  <c r="Q17" i="8" s="1"/>
  <c r="Q53" i="8" s="1"/>
  <c r="P4" i="8"/>
  <c r="O4" i="8"/>
  <c r="N4" i="8"/>
  <c r="M4" i="8"/>
  <c r="M17" i="8" s="1"/>
  <c r="M53" i="8" s="1"/>
  <c r="L4" i="8"/>
  <c r="K4" i="8"/>
  <c r="J4" i="8"/>
  <c r="I4" i="8"/>
  <c r="I17" i="8" s="1"/>
  <c r="I53" i="8" s="1"/>
  <c r="H4" i="8"/>
  <c r="G4" i="8"/>
  <c r="F4" i="8"/>
  <c r="E4" i="8"/>
  <c r="E17" i="8" s="1"/>
  <c r="E53" i="8" s="1"/>
  <c r="D4" i="8"/>
  <c r="C4" i="8"/>
  <c r="B3" i="8"/>
  <c r="O2" i="8"/>
  <c r="N2" i="8"/>
  <c r="M2" i="8"/>
  <c r="AU130" i="7"/>
  <c r="BL130" i="7" s="1"/>
  <c r="AU131" i="7"/>
  <c r="AU132" i="7"/>
  <c r="AU133" i="7"/>
  <c r="AU134" i="7"/>
  <c r="BL134" i="7" s="1"/>
  <c r="AU135" i="7"/>
  <c r="BL135" i="7" s="1"/>
  <c r="AU136" i="7"/>
  <c r="AU137" i="7"/>
  <c r="AU97" i="7"/>
  <c r="AU98" i="7"/>
  <c r="AU99" i="7"/>
  <c r="AU100" i="7"/>
  <c r="AT98" i="9" s="1"/>
  <c r="AU101" i="7"/>
  <c r="AU102" i="7"/>
  <c r="AU103" i="7"/>
  <c r="AU104" i="7"/>
  <c r="AT102" i="9" s="1"/>
  <c r="AU54" i="7"/>
  <c r="AU55" i="7"/>
  <c r="AU56" i="7"/>
  <c r="AU57" i="7"/>
  <c r="AU58" i="7"/>
  <c r="AU59" i="7"/>
  <c r="AU60" i="7"/>
  <c r="AU61" i="7"/>
  <c r="AT59" i="9" s="1"/>
  <c r="AU30" i="7"/>
  <c r="BL30" i="7" s="1"/>
  <c r="AU31" i="7"/>
  <c r="AU32" i="7"/>
  <c r="AU33" i="7"/>
  <c r="AT31" i="9" s="1"/>
  <c r="AU34" i="7"/>
  <c r="AU35" i="7"/>
  <c r="AU36" i="7"/>
  <c r="AU37" i="7"/>
  <c r="AT35" i="9" s="1"/>
  <c r="AU18" i="7"/>
  <c r="AU19" i="7"/>
  <c r="BL19" i="7" s="1"/>
  <c r="AU20" i="7"/>
  <c r="AU21" i="7"/>
  <c r="AU22" i="7"/>
  <c r="AV46" i="7" s="1"/>
  <c r="AU23" i="7"/>
  <c r="AU24" i="7"/>
  <c r="AU25" i="7"/>
  <c r="AU5" i="7"/>
  <c r="AU6" i="7"/>
  <c r="AU7" i="7"/>
  <c r="AU8" i="7"/>
  <c r="AU9" i="7"/>
  <c r="AU10" i="7"/>
  <c r="AU11" i="7"/>
  <c r="AU12" i="7"/>
  <c r="AP5" i="7"/>
  <c r="AQ5" i="7"/>
  <c r="AR5" i="7"/>
  <c r="AP6" i="7"/>
  <c r="AO5" i="9" s="1"/>
  <c r="AQ6" i="7"/>
  <c r="AR6" i="7"/>
  <c r="AP7" i="7"/>
  <c r="AQ7" i="7"/>
  <c r="AR7" i="7"/>
  <c r="AR80" i="7" s="1"/>
  <c r="AP8" i="7"/>
  <c r="BG8" i="7" s="1"/>
  <c r="AQ8" i="7"/>
  <c r="AP7" i="9" s="1"/>
  <c r="AR8" i="7"/>
  <c r="AP9" i="7"/>
  <c r="AQ9" i="7"/>
  <c r="AR9" i="7"/>
  <c r="AP10" i="7"/>
  <c r="AQ10" i="7"/>
  <c r="AQ83" i="7" s="1"/>
  <c r="BH83" i="7" s="1"/>
  <c r="AR10" i="7"/>
  <c r="AP11" i="7"/>
  <c r="AQ11" i="7"/>
  <c r="AR11" i="7"/>
  <c r="AQ12" i="7"/>
  <c r="AR12" i="7"/>
  <c r="AP14" i="7"/>
  <c r="AO13" i="9" s="1"/>
  <c r="AQ14" i="7"/>
  <c r="AR14" i="7"/>
  <c r="AQ13" i="9" s="1"/>
  <c r="AB13" i="7"/>
  <c r="AF13" i="7"/>
  <c r="AF15" i="7" s="1"/>
  <c r="AJ13" i="7"/>
  <c r="AJ15" i="7" s="1"/>
  <c r="AI79" i="7"/>
  <c r="AD80" i="7"/>
  <c r="X13" i="7"/>
  <c r="X15" i="7" s="1"/>
  <c r="AC81" i="7"/>
  <c r="AJ82" i="7"/>
  <c r="AI83" i="7"/>
  <c r="C13" i="7"/>
  <c r="C15" i="7" s="1"/>
  <c r="D13" i="7"/>
  <c r="E13" i="7"/>
  <c r="E15" i="7" s="1"/>
  <c r="F13" i="7"/>
  <c r="G13" i="7"/>
  <c r="G15" i="7" s="1"/>
  <c r="H13" i="7"/>
  <c r="I13" i="7"/>
  <c r="AI13" i="7" s="1"/>
  <c r="J13" i="7"/>
  <c r="K13" i="7"/>
  <c r="K15" i="7" s="1"/>
  <c r="L13" i="7"/>
  <c r="M13" i="7"/>
  <c r="M86" i="7" s="1"/>
  <c r="N13" i="7"/>
  <c r="O13" i="7"/>
  <c r="O15" i="7" s="1"/>
  <c r="P13" i="7"/>
  <c r="Q13" i="7"/>
  <c r="Q15" i="7" s="1"/>
  <c r="R13" i="7"/>
  <c r="S13" i="7"/>
  <c r="S15" i="7" s="1"/>
  <c r="T13" i="7"/>
  <c r="U13" i="7"/>
  <c r="V13" i="7"/>
  <c r="W13" i="7"/>
  <c r="Y13" i="7"/>
  <c r="AA13" i="7"/>
  <c r="D15" i="7"/>
  <c r="F15" i="7"/>
  <c r="H15" i="7"/>
  <c r="J15" i="7"/>
  <c r="L15" i="7"/>
  <c r="M15" i="7"/>
  <c r="N15" i="7"/>
  <c r="R15" i="7"/>
  <c r="U15" i="7"/>
  <c r="V15" i="7"/>
  <c r="Y15" i="7"/>
  <c r="AU139" i="7"/>
  <c r="AT139" i="7"/>
  <c r="AR139" i="7"/>
  <c r="D138" i="7"/>
  <c r="AR137" i="7"/>
  <c r="AQ137" i="7"/>
  <c r="BR136" i="7"/>
  <c r="BN136" i="7"/>
  <c r="BJ136" i="7"/>
  <c r="BK136" i="7"/>
  <c r="AR136" i="7"/>
  <c r="BI136" i="7" s="1"/>
  <c r="AQ136" i="7"/>
  <c r="AP136" i="7"/>
  <c r="BG136" i="7" s="1"/>
  <c r="BQ136" i="7"/>
  <c r="BO136" i="7"/>
  <c r="AN136" i="7"/>
  <c r="BM136" i="7"/>
  <c r="BL136" i="7"/>
  <c r="BQ135" i="7"/>
  <c r="BM135" i="7"/>
  <c r="BI135" i="7"/>
  <c r="BJ135" i="7"/>
  <c r="AR135" i="7"/>
  <c r="AQ135" i="7"/>
  <c r="BH135" i="7" s="1"/>
  <c r="AP135" i="7"/>
  <c r="BR135" i="7"/>
  <c r="BP135" i="7"/>
  <c r="BO135" i="7"/>
  <c r="BN135" i="7"/>
  <c r="BP134" i="7"/>
  <c r="BK134" i="7"/>
  <c r="AR134" i="7"/>
  <c r="BI134" i="7" s="1"/>
  <c r="AQ134" i="7"/>
  <c r="BH134" i="7" s="1"/>
  <c r="AP134" i="7"/>
  <c r="BG134" i="7" s="1"/>
  <c r="AL134" i="7"/>
  <c r="BR134" i="7"/>
  <c r="BQ134" i="7"/>
  <c r="BO134" i="7"/>
  <c r="BN134" i="7"/>
  <c r="BM134" i="7"/>
  <c r="BO133" i="7"/>
  <c r="BK133" i="7"/>
  <c r="BL133" i="7"/>
  <c r="BJ133" i="7"/>
  <c r="AR133" i="7"/>
  <c r="BI133" i="7" s="1"/>
  <c r="AQ133" i="7"/>
  <c r="BH133" i="7" s="1"/>
  <c r="AP133" i="7"/>
  <c r="BG133" i="7" s="1"/>
  <c r="AM133" i="7"/>
  <c r="BR133" i="7"/>
  <c r="BP133" i="7"/>
  <c r="BN133" i="7"/>
  <c r="BR132" i="7"/>
  <c r="BN132" i="7"/>
  <c r="BJ132" i="7"/>
  <c r="BK132" i="7"/>
  <c r="AR132" i="7"/>
  <c r="BI132" i="7" s="1"/>
  <c r="AQ132" i="7"/>
  <c r="BH132" i="7" s="1"/>
  <c r="AP132" i="7"/>
  <c r="BG132" i="7" s="1"/>
  <c r="BQ132" i="7"/>
  <c r="BO132" i="7"/>
  <c r="BM132" i="7"/>
  <c r="BQ131" i="7"/>
  <c r="BM131" i="7"/>
  <c r="BJ131" i="7"/>
  <c r="AR131" i="7"/>
  <c r="AQ131" i="7"/>
  <c r="AP131" i="7"/>
  <c r="BG131" i="7" s="1"/>
  <c r="BR131" i="7"/>
  <c r="BP131" i="7"/>
  <c r="BO131" i="7"/>
  <c r="BN131" i="7"/>
  <c r="AN131" i="7"/>
  <c r="P138" i="7"/>
  <c r="H138" i="7"/>
  <c r="BQ130" i="7"/>
  <c r="BP130" i="7"/>
  <c r="BM130" i="7"/>
  <c r="AS138" i="7"/>
  <c r="AS140" i="7" s="1"/>
  <c r="AR130" i="7"/>
  <c r="BI130" i="7" s="1"/>
  <c r="AQ130" i="7"/>
  <c r="AP130" i="7"/>
  <c r="N138" i="7"/>
  <c r="J138" i="7"/>
  <c r="F138" i="7"/>
  <c r="AF129" i="7"/>
  <c r="V126" i="7"/>
  <c r="BN126" i="7" s="1"/>
  <c r="O126" i="7"/>
  <c r="BN125" i="7"/>
  <c r="BG125" i="7"/>
  <c r="AU125" i="7"/>
  <c r="AT125" i="7"/>
  <c r="AS125" i="7"/>
  <c r="AQ125" i="7"/>
  <c r="BR125" i="7"/>
  <c r="BQ125" i="7"/>
  <c r="BO125" i="7"/>
  <c r="AN125" i="7"/>
  <c r="BI125" i="7"/>
  <c r="BP124" i="7"/>
  <c r="BO124" i="7"/>
  <c r="BN124" i="7"/>
  <c r="AU124" i="7"/>
  <c r="AT122" i="9" s="1"/>
  <c r="AT124" i="7"/>
  <c r="AS124" i="7"/>
  <c r="AR124" i="7"/>
  <c r="AQ124" i="7"/>
  <c r="AP122" i="9" s="1"/>
  <c r="AP124" i="7"/>
  <c r="BR124" i="7"/>
  <c r="BQ124" i="7"/>
  <c r="AO124" i="7"/>
  <c r="BM124" i="7"/>
  <c r="AL124" i="7"/>
  <c r="BP123" i="7"/>
  <c r="BO123" i="7"/>
  <c r="BN123" i="7"/>
  <c r="AU123" i="7"/>
  <c r="AT123" i="7"/>
  <c r="AS123" i="7"/>
  <c r="AR123" i="7"/>
  <c r="AQ121" i="9" s="1"/>
  <c r="AQ123" i="7"/>
  <c r="AP123" i="7"/>
  <c r="BR123" i="7"/>
  <c r="BQ123" i="7"/>
  <c r="BM123" i="7"/>
  <c r="AM123" i="7"/>
  <c r="BR122" i="7"/>
  <c r="BQ122" i="7"/>
  <c r="BN122" i="7"/>
  <c r="BM122" i="7"/>
  <c r="AU122" i="7"/>
  <c r="AT122" i="7"/>
  <c r="AS120" i="9" s="1"/>
  <c r="AS122" i="7"/>
  <c r="AR122" i="7"/>
  <c r="AQ122" i="7"/>
  <c r="AP122" i="7"/>
  <c r="AO120" i="9" s="1"/>
  <c r="BO122" i="7"/>
  <c r="AN122" i="7"/>
  <c r="BK122" i="7"/>
  <c r="BG122" i="7"/>
  <c r="BR121" i="7"/>
  <c r="BQ121" i="7"/>
  <c r="BP121" i="7"/>
  <c r="BN121" i="7"/>
  <c r="BM121" i="7"/>
  <c r="BK121" i="7"/>
  <c r="BJ121" i="7"/>
  <c r="BI121" i="7"/>
  <c r="BG121" i="7"/>
  <c r="AU121" i="7"/>
  <c r="AT119" i="9" s="1"/>
  <c r="AQ121" i="7"/>
  <c r="AP119" i="9" s="1"/>
  <c r="AO121" i="7"/>
  <c r="AL121" i="7"/>
  <c r="BO121" i="7"/>
  <c r="BR120" i="7"/>
  <c r="BQ120" i="7"/>
  <c r="BN120" i="7"/>
  <c r="BM120" i="7"/>
  <c r="AU120" i="7"/>
  <c r="AT120" i="7"/>
  <c r="AS120" i="7"/>
  <c r="AR118" i="9" s="1"/>
  <c r="AR120" i="7"/>
  <c r="BI120" i="7" s="1"/>
  <c r="AQ120" i="7"/>
  <c r="AP120" i="7"/>
  <c r="BG120" i="7" s="1"/>
  <c r="Z126" i="7"/>
  <c r="BR126" i="7" s="1"/>
  <c r="Y126" i="7"/>
  <c r="BQ126" i="7" s="1"/>
  <c r="X126" i="7"/>
  <c r="BP126" i="7" s="1"/>
  <c r="U126" i="7"/>
  <c r="BM126" i="7" s="1"/>
  <c r="T126" i="7"/>
  <c r="S126" i="7"/>
  <c r="Q126" i="7"/>
  <c r="P126" i="7"/>
  <c r="N126" i="7"/>
  <c r="M126" i="7"/>
  <c r="L126" i="7"/>
  <c r="K126" i="7"/>
  <c r="J126" i="7"/>
  <c r="I126" i="7"/>
  <c r="H126" i="7"/>
  <c r="G126" i="7"/>
  <c r="E126" i="7"/>
  <c r="D126" i="7"/>
  <c r="C126" i="7"/>
  <c r="AJ119" i="7"/>
  <c r="AI119" i="7"/>
  <c r="AH119" i="7"/>
  <c r="AG119" i="7"/>
  <c r="AF119" i="7"/>
  <c r="V117" i="7"/>
  <c r="U117" i="7"/>
  <c r="BE116" i="7"/>
  <c r="BD116" i="7"/>
  <c r="Z116" i="7"/>
  <c r="AE116" i="7" s="1"/>
  <c r="V116" i="7"/>
  <c r="U116" i="7"/>
  <c r="T116" i="7"/>
  <c r="AC116" i="7" s="1"/>
  <c r="S116" i="7"/>
  <c r="Q116" i="7"/>
  <c r="AB116" i="7" s="1"/>
  <c r="J116" i="7"/>
  <c r="AR115" i="7"/>
  <c r="AQ113" i="9" s="1"/>
  <c r="AQ115" i="7"/>
  <c r="BK114" i="7"/>
  <c r="AR114" i="7"/>
  <c r="AQ114" i="7"/>
  <c r="AP114" i="7"/>
  <c r="AN114" i="7"/>
  <c r="AM114" i="7"/>
  <c r="AO114" i="7"/>
  <c r="X117" i="7"/>
  <c r="BJ114" i="7"/>
  <c r="BK113" i="7"/>
  <c r="BJ113" i="7"/>
  <c r="AR113" i="7"/>
  <c r="AQ111" i="9" s="1"/>
  <c r="BA111" i="9" s="1"/>
  <c r="AQ113" i="7"/>
  <c r="AP113" i="7"/>
  <c r="AL113" i="7"/>
  <c r="AN113" i="7"/>
  <c r="AM113" i="7"/>
  <c r="BK112" i="7"/>
  <c r="AR112" i="7"/>
  <c r="AQ112" i="7"/>
  <c r="AP110" i="9" s="1"/>
  <c r="AP112" i="7"/>
  <c r="AL112" i="7"/>
  <c r="AN112" i="7"/>
  <c r="AM112" i="7"/>
  <c r="BJ112" i="7"/>
  <c r="BK111" i="7"/>
  <c r="BJ111" i="7"/>
  <c r="AR111" i="7"/>
  <c r="AQ109" i="9" s="1"/>
  <c r="BA109" i="9" s="1"/>
  <c r="AQ111" i="7"/>
  <c r="AP111" i="7"/>
  <c r="AL111" i="7"/>
  <c r="Y117" i="7"/>
  <c r="W117" i="7"/>
  <c r="AO111" i="7"/>
  <c r="BK110" i="7"/>
  <c r="AR110" i="7"/>
  <c r="AQ110" i="7"/>
  <c r="AP110" i="7"/>
  <c r="AL110" i="7"/>
  <c r="BJ110" i="7"/>
  <c r="AN110" i="7"/>
  <c r="BK109" i="7"/>
  <c r="AU116" i="7"/>
  <c r="AR109" i="7"/>
  <c r="AQ107" i="9" s="1"/>
  <c r="AQ109" i="7"/>
  <c r="AP109" i="7"/>
  <c r="AL109" i="7"/>
  <c r="X116" i="7"/>
  <c r="R116" i="7"/>
  <c r="O116" i="7"/>
  <c r="M116" i="7"/>
  <c r="K116" i="7"/>
  <c r="AI116" i="7" s="1"/>
  <c r="I116" i="7"/>
  <c r="G116" i="7"/>
  <c r="F116" i="7"/>
  <c r="E116" i="7"/>
  <c r="AG116" i="7" s="1"/>
  <c r="C116" i="7"/>
  <c r="AJ108" i="7"/>
  <c r="AI108" i="7"/>
  <c r="AH108" i="7"/>
  <c r="AG108" i="7"/>
  <c r="BA105" i="7"/>
  <c r="AZ105" i="7"/>
  <c r="AY105" i="7"/>
  <c r="AX105" i="7"/>
  <c r="AW105" i="7"/>
  <c r="W105" i="7"/>
  <c r="BO105" i="7" s="1"/>
  <c r="V105" i="7"/>
  <c r="U105" i="7"/>
  <c r="S105" i="7"/>
  <c r="O105" i="7"/>
  <c r="K105" i="7"/>
  <c r="G105" i="7"/>
  <c r="C105" i="7"/>
  <c r="AR104" i="7"/>
  <c r="AQ104" i="7"/>
  <c r="BQ103" i="7"/>
  <c r="BO103" i="7"/>
  <c r="BN103" i="7"/>
  <c r="BM103" i="7"/>
  <c r="BK103" i="7"/>
  <c r="BJ103" i="7"/>
  <c r="AR103" i="7"/>
  <c r="AQ101" i="9" s="1"/>
  <c r="AQ103" i="7"/>
  <c r="AP101" i="9" s="1"/>
  <c r="AP103" i="7"/>
  <c r="BR103" i="7"/>
  <c r="BP103" i="7"/>
  <c r="BQ102" i="7"/>
  <c r="BO102" i="7"/>
  <c r="BN102" i="7"/>
  <c r="BM102" i="7"/>
  <c r="BK102" i="7"/>
  <c r="BJ102" i="7"/>
  <c r="AR102" i="7"/>
  <c r="AQ102" i="7"/>
  <c r="AP102" i="7"/>
  <c r="AO102" i="7"/>
  <c r="AN102" i="7"/>
  <c r="BR102" i="7"/>
  <c r="BP102" i="7"/>
  <c r="AM102" i="7"/>
  <c r="BQ101" i="7"/>
  <c r="BO101" i="7"/>
  <c r="BN101" i="7"/>
  <c r="BM101" i="7"/>
  <c r="BK101" i="7"/>
  <c r="BJ101" i="7"/>
  <c r="AR101" i="7"/>
  <c r="AQ101" i="7"/>
  <c r="AP101" i="7"/>
  <c r="AN101" i="7"/>
  <c r="BR101" i="7"/>
  <c r="BP101" i="7"/>
  <c r="BQ100" i="7"/>
  <c r="BO100" i="7"/>
  <c r="BN100" i="7"/>
  <c r="BM100" i="7"/>
  <c r="BK100" i="7"/>
  <c r="BJ100" i="7"/>
  <c r="AR100" i="7"/>
  <c r="AQ100" i="7"/>
  <c r="AP100" i="7"/>
  <c r="AN100" i="7"/>
  <c r="BR100" i="7"/>
  <c r="BP100" i="7"/>
  <c r="BQ99" i="7"/>
  <c r="BO99" i="7"/>
  <c r="BN99" i="7"/>
  <c r="BM99" i="7"/>
  <c r="BK99" i="7"/>
  <c r="BJ99" i="7"/>
  <c r="AR99" i="7"/>
  <c r="AQ97" i="9" s="1"/>
  <c r="AQ99" i="7"/>
  <c r="AP99" i="7"/>
  <c r="BR99" i="7"/>
  <c r="BP99" i="7"/>
  <c r="AM99" i="7"/>
  <c r="BQ98" i="7"/>
  <c r="BO98" i="7"/>
  <c r="BN98" i="7"/>
  <c r="BM98" i="7"/>
  <c r="BK98" i="7"/>
  <c r="BJ98" i="7"/>
  <c r="AR98" i="7"/>
  <c r="AQ96" i="9" s="1"/>
  <c r="AQ98" i="7"/>
  <c r="AP98" i="7"/>
  <c r="AO98" i="7"/>
  <c r="AN98" i="7"/>
  <c r="BR98" i="7"/>
  <c r="BP98" i="7"/>
  <c r="AM98" i="7"/>
  <c r="BQ97" i="7"/>
  <c r="BO97" i="7"/>
  <c r="BN97" i="7"/>
  <c r="BM97" i="7"/>
  <c r="AT105" i="7"/>
  <c r="BK105" i="7" s="1"/>
  <c r="AS105" i="7"/>
  <c r="AR97" i="7"/>
  <c r="AQ97" i="7"/>
  <c r="AP97" i="7"/>
  <c r="AI105" i="7"/>
  <c r="AD105" i="7"/>
  <c r="Z105" i="7"/>
  <c r="Y105" i="7"/>
  <c r="BQ105" i="7" s="1"/>
  <c r="BP97" i="7"/>
  <c r="T105" i="7"/>
  <c r="R105" i="7"/>
  <c r="Q105" i="7"/>
  <c r="P105" i="7"/>
  <c r="N105" i="7"/>
  <c r="M105" i="7"/>
  <c r="J105" i="7"/>
  <c r="I105" i="7"/>
  <c r="H105" i="7"/>
  <c r="F105" i="7"/>
  <c r="E105" i="7"/>
  <c r="D105" i="7"/>
  <c r="B95" i="7"/>
  <c r="AF96" i="7" s="1"/>
  <c r="AF108" i="7" s="1"/>
  <c r="BM92" i="7"/>
  <c r="W92" i="7"/>
  <c r="BO92" i="7" s="1"/>
  <c r="V92" i="7"/>
  <c r="BN92" i="7" s="1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AI92" i="7" s="1"/>
  <c r="H92" i="7"/>
  <c r="G92" i="7"/>
  <c r="F92" i="7"/>
  <c r="AH92" i="7" s="1"/>
  <c r="E92" i="7"/>
  <c r="D92" i="7"/>
  <c r="C92" i="7"/>
  <c r="AG92" i="7" s="1"/>
  <c r="BP91" i="7"/>
  <c r="BO91" i="7"/>
  <c r="BN91" i="7"/>
  <c r="BM91" i="7"/>
  <c r="AU91" i="7"/>
  <c r="AT91" i="7"/>
  <c r="AS91" i="7"/>
  <c r="AR91" i="7"/>
  <c r="AQ91" i="7"/>
  <c r="AP91" i="7"/>
  <c r="AL91" i="7"/>
  <c r="AN91" i="7"/>
  <c r="AM91" i="7"/>
  <c r="BR91" i="7"/>
  <c r="BQ91" i="7"/>
  <c r="BR90" i="7"/>
  <c r="BO90" i="7"/>
  <c r="BN90" i="7"/>
  <c r="BM90" i="7"/>
  <c r="AU90" i="7"/>
  <c r="AT90" i="7"/>
  <c r="AS90" i="7"/>
  <c r="AR90" i="7"/>
  <c r="AQ88" i="9" s="1"/>
  <c r="AQ90" i="7"/>
  <c r="AP90" i="7"/>
  <c r="AN90" i="7"/>
  <c r="AM90" i="7"/>
  <c r="AD92" i="7"/>
  <c r="AC92" i="7"/>
  <c r="BQ90" i="7"/>
  <c r="W84" i="7"/>
  <c r="BO84" i="7" s="1"/>
  <c r="V84" i="7"/>
  <c r="BN84" i="7" s="1"/>
  <c r="U84" i="7"/>
  <c r="BM84" i="7" s="1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W83" i="7"/>
  <c r="BO83" i="7" s="1"/>
  <c r="V83" i="7"/>
  <c r="BN83" i="7" s="1"/>
  <c r="U83" i="7"/>
  <c r="BM83" i="7" s="1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W82" i="7"/>
  <c r="BO82" i="7" s="1"/>
  <c r="V82" i="7"/>
  <c r="BN82" i="7" s="1"/>
  <c r="U82" i="7"/>
  <c r="BM82" i="7" s="1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W81" i="7"/>
  <c r="BO81" i="7" s="1"/>
  <c r="V81" i="7"/>
  <c r="BN81" i="7" s="1"/>
  <c r="U81" i="7"/>
  <c r="BM81" i="7" s="1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W80" i="7"/>
  <c r="BO80" i="7" s="1"/>
  <c r="V80" i="7"/>
  <c r="BN80" i="7" s="1"/>
  <c r="U80" i="7"/>
  <c r="BM80" i="7" s="1"/>
  <c r="T80" i="7"/>
  <c r="S80" i="7"/>
  <c r="R80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W79" i="7"/>
  <c r="BO79" i="7" s="1"/>
  <c r="V79" i="7"/>
  <c r="BN79" i="7" s="1"/>
  <c r="U79" i="7"/>
  <c r="BM79" i="7" s="1"/>
  <c r="T79" i="7"/>
  <c r="S79" i="7"/>
  <c r="R79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W78" i="7"/>
  <c r="BO78" i="7" s="1"/>
  <c r="V78" i="7"/>
  <c r="BN78" i="7" s="1"/>
  <c r="U78" i="7"/>
  <c r="BM78" i="7" s="1"/>
  <c r="T78" i="7"/>
  <c r="S78" i="7"/>
  <c r="R78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Z77" i="7"/>
  <c r="Y77" i="7"/>
  <c r="X77" i="7"/>
  <c r="W77" i="7"/>
  <c r="V77" i="7"/>
  <c r="U77" i="7"/>
  <c r="T77" i="7"/>
  <c r="S77" i="7"/>
  <c r="R77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W72" i="7"/>
  <c r="BO72" i="7" s="1"/>
  <c r="V72" i="7"/>
  <c r="BN72" i="7" s="1"/>
  <c r="U72" i="7"/>
  <c r="BM72" i="7" s="1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W71" i="7"/>
  <c r="BO71" i="7" s="1"/>
  <c r="V71" i="7"/>
  <c r="BN71" i="7" s="1"/>
  <c r="U71" i="7"/>
  <c r="BM71" i="7" s="1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W70" i="7"/>
  <c r="BO70" i="7" s="1"/>
  <c r="V70" i="7"/>
  <c r="BN70" i="7" s="1"/>
  <c r="U70" i="7"/>
  <c r="BM70" i="7" s="1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W69" i="7"/>
  <c r="BO69" i="7" s="1"/>
  <c r="V69" i="7"/>
  <c r="BN69" i="7" s="1"/>
  <c r="U69" i="7"/>
  <c r="BM69" i="7" s="1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W68" i="7"/>
  <c r="BO68" i="7" s="1"/>
  <c r="V68" i="7"/>
  <c r="BN68" i="7" s="1"/>
  <c r="U68" i="7"/>
  <c r="BM68" i="7" s="1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W67" i="7"/>
  <c r="BO67" i="7" s="1"/>
  <c r="V67" i="7"/>
  <c r="BN67" i="7" s="1"/>
  <c r="U67" i="7"/>
  <c r="BM67" i="7" s="1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W66" i="7"/>
  <c r="BO66" i="7" s="1"/>
  <c r="V66" i="7"/>
  <c r="BN66" i="7" s="1"/>
  <c r="U66" i="7"/>
  <c r="BM66" i="7" s="1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AR61" i="7"/>
  <c r="AQ61" i="7"/>
  <c r="BO60" i="7"/>
  <c r="BN60" i="7"/>
  <c r="BM60" i="7"/>
  <c r="BL60" i="7"/>
  <c r="BJ60" i="7"/>
  <c r="AR60" i="7"/>
  <c r="AQ60" i="7"/>
  <c r="AP60" i="7"/>
  <c r="AO58" i="9" s="1"/>
  <c r="Y84" i="7"/>
  <c r="BQ84" i="7" s="1"/>
  <c r="BP60" i="7"/>
  <c r="BO59" i="7"/>
  <c r="BN59" i="7"/>
  <c r="BM59" i="7"/>
  <c r="BJ59" i="7"/>
  <c r="AR59" i="7"/>
  <c r="AQ57" i="9" s="1"/>
  <c r="AQ59" i="7"/>
  <c r="AP57" i="9" s="1"/>
  <c r="AP59" i="7"/>
  <c r="BR59" i="7"/>
  <c r="Y83" i="7"/>
  <c r="BQ83" i="7" s="1"/>
  <c r="BO58" i="7"/>
  <c r="BN58" i="7"/>
  <c r="BM58" i="7"/>
  <c r="BJ58" i="7"/>
  <c r="BK58" i="7"/>
  <c r="AR58" i="7"/>
  <c r="AQ56" i="9" s="1"/>
  <c r="AQ58" i="7"/>
  <c r="AP58" i="7"/>
  <c r="BR58" i="7"/>
  <c r="Y82" i="7"/>
  <c r="BQ82" i="7" s="1"/>
  <c r="BP58" i="7"/>
  <c r="BO57" i="7"/>
  <c r="BN57" i="7"/>
  <c r="BM57" i="7"/>
  <c r="BL57" i="7"/>
  <c r="BJ57" i="7"/>
  <c r="AR57" i="7"/>
  <c r="AQ57" i="7"/>
  <c r="AP55" i="9" s="1"/>
  <c r="AP57" i="7"/>
  <c r="Y81" i="7"/>
  <c r="BQ81" i="7" s="1"/>
  <c r="BO56" i="7"/>
  <c r="BN56" i="7"/>
  <c r="BM56" i="7"/>
  <c r="BJ56" i="7"/>
  <c r="AR56" i="7"/>
  <c r="AQ54" i="9" s="1"/>
  <c r="AQ56" i="7"/>
  <c r="AP56" i="7"/>
  <c r="Y80" i="7"/>
  <c r="BQ80" i="7" s="1"/>
  <c r="BR55" i="7"/>
  <c r="BO55" i="7"/>
  <c r="BN55" i="7"/>
  <c r="BM55" i="7"/>
  <c r="BJ55" i="7"/>
  <c r="AR55" i="7"/>
  <c r="AQ55" i="7"/>
  <c r="AP53" i="9" s="1"/>
  <c r="AP55" i="7"/>
  <c r="AO53" i="9" s="1"/>
  <c r="Y79" i="7"/>
  <c r="BQ79" i="7" s="1"/>
  <c r="BR54" i="7"/>
  <c r="BO54" i="7"/>
  <c r="BN54" i="7"/>
  <c r="BM54" i="7"/>
  <c r="BJ54" i="7"/>
  <c r="AR54" i="7"/>
  <c r="AQ54" i="7"/>
  <c r="BH54" i="7" s="1"/>
  <c r="AP54" i="7"/>
  <c r="AO52" i="9" s="1"/>
  <c r="AI62" i="7"/>
  <c r="Y78" i="7"/>
  <c r="BQ78" i="7" s="1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W48" i="7"/>
  <c r="V48" i="7"/>
  <c r="U48" i="7"/>
  <c r="AD48" i="7" s="1"/>
  <c r="T48" i="7"/>
  <c r="S48" i="7"/>
  <c r="R48" i="7"/>
  <c r="Q48" i="7"/>
  <c r="P48" i="7"/>
  <c r="O48" i="7"/>
  <c r="AB48" i="7" s="1"/>
  <c r="N48" i="7"/>
  <c r="M48" i="7"/>
  <c r="L48" i="7"/>
  <c r="K48" i="7"/>
  <c r="J48" i="7"/>
  <c r="I48" i="7"/>
  <c r="AI48" i="7" s="1"/>
  <c r="H48" i="7"/>
  <c r="G48" i="7"/>
  <c r="F48" i="7"/>
  <c r="E48" i="7"/>
  <c r="D48" i="7"/>
  <c r="C48" i="7"/>
  <c r="W47" i="7"/>
  <c r="V47" i="7"/>
  <c r="AD47" i="7" s="1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AH47" i="7" s="1"/>
  <c r="E47" i="7"/>
  <c r="D47" i="7"/>
  <c r="C47" i="7"/>
  <c r="W46" i="7"/>
  <c r="V46" i="7"/>
  <c r="U46" i="7"/>
  <c r="AD46" i="7" s="1"/>
  <c r="T46" i="7"/>
  <c r="S46" i="7"/>
  <c r="R46" i="7"/>
  <c r="Q46" i="7"/>
  <c r="P46" i="7"/>
  <c r="O46" i="7"/>
  <c r="AB46" i="7" s="1"/>
  <c r="N46" i="7"/>
  <c r="M46" i="7"/>
  <c r="L46" i="7"/>
  <c r="K46" i="7"/>
  <c r="J46" i="7"/>
  <c r="I46" i="7"/>
  <c r="H46" i="7"/>
  <c r="G46" i="7"/>
  <c r="F46" i="7"/>
  <c r="E46" i="7"/>
  <c r="D46" i="7"/>
  <c r="C46" i="7"/>
  <c r="AG46" i="7" s="1"/>
  <c r="W45" i="7"/>
  <c r="V45" i="7"/>
  <c r="AD45" i="7" s="1"/>
  <c r="U45" i="7"/>
  <c r="T45" i="7"/>
  <c r="S45" i="7"/>
  <c r="R45" i="7"/>
  <c r="Q45" i="7"/>
  <c r="P45" i="7"/>
  <c r="AB45" i="7" s="1"/>
  <c r="O45" i="7"/>
  <c r="N45" i="7"/>
  <c r="M45" i="7"/>
  <c r="L45" i="7"/>
  <c r="AJ45" i="7" s="1"/>
  <c r="K45" i="7"/>
  <c r="J45" i="7"/>
  <c r="I45" i="7"/>
  <c r="H45" i="7"/>
  <c r="G45" i="7"/>
  <c r="F45" i="7"/>
  <c r="E45" i="7"/>
  <c r="D45" i="7"/>
  <c r="C45" i="7"/>
  <c r="W44" i="7"/>
  <c r="V44" i="7"/>
  <c r="U44" i="7"/>
  <c r="AD44" i="7" s="1"/>
  <c r="T44" i="7"/>
  <c r="S44" i="7"/>
  <c r="R44" i="7"/>
  <c r="Q44" i="7"/>
  <c r="P44" i="7"/>
  <c r="O44" i="7"/>
  <c r="AB44" i="7" s="1"/>
  <c r="N44" i="7"/>
  <c r="M44" i="7"/>
  <c r="L44" i="7"/>
  <c r="K44" i="7"/>
  <c r="J44" i="7"/>
  <c r="I44" i="7"/>
  <c r="AI44" i="7" s="1"/>
  <c r="H44" i="7"/>
  <c r="G44" i="7"/>
  <c r="F44" i="7"/>
  <c r="E44" i="7"/>
  <c r="D44" i="7"/>
  <c r="C44" i="7"/>
  <c r="W43" i="7"/>
  <c r="V43" i="7"/>
  <c r="AD43" i="7" s="1"/>
  <c r="U43" i="7"/>
  <c r="T43" i="7"/>
  <c r="S43" i="7"/>
  <c r="R43" i="7"/>
  <c r="Q43" i="7"/>
  <c r="P43" i="7"/>
  <c r="AB43" i="7" s="1"/>
  <c r="O43" i="7"/>
  <c r="N43" i="7"/>
  <c r="M43" i="7"/>
  <c r="L43" i="7"/>
  <c r="K43" i="7"/>
  <c r="J43" i="7"/>
  <c r="I43" i="7"/>
  <c r="H43" i="7"/>
  <c r="G43" i="7"/>
  <c r="F43" i="7"/>
  <c r="AH43" i="7" s="1"/>
  <c r="E43" i="7"/>
  <c r="D43" i="7"/>
  <c r="C43" i="7"/>
  <c r="W42" i="7"/>
  <c r="V42" i="7"/>
  <c r="U42" i="7"/>
  <c r="AD42" i="7" s="1"/>
  <c r="T42" i="7"/>
  <c r="S42" i="7"/>
  <c r="R42" i="7"/>
  <c r="Q42" i="7"/>
  <c r="P42" i="7"/>
  <c r="O42" i="7"/>
  <c r="AB42" i="7" s="1"/>
  <c r="N42" i="7"/>
  <c r="M42" i="7"/>
  <c r="L42" i="7"/>
  <c r="K42" i="7"/>
  <c r="J42" i="7"/>
  <c r="I42" i="7"/>
  <c r="H42" i="7"/>
  <c r="G42" i="7"/>
  <c r="F42" i="7"/>
  <c r="E42" i="7"/>
  <c r="D42" i="7"/>
  <c r="C42" i="7"/>
  <c r="AG42" i="7" s="1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W38" i="7"/>
  <c r="V38" i="7"/>
  <c r="U38" i="7"/>
  <c r="BM38" i="7" s="1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AR37" i="7"/>
  <c r="AQ35" i="9" s="1"/>
  <c r="AQ37" i="7"/>
  <c r="AP35" i="9" s="1"/>
  <c r="BO36" i="7"/>
  <c r="BN36" i="7"/>
  <c r="BM36" i="7"/>
  <c r="BJ36" i="7"/>
  <c r="AR36" i="7"/>
  <c r="AQ34" i="9" s="1"/>
  <c r="AQ36" i="7"/>
  <c r="AP34" i="9" s="1"/>
  <c r="AP36" i="7"/>
  <c r="AO34" i="9" s="1"/>
  <c r="BP36" i="7"/>
  <c r="BO35" i="7"/>
  <c r="BN35" i="7"/>
  <c r="BM35" i="7"/>
  <c r="BL35" i="7"/>
  <c r="BJ35" i="7"/>
  <c r="AR35" i="7"/>
  <c r="AQ35" i="7"/>
  <c r="AP33" i="9" s="1"/>
  <c r="AP35" i="7"/>
  <c r="AO33" i="9" s="1"/>
  <c r="BO34" i="7"/>
  <c r="BN34" i="7"/>
  <c r="BM34" i="7"/>
  <c r="BJ34" i="7"/>
  <c r="BK34" i="7"/>
  <c r="AR34" i="7"/>
  <c r="AQ34" i="7"/>
  <c r="AP34" i="7"/>
  <c r="BO33" i="7"/>
  <c r="BN33" i="7"/>
  <c r="BM33" i="7"/>
  <c r="BL33" i="7"/>
  <c r="BJ33" i="7"/>
  <c r="AR33" i="7"/>
  <c r="AQ31" i="9" s="1"/>
  <c r="AQ33" i="7"/>
  <c r="AP31" i="9" s="1"/>
  <c r="AP33" i="7"/>
  <c r="AO31" i="9" s="1"/>
  <c r="BR33" i="7"/>
  <c r="BQ33" i="7"/>
  <c r="BO32" i="7"/>
  <c r="BN32" i="7"/>
  <c r="BM32" i="7"/>
  <c r="BJ32" i="7"/>
  <c r="AR32" i="7"/>
  <c r="AQ32" i="7"/>
  <c r="AP32" i="7"/>
  <c r="AO30" i="9" s="1"/>
  <c r="BR32" i="7"/>
  <c r="BP31" i="7"/>
  <c r="BO31" i="7"/>
  <c r="BN31" i="7"/>
  <c r="BM31" i="7"/>
  <c r="AR31" i="7"/>
  <c r="AQ31" i="7"/>
  <c r="AP29" i="9" s="1"/>
  <c r="AP31" i="7"/>
  <c r="BO30" i="7"/>
  <c r="BN30" i="7"/>
  <c r="BM30" i="7"/>
  <c r="BK30" i="7"/>
  <c r="BJ30" i="7"/>
  <c r="AR30" i="7"/>
  <c r="AQ28" i="9" s="1"/>
  <c r="AQ30" i="7"/>
  <c r="AP30" i="7"/>
  <c r="AJ38" i="7"/>
  <c r="AI38" i="7"/>
  <c r="AH38" i="7"/>
  <c r="AG38" i="7"/>
  <c r="AD38" i="7"/>
  <c r="AC38" i="7"/>
  <c r="AM38" i="7" s="1"/>
  <c r="AB38" i="7"/>
  <c r="BR30" i="7"/>
  <c r="Z29" i="7"/>
  <c r="Z89" i="7" s="1"/>
  <c r="Y29" i="7"/>
  <c r="Y89" i="7" s="1"/>
  <c r="X29" i="7"/>
  <c r="X89" i="7" s="1"/>
  <c r="W29" i="7"/>
  <c r="W89" i="7" s="1"/>
  <c r="V29" i="7"/>
  <c r="V89" i="7" s="1"/>
  <c r="U29" i="7"/>
  <c r="U89" i="7" s="1"/>
  <c r="T29" i="7"/>
  <c r="T89" i="7" s="1"/>
  <c r="S29" i="7"/>
  <c r="S89" i="7" s="1"/>
  <c r="R29" i="7"/>
  <c r="R89" i="7" s="1"/>
  <c r="Q29" i="7"/>
  <c r="Q89" i="7" s="1"/>
  <c r="P29" i="7"/>
  <c r="P89" i="7" s="1"/>
  <c r="O29" i="7"/>
  <c r="O89" i="7" s="1"/>
  <c r="N29" i="7"/>
  <c r="N89" i="7" s="1"/>
  <c r="M29" i="7"/>
  <c r="M89" i="7" s="1"/>
  <c r="L29" i="7"/>
  <c r="L89" i="7" s="1"/>
  <c r="K29" i="7"/>
  <c r="K89" i="7" s="1"/>
  <c r="J29" i="7"/>
  <c r="J89" i="7" s="1"/>
  <c r="I29" i="7"/>
  <c r="I89" i="7" s="1"/>
  <c r="H29" i="7"/>
  <c r="H89" i="7" s="1"/>
  <c r="G29" i="7"/>
  <c r="G89" i="7" s="1"/>
  <c r="F29" i="7"/>
  <c r="F89" i="7" s="1"/>
  <c r="E29" i="7"/>
  <c r="E89" i="7" s="1"/>
  <c r="D29" i="7"/>
  <c r="D89" i="7" s="1"/>
  <c r="C29" i="7"/>
  <c r="C89" i="7" s="1"/>
  <c r="AD26" i="7"/>
  <c r="W26" i="7"/>
  <c r="V26" i="7"/>
  <c r="U26" i="7"/>
  <c r="T26" i="7"/>
  <c r="T117" i="7" s="1"/>
  <c r="S26" i="7"/>
  <c r="S117" i="7" s="1"/>
  <c r="R26" i="7"/>
  <c r="R117" i="7" s="1"/>
  <c r="Q26" i="7"/>
  <c r="Q117" i="7" s="1"/>
  <c r="P26" i="7"/>
  <c r="P117" i="7" s="1"/>
  <c r="O26" i="7"/>
  <c r="O117" i="7" s="1"/>
  <c r="N26" i="7"/>
  <c r="N117" i="7" s="1"/>
  <c r="M26" i="7"/>
  <c r="M117" i="7" s="1"/>
  <c r="L26" i="7"/>
  <c r="L117" i="7" s="1"/>
  <c r="K26" i="7"/>
  <c r="K117" i="7" s="1"/>
  <c r="J26" i="7"/>
  <c r="J117" i="7" s="1"/>
  <c r="I26" i="7"/>
  <c r="I117" i="7" s="1"/>
  <c r="H26" i="7"/>
  <c r="H117" i="7" s="1"/>
  <c r="G26" i="7"/>
  <c r="G117" i="7" s="1"/>
  <c r="F26" i="7"/>
  <c r="F117" i="7" s="1"/>
  <c r="E26" i="7"/>
  <c r="E117" i="7" s="1"/>
  <c r="D26" i="7"/>
  <c r="D117" i="7" s="1"/>
  <c r="C26" i="7"/>
  <c r="C117" i="7" s="1"/>
  <c r="AR25" i="7"/>
  <c r="AQ23" i="9" s="1"/>
  <c r="BA23" i="9" s="1"/>
  <c r="AQ25" i="7"/>
  <c r="BJ24" i="7"/>
  <c r="BK24" i="7"/>
  <c r="AR24" i="7"/>
  <c r="AQ24" i="7"/>
  <c r="AP24" i="7"/>
  <c r="BL23" i="7"/>
  <c r="BJ23" i="7"/>
  <c r="BK23" i="7"/>
  <c r="AR23" i="7"/>
  <c r="AQ23" i="7"/>
  <c r="AP21" i="9" s="1"/>
  <c r="BG21" i="9" s="1"/>
  <c r="AP23" i="7"/>
  <c r="BJ22" i="7"/>
  <c r="BK22" i="7"/>
  <c r="AR22" i="7"/>
  <c r="AQ22" i="7"/>
  <c r="AP20" i="9" s="1"/>
  <c r="BG20" i="9" s="1"/>
  <c r="AP22" i="7"/>
  <c r="BL21" i="7"/>
  <c r="BJ21" i="7"/>
  <c r="BK21" i="7"/>
  <c r="AR21" i="7"/>
  <c r="AQ21" i="7"/>
  <c r="AP21" i="7"/>
  <c r="BJ20" i="7"/>
  <c r="BK20" i="7"/>
  <c r="AR20" i="7"/>
  <c r="AQ20" i="7"/>
  <c r="AP18" i="9" s="1"/>
  <c r="BG18" i="9" s="1"/>
  <c r="AP20" i="7"/>
  <c r="BJ19" i="7"/>
  <c r="BK19" i="7"/>
  <c r="AR19" i="7"/>
  <c r="AQ19" i="7"/>
  <c r="AP19" i="7"/>
  <c r="BJ18" i="7"/>
  <c r="AT26" i="7"/>
  <c r="BK26" i="7" s="1"/>
  <c r="AS26" i="7"/>
  <c r="BJ26" i="7" s="1"/>
  <c r="AR18" i="7"/>
  <c r="AQ18" i="7"/>
  <c r="AP18" i="7"/>
  <c r="Z26" i="7"/>
  <c r="Y26" i="7"/>
  <c r="AE26" i="7" s="1"/>
  <c r="X26" i="7"/>
  <c r="BW17" i="7"/>
  <c r="AJ17" i="7"/>
  <c r="AJ41" i="7" s="1"/>
  <c r="AJ65" i="7" s="1"/>
  <c r="AJ89" i="7" s="1"/>
  <c r="AI17" i="7"/>
  <c r="AI41" i="7" s="1"/>
  <c r="AI65" i="7" s="1"/>
  <c r="AI89" i="7" s="1"/>
  <c r="AH17" i="7"/>
  <c r="AH41" i="7" s="1"/>
  <c r="AH65" i="7" s="1"/>
  <c r="AH89" i="7" s="1"/>
  <c r="AG17" i="7"/>
  <c r="AG41" i="7" s="1"/>
  <c r="AG65" i="7" s="1"/>
  <c r="AG89" i="7" s="1"/>
  <c r="AU14" i="7"/>
  <c r="AT14" i="7"/>
  <c r="AS14" i="7"/>
  <c r="BG14" i="7"/>
  <c r="BR14" i="7"/>
  <c r="BQ14" i="7"/>
  <c r="BP14" i="7"/>
  <c r="BO14" i="7"/>
  <c r="BN14" i="7"/>
  <c r="BM14" i="7"/>
  <c r="BO13" i="7"/>
  <c r="BN13" i="7"/>
  <c r="V86" i="7"/>
  <c r="BN86" i="7" s="1"/>
  <c r="U86" i="7"/>
  <c r="BM86" i="7" s="1"/>
  <c r="T86" i="7"/>
  <c r="R86" i="7"/>
  <c r="P86" i="7"/>
  <c r="N86" i="7"/>
  <c r="L86" i="7"/>
  <c r="J86" i="7"/>
  <c r="H86" i="7"/>
  <c r="F86" i="7"/>
  <c r="E86" i="7"/>
  <c r="D86" i="7"/>
  <c r="AT85" i="7"/>
  <c r="AS85" i="7"/>
  <c r="BQ11" i="7"/>
  <c r="BO11" i="7"/>
  <c r="BN11" i="7"/>
  <c r="BM11" i="7"/>
  <c r="BH11" i="7"/>
  <c r="AT84" i="7"/>
  <c r="AS84" i="7"/>
  <c r="BJ84" i="7" s="1"/>
  <c r="AJ84" i="7"/>
  <c r="AI84" i="7"/>
  <c r="AG84" i="7"/>
  <c r="AD84" i="7"/>
  <c r="AC84" i="7"/>
  <c r="AB84" i="7"/>
  <c r="X84" i="7"/>
  <c r="BP84" i="7" s="1"/>
  <c r="BQ10" i="7"/>
  <c r="BP10" i="7"/>
  <c r="BO10" i="7"/>
  <c r="BN10" i="7"/>
  <c r="BM10" i="7"/>
  <c r="AU83" i="7"/>
  <c r="AT83" i="7"/>
  <c r="BK83" i="7" s="1"/>
  <c r="AS83" i="7"/>
  <c r="AJ83" i="7"/>
  <c r="AH83" i="7"/>
  <c r="AG83" i="7"/>
  <c r="AD83" i="7"/>
  <c r="AC83" i="7"/>
  <c r="AB83" i="7"/>
  <c r="Z83" i="7"/>
  <c r="BR83" i="7" s="1"/>
  <c r="X83" i="7"/>
  <c r="BP83" i="7" s="1"/>
  <c r="BR9" i="7"/>
  <c r="BQ9" i="7"/>
  <c r="BO9" i="7"/>
  <c r="BN9" i="7"/>
  <c r="BM9" i="7"/>
  <c r="BJ9" i="7"/>
  <c r="AT82" i="7"/>
  <c r="AS82" i="7"/>
  <c r="AI82" i="7"/>
  <c r="AH82" i="7"/>
  <c r="AG82" i="7"/>
  <c r="AD82" i="7"/>
  <c r="AC82" i="7"/>
  <c r="AB82" i="7"/>
  <c r="Z82" i="7"/>
  <c r="BR82" i="7" s="1"/>
  <c r="X82" i="7"/>
  <c r="BP82" i="7" s="1"/>
  <c r="BR8" i="7"/>
  <c r="BQ8" i="7"/>
  <c r="BO8" i="7"/>
  <c r="BN8" i="7"/>
  <c r="BM8" i="7"/>
  <c r="BK8" i="7"/>
  <c r="AT81" i="7"/>
  <c r="AS81" i="7"/>
  <c r="AR81" i="7"/>
  <c r="AJ81" i="7"/>
  <c r="AI81" i="7"/>
  <c r="AH81" i="7"/>
  <c r="AD81" i="7"/>
  <c r="AB81" i="7"/>
  <c r="Z81" i="7"/>
  <c r="BR81" i="7" s="1"/>
  <c r="X81" i="7"/>
  <c r="BP81" i="7" s="1"/>
  <c r="BQ7" i="7"/>
  <c r="BO7" i="7"/>
  <c r="BN7" i="7"/>
  <c r="BM7" i="7"/>
  <c r="AT80" i="7"/>
  <c r="AS80" i="7"/>
  <c r="BJ80" i="7" s="1"/>
  <c r="AJ80" i="7"/>
  <c r="AI80" i="7"/>
  <c r="AG80" i="7"/>
  <c r="AC80" i="7"/>
  <c r="AB80" i="7"/>
  <c r="Z80" i="7"/>
  <c r="BR80" i="7" s="1"/>
  <c r="X80" i="7"/>
  <c r="BP80" i="7" s="1"/>
  <c r="BQ6" i="7"/>
  <c r="BP6" i="7"/>
  <c r="BO6" i="7"/>
  <c r="BN6" i="7"/>
  <c r="BM6" i="7"/>
  <c r="AT79" i="7"/>
  <c r="BK79" i="7" s="1"/>
  <c r="AS79" i="7"/>
  <c r="BJ79" i="7" s="1"/>
  <c r="AJ79" i="7"/>
  <c r="AH79" i="7"/>
  <c r="AG79" i="7"/>
  <c r="AD79" i="7"/>
  <c r="AC79" i="7"/>
  <c r="AB79" i="7"/>
  <c r="Z79" i="7"/>
  <c r="BR79" i="7" s="1"/>
  <c r="X79" i="7"/>
  <c r="BP79" i="7" s="1"/>
  <c r="BR5" i="7"/>
  <c r="BQ5" i="7"/>
  <c r="BO5" i="7"/>
  <c r="BN5" i="7"/>
  <c r="BM5" i="7"/>
  <c r="BJ5" i="7"/>
  <c r="AT78" i="7"/>
  <c r="AS78" i="7"/>
  <c r="AI78" i="7"/>
  <c r="AH78" i="7"/>
  <c r="AG78" i="7"/>
  <c r="AD78" i="7"/>
  <c r="AC78" i="7"/>
  <c r="Z78" i="7"/>
  <c r="BR78" i="7" s="1"/>
  <c r="X78" i="7"/>
  <c r="BP78" i="7" s="1"/>
  <c r="B3" i="7"/>
  <c r="AP32" i="9" l="1"/>
  <c r="AO107" i="9"/>
  <c r="BL6" i="8"/>
  <c r="BL23" i="8"/>
  <c r="AQ32" i="9"/>
  <c r="AQ58" i="9"/>
  <c r="AP109" i="9"/>
  <c r="AP123" i="9"/>
  <c r="AQ9" i="9"/>
  <c r="AT9" i="9"/>
  <c r="AT5" i="9"/>
  <c r="AT128" i="9" s="1"/>
  <c r="AT33" i="9"/>
  <c r="BB33" i="9" s="1"/>
  <c r="AT29" i="9"/>
  <c r="AT57" i="9"/>
  <c r="AT53" i="9"/>
  <c r="BB53" i="9" s="1"/>
  <c r="AT100" i="9"/>
  <c r="BB100" i="9" s="1"/>
  <c r="AT96" i="9"/>
  <c r="BG78" i="8"/>
  <c r="BK78" i="8"/>
  <c r="BH79" i="8"/>
  <c r="AR80" i="8"/>
  <c r="BI80" i="8" s="1"/>
  <c r="AL81" i="8"/>
  <c r="AP82" i="8"/>
  <c r="AN83" i="8"/>
  <c r="AR84" i="8"/>
  <c r="AQ30" i="9"/>
  <c r="BJ78" i="8"/>
  <c r="AL80" i="8"/>
  <c r="AQ80" i="8"/>
  <c r="BH80" i="8" s="1"/>
  <c r="AL84" i="8"/>
  <c r="AQ52" i="9"/>
  <c r="AQ161" i="9" s="1"/>
  <c r="AO55" i="9"/>
  <c r="AO160" i="9" s="1"/>
  <c r="AP56" i="9"/>
  <c r="AP22" i="9"/>
  <c r="BG22" i="9" s="1"/>
  <c r="AP23" i="9"/>
  <c r="AQ47" i="9" s="1"/>
  <c r="AO29" i="9"/>
  <c r="BA29" i="9" s="1"/>
  <c r="BR29" i="9" s="1"/>
  <c r="AP54" i="9"/>
  <c r="AO57" i="9"/>
  <c r="AQ98" i="9"/>
  <c r="AQ99" i="9"/>
  <c r="AP113" i="9"/>
  <c r="AR120" i="9"/>
  <c r="AP121" i="9"/>
  <c r="AT121" i="9"/>
  <c r="AP13" i="9"/>
  <c r="AQ10" i="9"/>
  <c r="AO8" i="9"/>
  <c r="BA8" i="9" s="1"/>
  <c r="AP5" i="9"/>
  <c r="BE5" i="9" s="1"/>
  <c r="AO4" i="9"/>
  <c r="AT8" i="9"/>
  <c r="AT4" i="9"/>
  <c r="AT76" i="9" s="1"/>
  <c r="BK76" i="9" s="1"/>
  <c r="AT32" i="9"/>
  <c r="BB32" i="9" s="1"/>
  <c r="AT56" i="9"/>
  <c r="AT52" i="9"/>
  <c r="AT99" i="9"/>
  <c r="BB99" i="9" s="1"/>
  <c r="AM79" i="8"/>
  <c r="AL82" i="8"/>
  <c r="AQ82" i="8"/>
  <c r="BH82" i="8" s="1"/>
  <c r="AP83" i="8"/>
  <c r="BG83" i="8" s="1"/>
  <c r="BL19" i="8"/>
  <c r="BL22" i="8"/>
  <c r="BL80" i="8"/>
  <c r="AQ102" i="9"/>
  <c r="AP112" i="9"/>
  <c r="AQ7" i="9"/>
  <c r="AP80" i="8"/>
  <c r="BG80" i="8" s="1"/>
  <c r="AR26" i="8"/>
  <c r="AQ29" i="9"/>
  <c r="AP58" i="9"/>
  <c r="AQ59" i="9"/>
  <c r="AQ11" i="9"/>
  <c r="AP19" i="9"/>
  <c r="BG19" i="9" s="1"/>
  <c r="AO54" i="9"/>
  <c r="AP89" i="9"/>
  <c r="BG89" i="9" s="1"/>
  <c r="AT89" i="9"/>
  <c r="AP8" i="9"/>
  <c r="AP80" i="9" s="1"/>
  <c r="BG80" i="9" s="1"/>
  <c r="AQ5" i="9"/>
  <c r="AP4" i="9"/>
  <c r="BG4" i="9" s="1"/>
  <c r="AQ79" i="7"/>
  <c r="BH34" i="7"/>
  <c r="AR84" i="7"/>
  <c r="AR85" i="7"/>
  <c r="BH14" i="7"/>
  <c r="AU82" i="7"/>
  <c r="BL82" i="7" s="1"/>
  <c r="BL58" i="7"/>
  <c r="AU78" i="7"/>
  <c r="BL78" i="7" s="1"/>
  <c r="BJ81" i="7"/>
  <c r="AP82" i="7"/>
  <c r="BK84" i="7"/>
  <c r="BL34" i="7"/>
  <c r="BL54" i="7"/>
  <c r="BI99" i="7"/>
  <c r="BL83" i="7"/>
  <c r="BI111" i="7"/>
  <c r="AO28" i="9"/>
  <c r="AO64" i="9" s="1"/>
  <c r="BF64" i="9" s="1"/>
  <c r="AQ53" i="9"/>
  <c r="AQ77" i="9" s="1"/>
  <c r="BH77" i="9" s="1"/>
  <c r="AP97" i="9"/>
  <c r="AQ100" i="9"/>
  <c r="AO10" i="9"/>
  <c r="BF10" i="9" s="1"/>
  <c r="AQ8" i="9"/>
  <c r="AQ80" i="9" s="1"/>
  <c r="BH80" i="9" s="1"/>
  <c r="AO6" i="9"/>
  <c r="AQ4" i="9"/>
  <c r="BA4" i="9" s="1"/>
  <c r="AT10" i="9"/>
  <c r="AT133" i="9" s="1"/>
  <c r="AT6" i="9"/>
  <c r="BB6" i="9" s="1"/>
  <c r="AT34" i="9"/>
  <c r="AT30" i="9"/>
  <c r="BB30" i="9" s="1"/>
  <c r="AT58" i="9"/>
  <c r="BE58" i="9" s="1"/>
  <c r="AT54" i="9"/>
  <c r="BK54" i="9" s="1"/>
  <c r="AT101" i="9"/>
  <c r="AT97" i="9"/>
  <c r="BB97" i="9" s="1"/>
  <c r="AQ84" i="8"/>
  <c r="BH84" i="8" s="1"/>
  <c r="BL20" i="8"/>
  <c r="AP92" i="8"/>
  <c r="BG92" i="8" s="1"/>
  <c r="AP138" i="8"/>
  <c r="AP17" i="9"/>
  <c r="BG17" i="9" s="1"/>
  <c r="AP98" i="9"/>
  <c r="AP99" i="9"/>
  <c r="AP108" i="9"/>
  <c r="AO111" i="9"/>
  <c r="AT118" i="9"/>
  <c r="AT123" i="9"/>
  <c r="BC54" i="8"/>
  <c r="AP30" i="9"/>
  <c r="BA30" i="9" s="1"/>
  <c r="BR30" i="9" s="1"/>
  <c r="AP59" i="9"/>
  <c r="AP9" i="9"/>
  <c r="BE137" i="8"/>
  <c r="BD18" i="8"/>
  <c r="BD24" i="8"/>
  <c r="BD19" i="8"/>
  <c r="BD137" i="8"/>
  <c r="BD25" i="8"/>
  <c r="BD20" i="8"/>
  <c r="BF25" i="8"/>
  <c r="BD12" i="8"/>
  <c r="BD37" i="8"/>
  <c r="BD21" i="8"/>
  <c r="BD22" i="8"/>
  <c r="BD23" i="8"/>
  <c r="BD104" i="8"/>
  <c r="BD26" i="8"/>
  <c r="AQ78" i="8"/>
  <c r="AR79" i="8"/>
  <c r="BI79" i="8" s="1"/>
  <c r="AR81" i="8"/>
  <c r="BI81" i="8" s="1"/>
  <c r="BB25" i="8"/>
  <c r="AU105" i="8"/>
  <c r="BK111" i="8"/>
  <c r="BC12" i="8"/>
  <c r="BC104" i="8"/>
  <c r="BC137" i="8"/>
  <c r="BD104" i="7"/>
  <c r="BD12" i="7"/>
  <c r="BD19" i="7"/>
  <c r="BD22" i="7"/>
  <c r="BD54" i="7"/>
  <c r="BD20" i="7"/>
  <c r="BD21" i="7"/>
  <c r="BD37" i="7"/>
  <c r="BF25" i="7"/>
  <c r="BD23" i="7"/>
  <c r="BD61" i="7"/>
  <c r="BD24" i="7"/>
  <c r="BD18" i="7"/>
  <c r="BD25" i="7"/>
  <c r="BD26" i="7"/>
  <c r="AU79" i="7"/>
  <c r="BL79" i="7" s="1"/>
  <c r="AR83" i="7"/>
  <c r="BI83" i="7" s="1"/>
  <c r="BI10" i="7"/>
  <c r="BB18" i="7"/>
  <c r="BS18" i="7" s="1"/>
  <c r="BC90" i="7"/>
  <c r="AF4" i="7"/>
  <c r="AF17" i="7" s="1"/>
  <c r="AF41" i="7" s="1"/>
  <c r="AF65" i="7" s="1"/>
  <c r="AF89" i="7" s="1"/>
  <c r="AP78" i="7"/>
  <c r="BG78" i="7" s="1"/>
  <c r="AR79" i="7"/>
  <c r="BI6" i="7"/>
  <c r="AP81" i="7"/>
  <c r="AQ82" i="7"/>
  <c r="BH82" i="7" s="1"/>
  <c r="BH31" i="7"/>
  <c r="BL55" i="7"/>
  <c r="BL59" i="7"/>
  <c r="BC12" i="7"/>
  <c r="AQ78" i="7"/>
  <c r="AP80" i="7"/>
  <c r="BG80" i="7" s="1"/>
  <c r="BI14" i="7"/>
  <c r="BL31" i="7"/>
  <c r="AQ92" i="7"/>
  <c r="BL91" i="7"/>
  <c r="BL98" i="7"/>
  <c r="BL102" i="7"/>
  <c r="BG30" i="7"/>
  <c r="BH91" i="7"/>
  <c r="BL123" i="7"/>
  <c r="BH125" i="7"/>
  <c r="BA13" i="9"/>
  <c r="AT23" i="9"/>
  <c r="AV49" i="7"/>
  <c r="AT19" i="9"/>
  <c r="BC43" i="9" s="1"/>
  <c r="BT43" i="9" s="1"/>
  <c r="AV45" i="7"/>
  <c r="BH6" i="8"/>
  <c r="AQ85" i="8"/>
  <c r="BF12" i="8"/>
  <c r="BB12" i="8"/>
  <c r="AS92" i="8"/>
  <c r="BJ92" i="8" s="1"/>
  <c r="BC90" i="8"/>
  <c r="BC104" i="7"/>
  <c r="BH22" i="7"/>
  <c r="BH35" i="7"/>
  <c r="AP102" i="9"/>
  <c r="BB104" i="7"/>
  <c r="BF104" i="7"/>
  <c r="AT22" i="9"/>
  <c r="BC46" i="9" s="1"/>
  <c r="BT46" i="9" s="1"/>
  <c r="AV48" i="7"/>
  <c r="AT18" i="9"/>
  <c r="BC42" i="9" s="1"/>
  <c r="BT42" i="9" s="1"/>
  <c r="AV44" i="7"/>
  <c r="AP126" i="8"/>
  <c r="BG126" i="8" s="1"/>
  <c r="AT126" i="8"/>
  <c r="BB137" i="8"/>
  <c r="BF137" i="8"/>
  <c r="AP11" i="9"/>
  <c r="BF12" i="7"/>
  <c r="AT21" i="9"/>
  <c r="BC45" i="9" s="1"/>
  <c r="BT45" i="9" s="1"/>
  <c r="AV47" i="7"/>
  <c r="AT17" i="9"/>
  <c r="BC41" i="9" s="1"/>
  <c r="BT41" i="9" s="1"/>
  <c r="AV43" i="7"/>
  <c r="BI26" i="8"/>
  <c r="BB26" i="8"/>
  <c r="AP46" i="8"/>
  <c r="BG46" i="8" s="1"/>
  <c r="BF104" i="8"/>
  <c r="BB104" i="8"/>
  <c r="AU138" i="8"/>
  <c r="BL138" i="8" s="1"/>
  <c r="BB102" i="9"/>
  <c r="AR83" i="9"/>
  <c r="BC54" i="7"/>
  <c r="BH19" i="7"/>
  <c r="BH23" i="7"/>
  <c r="BH58" i="7"/>
  <c r="BC18" i="7"/>
  <c r="BT18" i="7" s="1"/>
  <c r="AV42" i="7"/>
  <c r="AT28" i="9"/>
  <c r="BB28" i="9" s="1"/>
  <c r="AU42" i="7"/>
  <c r="AT95" i="9"/>
  <c r="BB95" i="9" s="1"/>
  <c r="AU105" i="7"/>
  <c r="BG6" i="8"/>
  <c r="AR126" i="8"/>
  <c r="AV49" i="8"/>
  <c r="BL21" i="8"/>
  <c r="AV45" i="8"/>
  <c r="BB52" i="9"/>
  <c r="BM105" i="8"/>
  <c r="BI9" i="8"/>
  <c r="AP45" i="8"/>
  <c r="BG45" i="8" s="1"/>
  <c r="BG34" i="8"/>
  <c r="AT92" i="8"/>
  <c r="BK92" i="8" s="1"/>
  <c r="BJ113" i="8"/>
  <c r="AR111" i="9"/>
  <c r="AR103" i="9"/>
  <c r="AR135" i="9"/>
  <c r="BI12" i="9"/>
  <c r="BG19" i="7"/>
  <c r="AO17" i="9"/>
  <c r="BF17" i="9" s="1"/>
  <c r="BA34" i="9"/>
  <c r="BR34" i="9" s="1"/>
  <c r="BF34" i="9"/>
  <c r="BG54" i="9"/>
  <c r="BG58" i="7"/>
  <c r="AO56" i="9"/>
  <c r="BE56" i="9" s="1"/>
  <c r="AP70" i="9"/>
  <c r="BG70" i="9" s="1"/>
  <c r="BG58" i="9"/>
  <c r="BH88" i="9"/>
  <c r="AR105" i="7"/>
  <c r="AQ95" i="9"/>
  <c r="BG123" i="7"/>
  <c r="AO121" i="9"/>
  <c r="BG124" i="7"/>
  <c r="AO122" i="9"/>
  <c r="AO78" i="9"/>
  <c r="BF78" i="9" s="1"/>
  <c r="BF6" i="9"/>
  <c r="AP26" i="7"/>
  <c r="BG26" i="7" s="1"/>
  <c r="AO16" i="9"/>
  <c r="AO166" i="9" s="1"/>
  <c r="BI20" i="7"/>
  <c r="AQ18" i="9"/>
  <c r="BG21" i="7"/>
  <c r="AO19" i="9"/>
  <c r="BF19" i="9" s="1"/>
  <c r="BH21" i="7"/>
  <c r="BG24" i="7"/>
  <c r="AO22" i="9"/>
  <c r="BF22" i="9" s="1"/>
  <c r="BH24" i="7"/>
  <c r="BH28" i="9"/>
  <c r="BI30" i="7"/>
  <c r="BG30" i="9"/>
  <c r="BL32" i="7"/>
  <c r="BH31" i="9"/>
  <c r="AP149" i="9"/>
  <c r="BG32" i="9"/>
  <c r="BG34" i="9"/>
  <c r="BL36" i="7"/>
  <c r="BA35" i="9"/>
  <c r="BA47" i="9" s="1"/>
  <c r="AP47" i="9"/>
  <c r="BF52" i="9"/>
  <c r="AP65" i="9"/>
  <c r="BG65" i="9" s="1"/>
  <c r="BG53" i="9"/>
  <c r="BH54" i="9"/>
  <c r="AQ66" i="9"/>
  <c r="BH66" i="9" s="1"/>
  <c r="AP67" i="9"/>
  <c r="BG67" i="9" s="1"/>
  <c r="BG55" i="9"/>
  <c r="AP159" i="9"/>
  <c r="AP68" i="9"/>
  <c r="BG68" i="9" s="1"/>
  <c r="BG56" i="9"/>
  <c r="BG57" i="9"/>
  <c r="AP69" i="9"/>
  <c r="BG69" i="9" s="1"/>
  <c r="AQ70" i="9"/>
  <c r="BH70" i="9" s="1"/>
  <c r="BH58" i="9"/>
  <c r="AS92" i="7"/>
  <c r="BJ92" i="7" s="1"/>
  <c r="AR88" i="9"/>
  <c r="BG91" i="7"/>
  <c r="AO89" i="9"/>
  <c r="BK91" i="7"/>
  <c r="AS89" i="9"/>
  <c r="BJ89" i="9" s="1"/>
  <c r="BG98" i="7"/>
  <c r="AO96" i="9"/>
  <c r="BI100" i="7"/>
  <c r="BG101" i="7"/>
  <c r="AO99" i="9"/>
  <c r="BH102" i="7"/>
  <c r="AP100" i="9"/>
  <c r="BG103" i="7"/>
  <c r="AO101" i="9"/>
  <c r="BA101" i="9" s="1"/>
  <c r="BG112" i="7"/>
  <c r="AO110" i="9"/>
  <c r="BH112" i="7"/>
  <c r="BG113" i="7"/>
  <c r="BG114" i="7"/>
  <c r="AO112" i="9"/>
  <c r="BH114" i="7"/>
  <c r="AR126" i="7"/>
  <c r="BI126" i="7" s="1"/>
  <c r="AQ118" i="9"/>
  <c r="BH121" i="7"/>
  <c r="BK125" i="7"/>
  <c r="AS123" i="9"/>
  <c r="AQ138" i="7"/>
  <c r="AQ81" i="9"/>
  <c r="BH81" i="9" s="1"/>
  <c r="BH9" i="9"/>
  <c r="AO7" i="9"/>
  <c r="AO155" i="9" s="1"/>
  <c r="BH5" i="9"/>
  <c r="BG8" i="8"/>
  <c r="AP44" i="8"/>
  <c r="BG44" i="8" s="1"/>
  <c r="AE91" i="8"/>
  <c r="AP105" i="8"/>
  <c r="AR116" i="8"/>
  <c r="BI116" i="8" s="1"/>
  <c r="BJ110" i="8"/>
  <c r="AR108" i="9"/>
  <c r="BK112" i="8"/>
  <c r="AS110" i="9"/>
  <c r="BK113" i="8"/>
  <c r="AS111" i="9"/>
  <c r="BK114" i="8"/>
  <c r="AS112" i="9"/>
  <c r="AQ126" i="8"/>
  <c r="AR66" i="9"/>
  <c r="BI66" i="9" s="1"/>
  <c r="BI54" i="9"/>
  <c r="BI55" i="9"/>
  <c r="AR67" i="9"/>
  <c r="BI67" i="9" s="1"/>
  <c r="AR47" i="9"/>
  <c r="AR138" i="9"/>
  <c r="AR161" i="9"/>
  <c r="BI52" i="9"/>
  <c r="AR60" i="9"/>
  <c r="AR64" i="9"/>
  <c r="BI64" i="9" s="1"/>
  <c r="AR155" i="9"/>
  <c r="AR139" i="9"/>
  <c r="AR160" i="9"/>
  <c r="AR65" i="9"/>
  <c r="BI65" i="9" s="1"/>
  <c r="BI53" i="9"/>
  <c r="BG22" i="7"/>
  <c r="AO20" i="9"/>
  <c r="BF20" i="9" s="1"/>
  <c r="BI23" i="7"/>
  <c r="AQ21" i="9"/>
  <c r="BH29" i="9"/>
  <c r="BG31" i="9"/>
  <c r="BF53" i="9"/>
  <c r="AP71" i="9"/>
  <c r="BJ91" i="7"/>
  <c r="AR89" i="9"/>
  <c r="BI89" i="9" s="1"/>
  <c r="BI110" i="7"/>
  <c r="AQ108" i="9"/>
  <c r="BA108" i="9" s="1"/>
  <c r="BH120" i="7"/>
  <c r="AP118" i="9"/>
  <c r="BI122" i="7"/>
  <c r="AQ120" i="9"/>
  <c r="BK123" i="7"/>
  <c r="AS121" i="9"/>
  <c r="BJ125" i="7"/>
  <c r="AR123" i="9"/>
  <c r="BG7" i="9"/>
  <c r="AP79" i="9"/>
  <c r="BG79" i="9" s="1"/>
  <c r="AP79" i="7"/>
  <c r="BG79" i="7" s="1"/>
  <c r="AQ80" i="7"/>
  <c r="BH80" i="7" s="1"/>
  <c r="AQ81" i="7"/>
  <c r="BH81" i="7" s="1"/>
  <c r="AR78" i="7"/>
  <c r="BI5" i="7"/>
  <c r="AR82" i="7"/>
  <c r="BI82" i="7" s="1"/>
  <c r="AP84" i="7"/>
  <c r="BG84" i="7" s="1"/>
  <c r="BJ14" i="7"/>
  <c r="AR13" i="9"/>
  <c r="AQ26" i="7"/>
  <c r="BH26" i="7" s="1"/>
  <c r="AP16" i="9"/>
  <c r="BH18" i="7"/>
  <c r="BI19" i="7"/>
  <c r="AQ17" i="9"/>
  <c r="BI22" i="7"/>
  <c r="AQ20" i="9"/>
  <c r="AQ44" i="9" s="1"/>
  <c r="BH44" i="9" s="1"/>
  <c r="BG23" i="7"/>
  <c r="AO21" i="9"/>
  <c r="BF21" i="9" s="1"/>
  <c r="AQ42" i="9"/>
  <c r="BH42" i="9" s="1"/>
  <c r="BH30" i="9"/>
  <c r="BH33" i="7"/>
  <c r="BH32" i="9"/>
  <c r="BF33" i="9"/>
  <c r="BH34" i="9"/>
  <c r="AQ62" i="7"/>
  <c r="AP52" i="9"/>
  <c r="BE52" i="9" s="1"/>
  <c r="BH53" i="9"/>
  <c r="BH56" i="7"/>
  <c r="BI57" i="7"/>
  <c r="AQ55" i="9"/>
  <c r="BA55" i="9" s="1"/>
  <c r="BH56" i="9"/>
  <c r="AQ68" i="9"/>
  <c r="BH68" i="9" s="1"/>
  <c r="BH57" i="9"/>
  <c r="BH60" i="7"/>
  <c r="AP92" i="7"/>
  <c r="BG92" i="7" s="1"/>
  <c r="AO88" i="9"/>
  <c r="AT92" i="7"/>
  <c r="BK92" i="7" s="1"/>
  <c r="AS88" i="9"/>
  <c r="AP105" i="7"/>
  <c r="BG105" i="7" s="1"/>
  <c r="AO95" i="9"/>
  <c r="BH98" i="7"/>
  <c r="AP96" i="9"/>
  <c r="BE96" i="9" s="1"/>
  <c r="BI101" i="7"/>
  <c r="BI102" i="7"/>
  <c r="BI103" i="7"/>
  <c r="BG110" i="7"/>
  <c r="AO108" i="9"/>
  <c r="BH110" i="7"/>
  <c r="BH113" i="7"/>
  <c r="AP111" i="9"/>
  <c r="BI113" i="7"/>
  <c r="BA119" i="9"/>
  <c r="BR119" i="9" s="1"/>
  <c r="BG119" i="9"/>
  <c r="BH123" i="7"/>
  <c r="BI124" i="7"/>
  <c r="AQ122" i="9"/>
  <c r="BL124" i="7"/>
  <c r="AQ82" i="9"/>
  <c r="BH82" i="9" s="1"/>
  <c r="BH10" i="9"/>
  <c r="BG9" i="9"/>
  <c r="AP81" i="9"/>
  <c r="BG81" i="9" s="1"/>
  <c r="BF8" i="9"/>
  <c r="AQ6" i="9"/>
  <c r="AP77" i="9"/>
  <c r="BG77" i="9" s="1"/>
  <c r="AO156" i="9"/>
  <c r="AO76" i="9"/>
  <c r="BF76" i="9" s="1"/>
  <c r="BF4" i="9"/>
  <c r="BS26" i="8"/>
  <c r="BG10" i="8"/>
  <c r="AP26" i="8"/>
  <c r="BG26" i="8" s="1"/>
  <c r="BI18" i="8"/>
  <c r="AP38" i="8"/>
  <c r="BG38" i="8" s="1"/>
  <c r="AP48" i="8"/>
  <c r="BG48" i="8" s="1"/>
  <c r="AQ62" i="8"/>
  <c r="AR92" i="8"/>
  <c r="BI92" i="8" s="1"/>
  <c r="BG90" i="8"/>
  <c r="X92" i="8"/>
  <c r="BP92" i="8" s="1"/>
  <c r="AQ105" i="8"/>
  <c r="BJ109" i="8"/>
  <c r="AR107" i="9"/>
  <c r="BK110" i="8"/>
  <c r="AS108" i="9"/>
  <c r="BJ111" i="8"/>
  <c r="AR109" i="9"/>
  <c r="BG120" i="8"/>
  <c r="AQ138" i="8"/>
  <c r="BH138" i="8" s="1"/>
  <c r="BH131" i="8"/>
  <c r="BI58" i="9"/>
  <c r="AR70" i="9"/>
  <c r="BI70" i="9" s="1"/>
  <c r="AR156" i="9"/>
  <c r="AR154" i="9"/>
  <c r="AR159" i="9"/>
  <c r="BI56" i="9"/>
  <c r="AR68" i="9"/>
  <c r="BI68" i="9" s="1"/>
  <c r="BI36" i="9"/>
  <c r="AR145" i="9"/>
  <c r="AS48" i="9"/>
  <c r="BJ48" i="9" s="1"/>
  <c r="AR144" i="9"/>
  <c r="AR143" i="9"/>
  <c r="BI24" i="9"/>
  <c r="AR69" i="9"/>
  <c r="BI69" i="9" s="1"/>
  <c r="BI57" i="9"/>
  <c r="BH30" i="7"/>
  <c r="AP28" i="9"/>
  <c r="BF30" i="9"/>
  <c r="BG34" i="7"/>
  <c r="AO32" i="9"/>
  <c r="BI35" i="7"/>
  <c r="AQ33" i="9"/>
  <c r="AQ159" i="9" s="1"/>
  <c r="BF57" i="9"/>
  <c r="AO69" i="9"/>
  <c r="BF69" i="9" s="1"/>
  <c r="BA57" i="9"/>
  <c r="BG100" i="7"/>
  <c r="AO98" i="9"/>
  <c r="BG102" i="7"/>
  <c r="AO100" i="9"/>
  <c r="BA107" i="9"/>
  <c r="BK124" i="7"/>
  <c r="AS122" i="9"/>
  <c r="BH8" i="9"/>
  <c r="BF33" i="7"/>
  <c r="AQ85" i="7"/>
  <c r="BK14" i="7"/>
  <c r="AS13" i="9"/>
  <c r="BI18" i="7"/>
  <c r="AQ16" i="9"/>
  <c r="BG20" i="7"/>
  <c r="AO18" i="9"/>
  <c r="BF18" i="9" s="1"/>
  <c r="BH20" i="7"/>
  <c r="BI21" i="7"/>
  <c r="AQ19" i="9"/>
  <c r="BI24" i="7"/>
  <c r="AQ22" i="9"/>
  <c r="AP150" i="9"/>
  <c r="BG29" i="9"/>
  <c r="BH32" i="7"/>
  <c r="BA31" i="9"/>
  <c r="BR31" i="9" s="1"/>
  <c r="BF31" i="9"/>
  <c r="BG33" i="9"/>
  <c r="BH36" i="7"/>
  <c r="AQ64" i="9"/>
  <c r="BH64" i="9" s="1"/>
  <c r="BH52" i="9"/>
  <c r="BH55" i="7"/>
  <c r="AO66" i="9"/>
  <c r="BF66" i="9" s="1"/>
  <c r="BF54" i="9"/>
  <c r="BA54" i="9"/>
  <c r="BH57" i="7"/>
  <c r="BH59" i="7"/>
  <c r="AO70" i="9"/>
  <c r="BF70" i="9" s="1"/>
  <c r="BF58" i="9"/>
  <c r="BA58" i="9"/>
  <c r="BH90" i="7"/>
  <c r="AP88" i="9"/>
  <c r="BI91" i="7"/>
  <c r="AQ89" i="9"/>
  <c r="BH89" i="9" s="1"/>
  <c r="AQ105" i="7"/>
  <c r="AP95" i="9"/>
  <c r="BI97" i="7"/>
  <c r="BI98" i="7"/>
  <c r="BG99" i="7"/>
  <c r="AO97" i="9"/>
  <c r="BA97" i="9" s="1"/>
  <c r="AQ116" i="7"/>
  <c r="AP107" i="9"/>
  <c r="BG111" i="7"/>
  <c r="AO109" i="9"/>
  <c r="BI112" i="7"/>
  <c r="AQ110" i="9"/>
  <c r="BA110" i="9" s="1"/>
  <c r="BI114" i="7"/>
  <c r="AQ112" i="9"/>
  <c r="BA112" i="9" s="1"/>
  <c r="AP126" i="7"/>
  <c r="BG126" i="7" s="1"/>
  <c r="AO118" i="9"/>
  <c r="BK120" i="7"/>
  <c r="AS118" i="9"/>
  <c r="BH122" i="7"/>
  <c r="AP120" i="9"/>
  <c r="BJ123" i="7"/>
  <c r="AR121" i="9"/>
  <c r="BJ124" i="7"/>
  <c r="AR122" i="9"/>
  <c r="AQ84" i="7"/>
  <c r="AP10" i="9"/>
  <c r="BE10" i="9" s="1"/>
  <c r="AP83" i="7"/>
  <c r="BG83" i="7" s="1"/>
  <c r="AO9" i="9"/>
  <c r="BH7" i="9"/>
  <c r="AQ79" i="9"/>
  <c r="BH79" i="9" s="1"/>
  <c r="BH7" i="7"/>
  <c r="AP6" i="9"/>
  <c r="BF5" i="9"/>
  <c r="BA5" i="9"/>
  <c r="AO77" i="9"/>
  <c r="BF77" i="9" s="1"/>
  <c r="BI5" i="8"/>
  <c r="BI7" i="8"/>
  <c r="BI11" i="8"/>
  <c r="BG33" i="8"/>
  <c r="AP47" i="8"/>
  <c r="BG47" i="8" s="1"/>
  <c r="BG35" i="8"/>
  <c r="AQ49" i="8"/>
  <c r="AR62" i="8"/>
  <c r="Y92" i="8"/>
  <c r="BQ92" i="8" s="1"/>
  <c r="AR105" i="8"/>
  <c r="BI105" i="8" s="1"/>
  <c r="BG97" i="8"/>
  <c r="AP116" i="8"/>
  <c r="AS126" i="8"/>
  <c r="BJ126" i="8" s="1"/>
  <c r="BI120" i="8"/>
  <c r="BG125" i="8"/>
  <c r="AO123" i="9"/>
  <c r="AR78" i="9"/>
  <c r="BI78" i="9" s="1"/>
  <c r="AR82" i="9"/>
  <c r="BI82" i="9" s="1"/>
  <c r="AR77" i="9"/>
  <c r="BI77" i="9" s="1"/>
  <c r="AF4" i="8"/>
  <c r="AF17" i="8" s="1"/>
  <c r="AF41" i="8" s="1"/>
  <c r="AF65" i="8" s="1"/>
  <c r="AF89" i="8" s="1"/>
  <c r="BE5" i="7"/>
  <c r="BV5" i="7" s="1"/>
  <c r="BE22" i="9"/>
  <c r="BV22" i="9" s="1"/>
  <c r="BK34" i="9"/>
  <c r="BE34" i="9"/>
  <c r="BV34" i="9" s="1"/>
  <c r="BB34" i="9"/>
  <c r="BE54" i="9"/>
  <c r="BB101" i="9"/>
  <c r="AU138" i="7"/>
  <c r="AU84" i="7"/>
  <c r="BL84" i="7" s="1"/>
  <c r="BL14" i="7"/>
  <c r="AT13" i="9"/>
  <c r="BL24" i="7"/>
  <c r="BL122" i="7"/>
  <c r="AT120" i="9"/>
  <c r="BK9" i="9"/>
  <c r="BB9" i="9"/>
  <c r="AT81" i="9"/>
  <c r="BK81" i="9" s="1"/>
  <c r="AT132" i="9"/>
  <c r="BB5" i="9"/>
  <c r="AT77" i="9"/>
  <c r="BK77" i="9" s="1"/>
  <c r="BE21" i="9"/>
  <c r="BV21" i="9" s="1"/>
  <c r="BE17" i="9"/>
  <c r="BV17" i="9" s="1"/>
  <c r="BK33" i="9"/>
  <c r="BK29" i="9"/>
  <c r="BB29" i="9"/>
  <c r="BE29" i="9"/>
  <c r="BV29" i="9" s="1"/>
  <c r="BB57" i="9"/>
  <c r="BK57" i="9"/>
  <c r="BE57" i="9"/>
  <c r="BK53" i="9"/>
  <c r="BE53" i="9"/>
  <c r="BB96" i="9"/>
  <c r="AU126" i="8"/>
  <c r="BL126" i="8" s="1"/>
  <c r="AU62" i="8"/>
  <c r="BL62" i="8" s="1"/>
  <c r="BE119" i="9"/>
  <c r="BV119" i="9" s="1"/>
  <c r="BK119" i="9"/>
  <c r="BB119" i="9"/>
  <c r="BS119" i="9" s="1"/>
  <c r="BK6" i="9"/>
  <c r="BE18" i="9"/>
  <c r="BV18" i="9" s="1"/>
  <c r="AU80" i="7"/>
  <c r="BL80" i="7" s="1"/>
  <c r="BL20" i="7"/>
  <c r="BK89" i="9"/>
  <c r="BL121" i="7"/>
  <c r="BB8" i="9"/>
  <c r="AT131" i="9"/>
  <c r="BK8" i="9"/>
  <c r="AT80" i="9"/>
  <c r="BK80" i="9" s="1"/>
  <c r="AT134" i="9"/>
  <c r="AT140" i="9" s="1"/>
  <c r="BB4" i="9"/>
  <c r="AT156" i="9"/>
  <c r="BL22" i="7"/>
  <c r="AT20" i="9"/>
  <c r="BC44" i="9" s="1"/>
  <c r="BT44" i="9" s="1"/>
  <c r="AU26" i="7"/>
  <c r="BC26" i="7" s="1"/>
  <c r="BT26" i="7" s="1"/>
  <c r="AT16" i="9"/>
  <c r="BK32" i="9"/>
  <c r="BB56" i="9"/>
  <c r="BK56" i="9"/>
  <c r="AT68" i="9"/>
  <c r="BK68" i="9" s="1"/>
  <c r="BK52" i="9"/>
  <c r="BE107" i="9"/>
  <c r="BK107" i="9"/>
  <c r="BB107" i="9"/>
  <c r="BB108" i="9"/>
  <c r="BS108" i="9" s="1"/>
  <c r="BK108" i="9"/>
  <c r="BE108" i="9"/>
  <c r="BV108" i="9" s="1"/>
  <c r="BL112" i="8"/>
  <c r="AT110" i="9"/>
  <c r="BL113" i="8"/>
  <c r="AT111" i="9"/>
  <c r="BL114" i="8"/>
  <c r="AT112" i="9"/>
  <c r="BL7" i="7"/>
  <c r="BL11" i="7"/>
  <c r="BL56" i="7"/>
  <c r="BL90" i="7"/>
  <c r="AT88" i="9"/>
  <c r="AU92" i="7"/>
  <c r="BL92" i="7" s="1"/>
  <c r="BL125" i="7"/>
  <c r="BL132" i="7"/>
  <c r="AU85" i="7"/>
  <c r="AT11" i="9"/>
  <c r="BC11" i="9" s="1"/>
  <c r="BC83" i="9" s="1"/>
  <c r="AU81" i="7"/>
  <c r="BL81" i="7" s="1"/>
  <c r="AT7" i="9"/>
  <c r="BE19" i="9"/>
  <c r="BV19" i="9" s="1"/>
  <c r="BB19" i="9"/>
  <c r="BS19" i="9" s="1"/>
  <c r="BE35" i="9"/>
  <c r="BB35" i="9"/>
  <c r="BB47" i="9" s="1"/>
  <c r="BK31" i="9"/>
  <c r="BB31" i="9"/>
  <c r="BE31" i="9"/>
  <c r="BV31" i="9" s="1"/>
  <c r="BB59" i="9"/>
  <c r="AT71" i="9"/>
  <c r="AU62" i="7"/>
  <c r="AT55" i="9"/>
  <c r="BB98" i="9"/>
  <c r="BL109" i="8"/>
  <c r="BL110" i="8"/>
  <c r="BL111" i="8"/>
  <c r="AT109" i="9"/>
  <c r="BK120" i="8"/>
  <c r="AT116" i="8"/>
  <c r="BK116" i="8" s="1"/>
  <c r="BJ90" i="7"/>
  <c r="AS126" i="7"/>
  <c r="AU85" i="8"/>
  <c r="BL7" i="8"/>
  <c r="AU81" i="8"/>
  <c r="BL81" i="8" s="1"/>
  <c r="AJ126" i="8"/>
  <c r="BI126" i="8"/>
  <c r="AL116" i="8"/>
  <c r="BK105" i="8"/>
  <c r="BL105" i="8"/>
  <c r="AN80" i="8"/>
  <c r="AN81" i="8"/>
  <c r="AN82" i="8"/>
  <c r="AL83" i="8"/>
  <c r="AN84" i="8"/>
  <c r="E86" i="8"/>
  <c r="I86" i="8"/>
  <c r="M86" i="8"/>
  <c r="Q86" i="8"/>
  <c r="U86" i="8"/>
  <c r="BM86" i="8" s="1"/>
  <c r="BH78" i="8"/>
  <c r="BL78" i="8"/>
  <c r="BH81" i="8"/>
  <c r="BJ83" i="8"/>
  <c r="BL84" i="8"/>
  <c r="AN38" i="8"/>
  <c r="AI44" i="8"/>
  <c r="AJ45" i="8"/>
  <c r="AG46" i="8"/>
  <c r="AI48" i="8"/>
  <c r="AL26" i="8"/>
  <c r="AH47" i="8"/>
  <c r="E50" i="8"/>
  <c r="I50" i="8"/>
  <c r="M50" i="8"/>
  <c r="AJ42" i="8"/>
  <c r="AL42" i="8"/>
  <c r="AG43" i="8"/>
  <c r="AH44" i="8"/>
  <c r="AD44" i="8"/>
  <c r="AI45" i="8"/>
  <c r="AJ46" i="8"/>
  <c r="AB46" i="8"/>
  <c r="AG47" i="8"/>
  <c r="AH48" i="8"/>
  <c r="AI42" i="8"/>
  <c r="AN42" i="8" s="1"/>
  <c r="AJ43" i="8"/>
  <c r="AG44" i="8"/>
  <c r="AL44" i="8" s="1"/>
  <c r="AH45" i="8"/>
  <c r="AI46" i="8"/>
  <c r="AN46" i="8" s="1"/>
  <c r="AJ47" i="8"/>
  <c r="AG48" i="8"/>
  <c r="AL48" i="8" s="1"/>
  <c r="AN78" i="8"/>
  <c r="AN79" i="8"/>
  <c r="BJ79" i="8"/>
  <c r="AM81" i="8"/>
  <c r="BI84" i="8"/>
  <c r="BM13" i="8"/>
  <c r="M15" i="8"/>
  <c r="BH83" i="8"/>
  <c r="BL83" i="8"/>
  <c r="Q15" i="8"/>
  <c r="AL78" i="8"/>
  <c r="AL79" i="8"/>
  <c r="BK80" i="8"/>
  <c r="BG82" i="8"/>
  <c r="BK82" i="8"/>
  <c r="AM83" i="8"/>
  <c r="U15" i="8"/>
  <c r="F41" i="8"/>
  <c r="F77" i="8" s="1"/>
  <c r="F29" i="8"/>
  <c r="J41" i="8"/>
  <c r="J77" i="8" s="1"/>
  <c r="J29" i="8"/>
  <c r="N41" i="8"/>
  <c r="N77" i="8" s="1"/>
  <c r="N29" i="8"/>
  <c r="R41" i="8"/>
  <c r="R77" i="8" s="1"/>
  <c r="R29" i="8"/>
  <c r="V41" i="8"/>
  <c r="V77" i="8" s="1"/>
  <c r="V29" i="8"/>
  <c r="Z41" i="8"/>
  <c r="Z77" i="8" s="1"/>
  <c r="Z29" i="8"/>
  <c r="BB5" i="8"/>
  <c r="BF5" i="8"/>
  <c r="BR5" i="8"/>
  <c r="BD6" i="8"/>
  <c r="BP6" i="8"/>
  <c r="BB7" i="8"/>
  <c r="BF7" i="8"/>
  <c r="BR7" i="8"/>
  <c r="BD8" i="8"/>
  <c r="BH8" i="8"/>
  <c r="BP8" i="8"/>
  <c r="BB9" i="8"/>
  <c r="BF9" i="8"/>
  <c r="BJ9" i="8"/>
  <c r="BR9" i="8"/>
  <c r="BD10" i="8"/>
  <c r="BH10" i="8"/>
  <c r="BL10" i="8"/>
  <c r="BP10" i="8"/>
  <c r="BB11" i="8"/>
  <c r="BF11" i="8"/>
  <c r="BJ11" i="8"/>
  <c r="BR11" i="8"/>
  <c r="X13" i="8"/>
  <c r="AB13" i="8"/>
  <c r="AJ13" i="8"/>
  <c r="AN13" i="8"/>
  <c r="AR13" i="8"/>
  <c r="BN13" i="8"/>
  <c r="BD14" i="8"/>
  <c r="BU14" i="8" s="1"/>
  <c r="BP14" i="8"/>
  <c r="C15" i="8"/>
  <c r="G15" i="8"/>
  <c r="K15" i="8"/>
  <c r="O15" i="8"/>
  <c r="S15" i="8"/>
  <c r="W15" i="8"/>
  <c r="AG41" i="8"/>
  <c r="AG65" i="8" s="1"/>
  <c r="AG89" i="8" s="1"/>
  <c r="AG29" i="8"/>
  <c r="AG53" i="8" s="1"/>
  <c r="AG77" i="8" s="1"/>
  <c r="BC18" i="8"/>
  <c r="BT18" i="8" s="1"/>
  <c r="BC21" i="8"/>
  <c r="BT21" i="8" s="1"/>
  <c r="BC25" i="8"/>
  <c r="AM38" i="8"/>
  <c r="AR42" i="8"/>
  <c r="BI42" i="8" s="1"/>
  <c r="Z43" i="8"/>
  <c r="AP43" i="8"/>
  <c r="BG43" i="8" s="1"/>
  <c r="AT43" i="8"/>
  <c r="BK43" i="8" s="1"/>
  <c r="AR44" i="8"/>
  <c r="BI44" i="8" s="1"/>
  <c r="Z45" i="8"/>
  <c r="AT45" i="8"/>
  <c r="BK45" i="8" s="1"/>
  <c r="AR46" i="8"/>
  <c r="BI46" i="8" s="1"/>
  <c r="Z47" i="8"/>
  <c r="AT47" i="8"/>
  <c r="BK47" i="8" s="1"/>
  <c r="AR48" i="8"/>
  <c r="BI48" i="8" s="1"/>
  <c r="AS49" i="8"/>
  <c r="C41" i="8"/>
  <c r="C77" i="8" s="1"/>
  <c r="C29" i="8"/>
  <c r="G41" i="8"/>
  <c r="G77" i="8" s="1"/>
  <c r="G29" i="8"/>
  <c r="K41" i="8"/>
  <c r="K77" i="8" s="1"/>
  <c r="K29" i="8"/>
  <c r="O41" i="8"/>
  <c r="O77" i="8" s="1"/>
  <c r="O29" i="8"/>
  <c r="S41" i="8"/>
  <c r="S77" i="8" s="1"/>
  <c r="S29" i="8"/>
  <c r="W41" i="8"/>
  <c r="W77" i="8" s="1"/>
  <c r="W29" i="8"/>
  <c r="AA4" i="8"/>
  <c r="AM78" i="8"/>
  <c r="BC5" i="8"/>
  <c r="BG5" i="8"/>
  <c r="BK5" i="8"/>
  <c r="BE6" i="8"/>
  <c r="BI6" i="8"/>
  <c r="BQ6" i="8"/>
  <c r="AM80" i="8"/>
  <c r="BC7" i="8"/>
  <c r="BG7" i="8"/>
  <c r="BK7" i="8"/>
  <c r="BE8" i="8"/>
  <c r="BI8" i="8"/>
  <c r="BQ8" i="8"/>
  <c r="AM82" i="8"/>
  <c r="BC9" i="8"/>
  <c r="BG9" i="8"/>
  <c r="BK9" i="8"/>
  <c r="BE10" i="8"/>
  <c r="BI10" i="8"/>
  <c r="BQ10" i="8"/>
  <c r="AM84" i="8"/>
  <c r="BC11" i="8"/>
  <c r="BG11" i="8"/>
  <c r="BK11" i="8"/>
  <c r="Y13" i="8"/>
  <c r="AC13" i="8"/>
  <c r="AG13" i="8"/>
  <c r="AS13" i="8"/>
  <c r="BO13" i="8"/>
  <c r="BE14" i="8"/>
  <c r="BV14" i="8" s="1"/>
  <c r="D15" i="8"/>
  <c r="H15" i="8"/>
  <c r="L15" i="8"/>
  <c r="P15" i="8"/>
  <c r="T15" i="8"/>
  <c r="F17" i="8"/>
  <c r="F53" i="8" s="1"/>
  <c r="J17" i="8"/>
  <c r="J53" i="8" s="1"/>
  <c r="N17" i="8"/>
  <c r="N53" i="8" s="1"/>
  <c r="R17" i="8"/>
  <c r="R53" i="8" s="1"/>
  <c r="V17" i="8"/>
  <c r="V53" i="8" s="1"/>
  <c r="Z17" i="8"/>
  <c r="Z53" i="8" s="1"/>
  <c r="AH41" i="8"/>
  <c r="AH65" i="8" s="1"/>
  <c r="AH89" i="8" s="1"/>
  <c r="AH29" i="8"/>
  <c r="AH53" i="8" s="1"/>
  <c r="AH77" i="8" s="1"/>
  <c r="AS26" i="8"/>
  <c r="BJ26" i="8" s="1"/>
  <c r="BF18" i="8"/>
  <c r="BW18" i="8" s="1"/>
  <c r="BK18" i="8"/>
  <c r="BC20" i="8"/>
  <c r="BT20" i="8" s="1"/>
  <c r="BC24" i="8"/>
  <c r="BT24" i="8" s="1"/>
  <c r="Y50" i="8"/>
  <c r="BQ38" i="8"/>
  <c r="BJ38" i="8"/>
  <c r="Y44" i="8"/>
  <c r="AE44" i="8" s="1"/>
  <c r="AS44" i="8"/>
  <c r="BJ44" i="8" s="1"/>
  <c r="AQ45" i="8"/>
  <c r="BH45" i="8" s="1"/>
  <c r="AU45" i="8"/>
  <c r="BL45" i="8" s="1"/>
  <c r="Y48" i="8"/>
  <c r="AE48" i="8" s="1"/>
  <c r="AS48" i="8"/>
  <c r="BJ48" i="8" s="1"/>
  <c r="Q50" i="8"/>
  <c r="U50" i="8"/>
  <c r="AL43" i="8"/>
  <c r="AN44" i="8"/>
  <c r="AN45" i="8"/>
  <c r="AL47" i="8"/>
  <c r="AN48" i="8"/>
  <c r="D41" i="8"/>
  <c r="D77" i="8" s="1"/>
  <c r="D29" i="8"/>
  <c r="H41" i="8"/>
  <c r="H77" i="8" s="1"/>
  <c r="H29" i="8"/>
  <c r="L41" i="8"/>
  <c r="L77" i="8" s="1"/>
  <c r="L29" i="8"/>
  <c r="P41" i="8"/>
  <c r="P77" i="8" s="1"/>
  <c r="P29" i="8"/>
  <c r="T41" i="8"/>
  <c r="T77" i="8" s="1"/>
  <c r="T29" i="8"/>
  <c r="X41" i="8"/>
  <c r="X77" i="8" s="1"/>
  <c r="X29" i="8"/>
  <c r="BD5" i="8"/>
  <c r="BH5" i="8"/>
  <c r="BB6" i="8"/>
  <c r="BF6" i="8"/>
  <c r="BD7" i="8"/>
  <c r="BH7" i="8"/>
  <c r="BB8" i="8"/>
  <c r="BF8" i="8"/>
  <c r="BD9" i="8"/>
  <c r="BH9" i="8"/>
  <c r="BL9" i="8"/>
  <c r="BB10" i="8"/>
  <c r="BF10" i="8"/>
  <c r="BJ10" i="8"/>
  <c r="BD11" i="8"/>
  <c r="BH11" i="8"/>
  <c r="BL11" i="8"/>
  <c r="Z13" i="8"/>
  <c r="AD13" i="8"/>
  <c r="AH13" i="8"/>
  <c r="AP13" i="8"/>
  <c r="AT13" i="8"/>
  <c r="BD13" i="8"/>
  <c r="BB14" i="8"/>
  <c r="BS14" i="8" s="1"/>
  <c r="BF14" i="8"/>
  <c r="BW14" i="8" s="1"/>
  <c r="E15" i="8"/>
  <c r="C17" i="8"/>
  <c r="C53" i="8" s="1"/>
  <c r="G17" i="8"/>
  <c r="G53" i="8" s="1"/>
  <c r="K17" i="8"/>
  <c r="K53" i="8" s="1"/>
  <c r="O17" i="8"/>
  <c r="O53" i="8" s="1"/>
  <c r="S17" i="8"/>
  <c r="S53" i="8" s="1"/>
  <c r="W17" i="8"/>
  <c r="W53" i="8" s="1"/>
  <c r="AI41" i="8"/>
  <c r="AI65" i="8" s="1"/>
  <c r="AI89" i="8" s="1"/>
  <c r="AI29" i="8"/>
  <c r="AI53" i="8" s="1"/>
  <c r="AI77" i="8" s="1"/>
  <c r="BG18" i="8"/>
  <c r="BC19" i="8"/>
  <c r="BT19" i="8" s="1"/>
  <c r="BC23" i="8"/>
  <c r="BT23" i="8" s="1"/>
  <c r="AA26" i="8"/>
  <c r="AC26" i="8"/>
  <c r="AM26" i="8" s="1"/>
  <c r="AF26" i="8"/>
  <c r="Z50" i="8"/>
  <c r="BR38" i="8"/>
  <c r="AT50" i="8"/>
  <c r="BK38" i="8"/>
  <c r="AR43" i="8"/>
  <c r="BI43" i="8" s="1"/>
  <c r="Z44" i="8"/>
  <c r="AT44" i="8"/>
  <c r="BK44" i="8" s="1"/>
  <c r="AR45" i="8"/>
  <c r="BI45" i="8" s="1"/>
  <c r="AT46" i="8"/>
  <c r="BK46" i="8" s="1"/>
  <c r="AR47" i="8"/>
  <c r="BI47" i="8" s="1"/>
  <c r="Z48" i="8"/>
  <c r="AT48" i="8"/>
  <c r="BK48" i="8" s="1"/>
  <c r="AU49" i="8"/>
  <c r="BC136" i="8"/>
  <c r="BT136" i="8" s="1"/>
  <c r="BF135" i="8"/>
  <c r="BB135" i="8"/>
  <c r="BS135" i="8" s="1"/>
  <c r="BE134" i="8"/>
  <c r="BV134" i="8" s="1"/>
  <c r="BD133" i="8"/>
  <c r="BU133" i="8" s="1"/>
  <c r="BC132" i="8"/>
  <c r="BT132" i="8" s="1"/>
  <c r="BF131" i="8"/>
  <c r="BB131" i="8"/>
  <c r="BS131" i="8" s="1"/>
  <c r="BE130" i="8"/>
  <c r="BV130" i="8" s="1"/>
  <c r="BE138" i="8"/>
  <c r="BD138" i="8"/>
  <c r="BD136" i="8"/>
  <c r="BU136" i="8" s="1"/>
  <c r="BC135" i="8"/>
  <c r="BT135" i="8" s="1"/>
  <c r="BF134" i="8"/>
  <c r="BW134" i="8" s="1"/>
  <c r="BB134" i="8"/>
  <c r="BS134" i="8" s="1"/>
  <c r="BE133" i="8"/>
  <c r="BV133" i="8" s="1"/>
  <c r="BD132" i="8"/>
  <c r="BU132" i="8" s="1"/>
  <c r="BC131" i="8"/>
  <c r="BT131" i="8" s="1"/>
  <c r="BF130" i="8"/>
  <c r="BW130" i="8" s="1"/>
  <c r="BB130" i="8"/>
  <c r="BS130" i="8" s="1"/>
  <c r="BF136" i="8"/>
  <c r="BW136" i="8" s="1"/>
  <c r="BB132" i="8"/>
  <c r="BS132" i="8" s="1"/>
  <c r="BD131" i="8"/>
  <c r="BU131" i="8" s="1"/>
  <c r="BC130" i="8"/>
  <c r="BT130" i="8" s="1"/>
  <c r="BE136" i="8"/>
  <c r="BV136" i="8" s="1"/>
  <c r="BE135" i="8"/>
  <c r="BV135" i="8" s="1"/>
  <c r="BD134" i="8"/>
  <c r="BU134" i="8" s="1"/>
  <c r="BF133" i="8"/>
  <c r="BW133" i="8" s="1"/>
  <c r="BE126" i="8"/>
  <c r="BD125" i="8"/>
  <c r="BU125" i="8" s="1"/>
  <c r="BD124" i="8"/>
  <c r="BU124" i="8" s="1"/>
  <c r="BD123" i="8"/>
  <c r="BU123" i="8" s="1"/>
  <c r="BB136" i="8"/>
  <c r="BS136" i="8" s="1"/>
  <c r="BD135" i="8"/>
  <c r="BU135" i="8" s="1"/>
  <c r="BC134" i="8"/>
  <c r="BT134" i="8" s="1"/>
  <c r="BC133" i="8"/>
  <c r="BT133" i="8" s="1"/>
  <c r="BF132" i="8"/>
  <c r="BW132" i="8" s="1"/>
  <c r="BD126" i="8"/>
  <c r="BU126" i="8" s="1"/>
  <c r="BB133" i="8"/>
  <c r="BS133" i="8" s="1"/>
  <c r="BE132" i="8"/>
  <c r="BV132" i="8" s="1"/>
  <c r="BE131" i="8"/>
  <c r="BV131" i="8" s="1"/>
  <c r="BD130" i="8"/>
  <c r="BU130" i="8" s="1"/>
  <c r="BF125" i="8"/>
  <c r="BB125" i="8"/>
  <c r="BS125" i="8" s="1"/>
  <c r="BF124" i="8"/>
  <c r="BB124" i="8"/>
  <c r="BS124" i="8" s="1"/>
  <c r="BB123" i="8"/>
  <c r="BS123" i="8" s="1"/>
  <c r="BC122" i="8"/>
  <c r="BE121" i="8"/>
  <c r="BV121" i="8" s="1"/>
  <c r="BE120" i="8"/>
  <c r="BV120" i="8" s="1"/>
  <c r="AF126" i="8"/>
  <c r="BF123" i="8"/>
  <c r="BF122" i="8"/>
  <c r="BB122" i="8"/>
  <c r="BS122" i="8" s="1"/>
  <c r="BD121" i="8"/>
  <c r="BU121" i="8" s="1"/>
  <c r="BD120" i="8"/>
  <c r="BU120" i="8" s="1"/>
  <c r="BB114" i="8"/>
  <c r="BS114" i="8" s="1"/>
  <c r="BF113" i="8"/>
  <c r="BB112" i="8"/>
  <c r="BS112" i="8" s="1"/>
  <c r="BF111" i="8"/>
  <c r="BE125" i="8"/>
  <c r="BV125" i="8" s="1"/>
  <c r="BE124" i="8"/>
  <c r="BV124" i="8" s="1"/>
  <c r="BE123" i="8"/>
  <c r="BV123" i="8" s="1"/>
  <c r="BE122" i="8"/>
  <c r="BV122" i="8" s="1"/>
  <c r="BC121" i="8"/>
  <c r="BC120" i="8"/>
  <c r="BC125" i="8"/>
  <c r="BC124" i="8"/>
  <c r="BC123" i="8"/>
  <c r="BD122" i="8"/>
  <c r="BU122" i="8" s="1"/>
  <c r="BF121" i="8"/>
  <c r="BW121" i="8" s="1"/>
  <c r="BB121" i="8"/>
  <c r="BS121" i="8" s="1"/>
  <c r="BF120" i="8"/>
  <c r="BW120" i="8" s="1"/>
  <c r="BB120" i="8"/>
  <c r="AA116" i="8"/>
  <c r="BF114" i="8"/>
  <c r="BB113" i="8"/>
  <c r="BS113" i="8" s="1"/>
  <c r="BF112" i="8"/>
  <c r="BB111" i="8"/>
  <c r="BS111" i="8" s="1"/>
  <c r="BC114" i="8"/>
  <c r="BT114" i="8" s="1"/>
  <c r="BF110" i="8"/>
  <c r="BB109" i="8"/>
  <c r="BE105" i="8"/>
  <c r="BC103" i="8"/>
  <c r="BC102" i="8"/>
  <c r="BC101" i="8"/>
  <c r="BC100" i="8"/>
  <c r="BC99" i="8"/>
  <c r="BC98" i="8"/>
  <c r="BC97" i="8"/>
  <c r="AF116" i="8"/>
  <c r="BC115" i="8"/>
  <c r="BC113" i="8"/>
  <c r="BT113" i="8" s="1"/>
  <c r="BC110" i="8"/>
  <c r="BT110" i="8" s="1"/>
  <c r="BD105" i="8"/>
  <c r="BF103" i="8"/>
  <c r="BW103" i="8" s="1"/>
  <c r="BB103" i="8"/>
  <c r="BS103" i="8" s="1"/>
  <c r="BF102" i="8"/>
  <c r="BB102" i="8"/>
  <c r="BS102" i="8" s="1"/>
  <c r="BF101" i="8"/>
  <c r="BW101" i="8" s="1"/>
  <c r="BB101" i="8"/>
  <c r="BS101" i="8" s="1"/>
  <c r="BF100" i="8"/>
  <c r="BB100" i="8"/>
  <c r="BS100" i="8" s="1"/>
  <c r="BF99" i="8"/>
  <c r="BW99" i="8" s="1"/>
  <c r="BB99" i="8"/>
  <c r="BS99" i="8" s="1"/>
  <c r="BF98" i="8"/>
  <c r="BB98" i="8"/>
  <c r="BS98" i="8" s="1"/>
  <c r="BF97" i="8"/>
  <c r="BB97" i="8"/>
  <c r="BS97" i="8" s="1"/>
  <c r="AF105" i="8"/>
  <c r="BE92" i="8"/>
  <c r="AA92" i="8"/>
  <c r="BD91" i="8"/>
  <c r="BU91" i="8" s="1"/>
  <c r="BC112" i="8"/>
  <c r="BT112" i="8" s="1"/>
  <c r="BB110" i="8"/>
  <c r="BS110" i="8" s="1"/>
  <c r="BF109" i="8"/>
  <c r="BC105" i="8"/>
  <c r="BE103" i="8"/>
  <c r="BE102" i="8"/>
  <c r="BE101" i="8"/>
  <c r="BE100" i="8"/>
  <c r="BE99" i="8"/>
  <c r="BE98" i="8"/>
  <c r="BE97" i="8"/>
  <c r="BV97" i="8" s="1"/>
  <c r="BC111" i="8"/>
  <c r="BT111" i="8" s="1"/>
  <c r="BC109" i="8"/>
  <c r="BD103" i="8"/>
  <c r="BU103" i="8" s="1"/>
  <c r="BD102" i="8"/>
  <c r="BU102" i="8" s="1"/>
  <c r="BD101" i="8"/>
  <c r="BU101" i="8" s="1"/>
  <c r="BD100" i="8"/>
  <c r="BU100" i="8" s="1"/>
  <c r="BD99" i="8"/>
  <c r="BU99" i="8" s="1"/>
  <c r="BD98" i="8"/>
  <c r="BU98" i="8" s="1"/>
  <c r="BD97" i="8"/>
  <c r="BU97" i="8" s="1"/>
  <c r="BF91" i="8"/>
  <c r="BB91" i="8"/>
  <c r="BS91" i="8" s="1"/>
  <c r="AF91" i="8"/>
  <c r="BD90" i="8"/>
  <c r="BU90" i="8" s="1"/>
  <c r="BD92" i="8"/>
  <c r="BU92" i="8" s="1"/>
  <c r="AA91" i="8"/>
  <c r="BE90" i="8"/>
  <c r="AF92" i="8"/>
  <c r="BE91" i="8"/>
  <c r="BV91" i="8" s="1"/>
  <c r="AO91" i="8"/>
  <c r="BC91" i="8"/>
  <c r="BB90" i="8"/>
  <c r="BS90" i="8" s="1"/>
  <c r="AF90" i="8"/>
  <c r="BF90" i="8"/>
  <c r="AA90" i="8"/>
  <c r="BD61" i="8"/>
  <c r="BC60" i="8"/>
  <c r="BE59" i="8"/>
  <c r="BC58" i="8"/>
  <c r="BE57" i="8"/>
  <c r="BC56" i="8"/>
  <c r="BE55" i="8"/>
  <c r="BE62" i="8"/>
  <c r="AA62" i="8"/>
  <c r="BC61" i="8"/>
  <c r="BF60" i="8"/>
  <c r="BB60" i="8"/>
  <c r="BD59" i="8"/>
  <c r="BF58" i="8"/>
  <c r="BB58" i="8"/>
  <c r="BD57" i="8"/>
  <c r="BF56" i="8"/>
  <c r="BB56" i="8"/>
  <c r="BD55" i="8"/>
  <c r="BF54" i="8"/>
  <c r="BB54" i="8"/>
  <c r="BD62" i="8"/>
  <c r="BF61" i="8"/>
  <c r="BB61" i="8"/>
  <c r="BE60" i="8"/>
  <c r="BC59" i="8"/>
  <c r="BE58" i="8"/>
  <c r="BC57" i="8"/>
  <c r="BE56" i="8"/>
  <c r="BC55" i="8"/>
  <c r="BE54" i="8"/>
  <c r="AF51" i="8"/>
  <c r="BE61" i="8"/>
  <c r="BE85" i="8" s="1"/>
  <c r="BD60" i="8"/>
  <c r="BF59" i="8"/>
  <c r="BB59" i="8"/>
  <c r="BD58" i="8"/>
  <c r="BF57" i="8"/>
  <c r="BB57" i="8"/>
  <c r="BD56" i="8"/>
  <c r="BF55" i="8"/>
  <c r="BB55" i="8"/>
  <c r="BD54" i="8"/>
  <c r="AA51" i="8"/>
  <c r="BF49" i="8"/>
  <c r="BF48" i="8"/>
  <c r="AF46" i="8"/>
  <c r="AA45" i="8"/>
  <c r="BF44" i="8"/>
  <c r="AF42" i="8"/>
  <c r="BD38" i="8"/>
  <c r="BF37" i="8"/>
  <c r="BC36" i="8"/>
  <c r="BE35" i="8"/>
  <c r="BC34" i="8"/>
  <c r="BE33" i="8"/>
  <c r="BC32" i="8"/>
  <c r="BE31" i="8"/>
  <c r="BC30" i="8"/>
  <c r="AF47" i="8"/>
  <c r="AA46" i="8"/>
  <c r="BF45" i="8"/>
  <c r="AF43" i="8"/>
  <c r="AA42" i="8"/>
  <c r="BC37" i="8"/>
  <c r="BF36" i="8"/>
  <c r="BW36" i="8" s="1"/>
  <c r="BB36" i="8"/>
  <c r="BD35" i="8"/>
  <c r="BF34" i="8"/>
  <c r="BB34" i="8"/>
  <c r="BD33" i="8"/>
  <c r="BF32" i="8"/>
  <c r="BW32" i="8" s="1"/>
  <c r="BB32" i="8"/>
  <c r="BD31" i="8"/>
  <c r="BF30" i="8"/>
  <c r="BB30" i="8"/>
  <c r="BB42" i="8" s="1"/>
  <c r="AF38" i="8"/>
  <c r="BF24" i="8"/>
  <c r="BW24" i="8" s="1"/>
  <c r="BF23" i="8"/>
  <c r="BW23" i="8" s="1"/>
  <c r="BF22" i="8"/>
  <c r="BW22" i="8" s="1"/>
  <c r="BF21" i="8"/>
  <c r="BW21" i="8" s="1"/>
  <c r="BF20" i="8"/>
  <c r="BW20" i="8" s="1"/>
  <c r="BF19" i="8"/>
  <c r="BW19" i="8" s="1"/>
  <c r="AF48" i="8"/>
  <c r="AA47" i="8"/>
  <c r="BF46" i="8"/>
  <c r="AF44" i="8"/>
  <c r="AA43" i="8"/>
  <c r="BF42" i="8"/>
  <c r="BB37" i="8"/>
  <c r="BB49" i="8" s="1"/>
  <c r="BE36" i="8"/>
  <c r="BV36" i="8" s="1"/>
  <c r="BC35" i="8"/>
  <c r="BE34" i="8"/>
  <c r="BC33" i="8"/>
  <c r="BE32" i="8"/>
  <c r="BC31" i="8"/>
  <c r="BE30" i="8"/>
  <c r="AA50" i="8"/>
  <c r="AA48" i="8"/>
  <c r="BF47" i="8"/>
  <c r="AF45" i="8"/>
  <c r="AA44" i="8"/>
  <c r="BF43" i="8"/>
  <c r="BE38" i="8"/>
  <c r="AA38" i="8"/>
  <c r="BD36" i="8"/>
  <c r="BF35" i="8"/>
  <c r="BW35" i="8" s="1"/>
  <c r="BB35" i="8"/>
  <c r="BD34" i="8"/>
  <c r="BF33" i="8"/>
  <c r="BW33" i="8" s="1"/>
  <c r="BB33" i="8"/>
  <c r="BD32" i="8"/>
  <c r="BF31" i="8"/>
  <c r="BW31" i="8" s="1"/>
  <c r="BB31" i="8"/>
  <c r="BD30" i="8"/>
  <c r="BB24" i="8"/>
  <c r="BS24" i="8" s="1"/>
  <c r="BB23" i="8"/>
  <c r="BS23" i="8" s="1"/>
  <c r="BB22" i="8"/>
  <c r="BS22" i="8" s="1"/>
  <c r="BB21" i="8"/>
  <c r="BS21" i="8" s="1"/>
  <c r="BB20" i="8"/>
  <c r="BS20" i="8" s="1"/>
  <c r="BB19" i="8"/>
  <c r="BS19" i="8" s="1"/>
  <c r="BB18" i="8"/>
  <c r="BS18" i="8" s="1"/>
  <c r="E41" i="8"/>
  <c r="E77" i="8" s="1"/>
  <c r="E29" i="8"/>
  <c r="I41" i="8"/>
  <c r="I77" i="8" s="1"/>
  <c r="I29" i="8"/>
  <c r="M41" i="8"/>
  <c r="M77" i="8" s="1"/>
  <c r="M29" i="8"/>
  <c r="Q41" i="8"/>
  <c r="Q77" i="8" s="1"/>
  <c r="Q29" i="8"/>
  <c r="U41" i="8"/>
  <c r="U77" i="8" s="1"/>
  <c r="U29" i="8"/>
  <c r="Y41" i="8"/>
  <c r="Y77" i="8" s="1"/>
  <c r="Y29" i="8"/>
  <c r="BF4" i="8"/>
  <c r="BE5" i="8"/>
  <c r="BC6" i="8"/>
  <c r="BE7" i="8"/>
  <c r="BC8" i="8"/>
  <c r="BE9" i="8"/>
  <c r="BC10" i="8"/>
  <c r="BE11" i="8"/>
  <c r="AI13" i="8"/>
  <c r="AI86" i="8" s="1"/>
  <c r="AQ13" i="8"/>
  <c r="AU13" i="8"/>
  <c r="BE13" i="8"/>
  <c r="BC14" i="8"/>
  <c r="BT14" i="8" s="1"/>
  <c r="F15" i="8"/>
  <c r="J15" i="8"/>
  <c r="AI15" i="8" s="1"/>
  <c r="N15" i="8"/>
  <c r="R15" i="8"/>
  <c r="V15" i="8"/>
  <c r="D17" i="8"/>
  <c r="D53" i="8" s="1"/>
  <c r="H17" i="8"/>
  <c r="H53" i="8" s="1"/>
  <c r="L17" i="8"/>
  <c r="L53" i="8" s="1"/>
  <c r="P17" i="8"/>
  <c r="P53" i="8" s="1"/>
  <c r="T17" i="8"/>
  <c r="T53" i="8" s="1"/>
  <c r="X17" i="8"/>
  <c r="X53" i="8" s="1"/>
  <c r="AJ41" i="8"/>
  <c r="AJ65" i="8" s="1"/>
  <c r="AJ89" i="8" s="1"/>
  <c r="AJ29" i="8"/>
  <c r="AJ53" i="8" s="1"/>
  <c r="AJ77" i="8" s="1"/>
  <c r="AO26" i="8"/>
  <c r="AQ26" i="8"/>
  <c r="BH26" i="8" s="1"/>
  <c r="BH18" i="8"/>
  <c r="AU26" i="8"/>
  <c r="BL18" i="8"/>
  <c r="BC22" i="8"/>
  <c r="BT22" i="8" s="1"/>
  <c r="AQ42" i="8"/>
  <c r="BH42" i="8" s="1"/>
  <c r="AU42" i="8"/>
  <c r="BL42" i="8" s="1"/>
  <c r="Y43" i="8"/>
  <c r="AE43" i="8" s="1"/>
  <c r="AS43" i="8"/>
  <c r="BJ43" i="8" s="1"/>
  <c r="AQ44" i="8"/>
  <c r="BH44" i="8" s="1"/>
  <c r="AU44" i="8"/>
  <c r="BL44" i="8" s="1"/>
  <c r="AS45" i="8"/>
  <c r="BJ45" i="8" s="1"/>
  <c r="AQ46" i="8"/>
  <c r="BH46" i="8" s="1"/>
  <c r="AU46" i="8"/>
  <c r="BL46" i="8" s="1"/>
  <c r="Y47" i="8"/>
  <c r="AE47" i="8" s="1"/>
  <c r="AS47" i="8"/>
  <c r="BJ47" i="8" s="1"/>
  <c r="AQ48" i="8"/>
  <c r="BH48" i="8" s="1"/>
  <c r="AU48" i="8"/>
  <c r="BL48" i="8" s="1"/>
  <c r="O50" i="8"/>
  <c r="S50" i="8"/>
  <c r="W50" i="8"/>
  <c r="AN43" i="8"/>
  <c r="AL45" i="8"/>
  <c r="AN47" i="8"/>
  <c r="BH30" i="8"/>
  <c r="BL30" i="8"/>
  <c r="BP30" i="8"/>
  <c r="BJ31" i="8"/>
  <c r="BR31" i="8"/>
  <c r="BH32" i="8"/>
  <c r="BL32" i="8"/>
  <c r="BP32" i="8"/>
  <c r="BJ33" i="8"/>
  <c r="BR33" i="8"/>
  <c r="BH34" i="8"/>
  <c r="BL34" i="8"/>
  <c r="BP34" i="8"/>
  <c r="BJ35" i="8"/>
  <c r="BR35" i="8"/>
  <c r="BH36" i="8"/>
  <c r="BL36" i="8"/>
  <c r="BP36" i="8"/>
  <c r="AQ38" i="8"/>
  <c r="AU38" i="8"/>
  <c r="BC38" i="8" s="1"/>
  <c r="BM38" i="8"/>
  <c r="Y42" i="8"/>
  <c r="AE42" i="8" s="1"/>
  <c r="AS42" i="8"/>
  <c r="BJ42" i="8" s="1"/>
  <c r="X45" i="8"/>
  <c r="Y46" i="8"/>
  <c r="AE46" i="8" s="1"/>
  <c r="AS46" i="8"/>
  <c r="BJ46" i="8" s="1"/>
  <c r="Y66" i="8"/>
  <c r="BQ66" i="8" s="1"/>
  <c r="AD66" i="8"/>
  <c r="AJ74" i="8"/>
  <c r="AS66" i="8"/>
  <c r="BJ66" i="8" s="1"/>
  <c r="AB67" i="8"/>
  <c r="AH67" i="8"/>
  <c r="AJ68" i="8"/>
  <c r="AH69" i="8"/>
  <c r="AQ69" i="8"/>
  <c r="BH69" i="8" s="1"/>
  <c r="AU69" i="8"/>
  <c r="BL69" i="8" s="1"/>
  <c r="Y70" i="8"/>
  <c r="BQ70" i="8" s="1"/>
  <c r="AD70" i="8"/>
  <c r="AJ70" i="8"/>
  <c r="AS70" i="8"/>
  <c r="BJ70" i="8" s="1"/>
  <c r="AB71" i="8"/>
  <c r="AH71" i="8"/>
  <c r="AQ71" i="8"/>
  <c r="BH71" i="8" s="1"/>
  <c r="AU71" i="8"/>
  <c r="BL71" i="8" s="1"/>
  <c r="BQ30" i="8"/>
  <c r="BQ32" i="8"/>
  <c r="BQ36" i="8"/>
  <c r="AR49" i="8"/>
  <c r="D50" i="8"/>
  <c r="H50" i="8"/>
  <c r="L50" i="8"/>
  <c r="P50" i="8"/>
  <c r="T50" i="8"/>
  <c r="X38" i="8"/>
  <c r="AR38" i="8"/>
  <c r="AR74" i="8" s="1"/>
  <c r="Z42" i="8"/>
  <c r="AP42" i="8"/>
  <c r="BG42" i="8" s="1"/>
  <c r="AT42" i="8"/>
  <c r="BK42" i="8" s="1"/>
  <c r="AQ43" i="8"/>
  <c r="BH43" i="8" s="1"/>
  <c r="AU43" i="8"/>
  <c r="BL43" i="8" s="1"/>
  <c r="Y45" i="8"/>
  <c r="Z46" i="8"/>
  <c r="AQ47" i="8"/>
  <c r="BH47" i="8" s="1"/>
  <c r="AU47" i="8"/>
  <c r="BL47" i="8" s="1"/>
  <c r="Z66" i="8"/>
  <c r="BR66" i="8" s="1"/>
  <c r="AG66" i="8"/>
  <c r="AP66" i="8"/>
  <c r="BG66" i="8" s="1"/>
  <c r="AT66" i="8"/>
  <c r="BK66" i="8" s="1"/>
  <c r="X67" i="8"/>
  <c r="BP67" i="8" s="1"/>
  <c r="AC67" i="8"/>
  <c r="AI67" i="8"/>
  <c r="AR67" i="8"/>
  <c r="BI67" i="8" s="1"/>
  <c r="AG68" i="8"/>
  <c r="AP68" i="8"/>
  <c r="BG68" i="8" s="1"/>
  <c r="AT68" i="8"/>
  <c r="BK68" i="8" s="1"/>
  <c r="AI69" i="8"/>
  <c r="AR69" i="8"/>
  <c r="BI69" i="8" s="1"/>
  <c r="Z70" i="8"/>
  <c r="BR70" i="8" s="1"/>
  <c r="AG70" i="8"/>
  <c r="AP70" i="8"/>
  <c r="BG70" i="8" s="1"/>
  <c r="AT70" i="8"/>
  <c r="BK70" i="8" s="1"/>
  <c r="X71" i="8"/>
  <c r="BP71" i="8" s="1"/>
  <c r="AC71" i="8"/>
  <c r="AI71" i="8"/>
  <c r="AR71" i="8"/>
  <c r="BI71" i="8" s="1"/>
  <c r="Z72" i="8"/>
  <c r="BR72" i="8" s="1"/>
  <c r="AP72" i="8"/>
  <c r="BG72" i="8" s="1"/>
  <c r="AT72" i="8"/>
  <c r="BK72" i="8" s="1"/>
  <c r="BJ30" i="8"/>
  <c r="BR30" i="8"/>
  <c r="BP31" i="8"/>
  <c r="BJ32" i="8"/>
  <c r="BR32" i="8"/>
  <c r="BH33" i="8"/>
  <c r="BL33" i="8"/>
  <c r="BP35" i="8"/>
  <c r="BJ36" i="8"/>
  <c r="BR36" i="8"/>
  <c r="BO38" i="8"/>
  <c r="AB74" i="8"/>
  <c r="AH66" i="8"/>
  <c r="Y67" i="8"/>
  <c r="BQ67" i="8" s="1"/>
  <c r="AD67" i="8"/>
  <c r="AN67" i="8" s="1"/>
  <c r="AJ67" i="8"/>
  <c r="AS67" i="8"/>
  <c r="BJ67" i="8" s="1"/>
  <c r="AB68" i="8"/>
  <c r="AH68" i="8"/>
  <c r="AQ68" i="8"/>
  <c r="BH68" i="8" s="1"/>
  <c r="AU68" i="8"/>
  <c r="BL68" i="8" s="1"/>
  <c r="AD69" i="8"/>
  <c r="AJ69" i="8"/>
  <c r="AS69" i="8"/>
  <c r="BJ69" i="8" s="1"/>
  <c r="AB70" i="8"/>
  <c r="AH70" i="8"/>
  <c r="AQ70" i="8"/>
  <c r="BH70" i="8" s="1"/>
  <c r="AU70" i="8"/>
  <c r="BL70" i="8" s="1"/>
  <c r="Y71" i="8"/>
  <c r="BQ71" i="8" s="1"/>
  <c r="AD71" i="8"/>
  <c r="AJ71" i="8"/>
  <c r="AH72" i="8"/>
  <c r="BQ31" i="8"/>
  <c r="BQ35" i="8"/>
  <c r="AT49" i="8"/>
  <c r="F50" i="8"/>
  <c r="AH50" i="8" s="1"/>
  <c r="J50" i="8"/>
  <c r="AI50" i="8" s="1"/>
  <c r="N50" i="8"/>
  <c r="R50" i="8"/>
  <c r="V50" i="8"/>
  <c r="X74" i="8"/>
  <c r="BP74" i="8" s="1"/>
  <c r="BP62" i="8"/>
  <c r="AC66" i="8"/>
  <c r="AI74" i="8"/>
  <c r="BI62" i="8"/>
  <c r="Z67" i="8"/>
  <c r="BR67" i="8" s="1"/>
  <c r="AG67" i="8"/>
  <c r="AP67" i="8"/>
  <c r="BG67" i="8" s="1"/>
  <c r="AT67" i="8"/>
  <c r="BK67" i="8" s="1"/>
  <c r="X68" i="8"/>
  <c r="BP68" i="8" s="1"/>
  <c r="AI68" i="8"/>
  <c r="AR68" i="8"/>
  <c r="BI68" i="8" s="1"/>
  <c r="Z69" i="8"/>
  <c r="BR69" i="8" s="1"/>
  <c r="AG69" i="8"/>
  <c r="AP69" i="8"/>
  <c r="BG69" i="8" s="1"/>
  <c r="AT69" i="8"/>
  <c r="BK69" i="8" s="1"/>
  <c r="X70" i="8"/>
  <c r="BP70" i="8" s="1"/>
  <c r="AC70" i="8"/>
  <c r="AM70" i="8" s="1"/>
  <c r="AI70" i="8"/>
  <c r="AR70" i="8"/>
  <c r="BI70" i="8" s="1"/>
  <c r="Z71" i="8"/>
  <c r="BR71" i="8" s="1"/>
  <c r="AG71" i="8"/>
  <c r="AP71" i="8"/>
  <c r="BG71" i="8" s="1"/>
  <c r="AT71" i="8"/>
  <c r="BK71" i="8" s="1"/>
  <c r="AI72" i="8"/>
  <c r="BH54" i="8"/>
  <c r="BL54" i="8"/>
  <c r="BP54" i="8"/>
  <c r="BJ55" i="8"/>
  <c r="BR55" i="8"/>
  <c r="BH56" i="8"/>
  <c r="BL56" i="8"/>
  <c r="BP56" i="8"/>
  <c r="BJ57" i="8"/>
  <c r="BR57" i="8"/>
  <c r="BH58" i="8"/>
  <c r="BL58" i="8"/>
  <c r="BP58" i="8"/>
  <c r="BR59" i="8"/>
  <c r="AQ73" i="8"/>
  <c r="AU73" i="8"/>
  <c r="E74" i="8"/>
  <c r="I74" i="8"/>
  <c r="M74" i="8"/>
  <c r="Q74" i="8"/>
  <c r="U74" i="8"/>
  <c r="BM74" i="8" s="1"/>
  <c r="Y62" i="8"/>
  <c r="AC62" i="8"/>
  <c r="AG62" i="8"/>
  <c r="AG74" i="8" s="1"/>
  <c r="AS62" i="8"/>
  <c r="AI66" i="8"/>
  <c r="AQ66" i="8"/>
  <c r="BH66" i="8" s="1"/>
  <c r="AU66" i="8"/>
  <c r="BL66" i="8" s="1"/>
  <c r="Y68" i="8"/>
  <c r="BQ68" i="8" s="1"/>
  <c r="AC68" i="8"/>
  <c r="AS68" i="8"/>
  <c r="BJ68" i="8" s="1"/>
  <c r="X69" i="8"/>
  <c r="BP69" i="8" s="1"/>
  <c r="AB69" i="8"/>
  <c r="BQ54" i="8"/>
  <c r="BQ58" i="8"/>
  <c r="AS71" i="8"/>
  <c r="BJ71" i="8" s="1"/>
  <c r="AQ72" i="8"/>
  <c r="BH72" i="8" s="1"/>
  <c r="AU72" i="8"/>
  <c r="BL72" i="8" s="1"/>
  <c r="AR73" i="8"/>
  <c r="F74" i="8"/>
  <c r="J74" i="8"/>
  <c r="N74" i="8"/>
  <c r="R74" i="8"/>
  <c r="V74" i="8"/>
  <c r="BN74" i="8" s="1"/>
  <c r="Z62" i="8"/>
  <c r="AD62" i="8"/>
  <c r="AH62" i="8"/>
  <c r="AH74" i="8" s="1"/>
  <c r="AP62" i="8"/>
  <c r="AT62" i="8"/>
  <c r="X66" i="8"/>
  <c r="BP66" i="8" s="1"/>
  <c r="AB66" i="8"/>
  <c r="AL66" i="8" s="1"/>
  <c r="AJ66" i="8"/>
  <c r="AR66" i="8"/>
  <c r="BI66" i="8" s="1"/>
  <c r="AQ67" i="8"/>
  <c r="BH67" i="8" s="1"/>
  <c r="AU67" i="8"/>
  <c r="BL67" i="8" s="1"/>
  <c r="Z68" i="8"/>
  <c r="BR68" i="8" s="1"/>
  <c r="AD68" i="8"/>
  <c r="Y69" i="8"/>
  <c r="BQ69" i="8" s="1"/>
  <c r="AC69" i="8"/>
  <c r="AD72" i="8"/>
  <c r="AN72" i="8" s="1"/>
  <c r="BJ54" i="8"/>
  <c r="BR54" i="8"/>
  <c r="BP55" i="8"/>
  <c r="BH57" i="8"/>
  <c r="BL57" i="8"/>
  <c r="BJ58" i="8"/>
  <c r="BR58" i="8"/>
  <c r="BH59" i="8"/>
  <c r="BL59" i="8"/>
  <c r="BP59" i="8"/>
  <c r="X72" i="8"/>
  <c r="BP72" i="8" s="1"/>
  <c r="AB72" i="8"/>
  <c r="AJ72" i="8"/>
  <c r="AR72" i="8"/>
  <c r="BI72" i="8" s="1"/>
  <c r="BR60" i="8"/>
  <c r="AS73" i="8"/>
  <c r="C74" i="8"/>
  <c r="G74" i="8"/>
  <c r="K74" i="8"/>
  <c r="O74" i="8"/>
  <c r="S74" i="8"/>
  <c r="W74" i="8"/>
  <c r="BO74" i="8" s="1"/>
  <c r="BM62" i="8"/>
  <c r="BQ55" i="8"/>
  <c r="BQ59" i="8"/>
  <c r="Y72" i="8"/>
  <c r="BQ72" i="8" s="1"/>
  <c r="AC72" i="8"/>
  <c r="AM72" i="8" s="1"/>
  <c r="AG72" i="8"/>
  <c r="AS72" i="8"/>
  <c r="BJ72" i="8" s="1"/>
  <c r="AT73" i="8"/>
  <c r="D74" i="8"/>
  <c r="H74" i="8"/>
  <c r="L74" i="8"/>
  <c r="P74" i="8"/>
  <c r="T74" i="8"/>
  <c r="BN62" i="8"/>
  <c r="AE90" i="8"/>
  <c r="AM90" i="8"/>
  <c r="AQ92" i="8"/>
  <c r="BH92" i="8" s="1"/>
  <c r="BH90" i="8"/>
  <c r="AU92" i="8"/>
  <c r="BL92" i="8" s="1"/>
  <c r="BL90" i="8"/>
  <c r="BQ90" i="8"/>
  <c r="AB105" i="8"/>
  <c r="BR105" i="8"/>
  <c r="AN90" i="8"/>
  <c r="AG92" i="8"/>
  <c r="AL92" i="8" s="1"/>
  <c r="L105" i="8"/>
  <c r="AJ105" i="8"/>
  <c r="AG105" i="8"/>
  <c r="AM92" i="8"/>
  <c r="AC105" i="8"/>
  <c r="AM105" i="8" s="1"/>
  <c r="BP105" i="8"/>
  <c r="BJ90" i="8"/>
  <c r="Z92" i="8"/>
  <c r="BR92" i="8" s="1"/>
  <c r="F105" i="8"/>
  <c r="AH105" i="8"/>
  <c r="Y105" i="8"/>
  <c r="BQ105" i="8" s="1"/>
  <c r="BQ97" i="8"/>
  <c r="BH97" i="8"/>
  <c r="BL97" i="8"/>
  <c r="BP97" i="8"/>
  <c r="Z105" i="8"/>
  <c r="AD105" i="8"/>
  <c r="AN105" i="8" s="1"/>
  <c r="Y116" i="8"/>
  <c r="AS116" i="8"/>
  <c r="BJ116" i="8" s="1"/>
  <c r="BI109" i="8"/>
  <c r="BH112" i="8"/>
  <c r="BJ114" i="8"/>
  <c r="O105" i="8"/>
  <c r="BG105" i="8" s="1"/>
  <c r="BG116" i="8"/>
  <c r="BJ97" i="8"/>
  <c r="W116" i="8"/>
  <c r="AD116" i="8" s="1"/>
  <c r="AN116" i="8" s="1"/>
  <c r="AQ116" i="8"/>
  <c r="BH116" i="8" s="1"/>
  <c r="AU116" i="8"/>
  <c r="BL116" i="8" s="1"/>
  <c r="BG109" i="8"/>
  <c r="BK109" i="8"/>
  <c r="W117" i="8"/>
  <c r="BI111" i="8"/>
  <c r="BJ112" i="8"/>
  <c r="BH114" i="8"/>
  <c r="AH126" i="8"/>
  <c r="AM116" i="8"/>
  <c r="AG126" i="8"/>
  <c r="BJ120" i="8"/>
  <c r="BR120" i="8"/>
  <c r="BK124" i="8"/>
  <c r="BK125" i="8"/>
  <c r="BQ125" i="8"/>
  <c r="X126" i="8"/>
  <c r="BP126" i="8" s="1"/>
  <c r="BO120" i="8"/>
  <c r="BJ123" i="8"/>
  <c r="BM124" i="8"/>
  <c r="AI126" i="8"/>
  <c r="BK126" i="8"/>
  <c r="BH120" i="8"/>
  <c r="BL120" i="8"/>
  <c r="BL123" i="8"/>
  <c r="BG124" i="8"/>
  <c r="BH126" i="8"/>
  <c r="BQ120" i="8"/>
  <c r="I138" i="8"/>
  <c r="U138" i="8"/>
  <c r="BM138" i="8" s="1"/>
  <c r="BM130" i="8"/>
  <c r="Y138" i="8"/>
  <c r="BQ138" i="8" s="1"/>
  <c r="BQ130" i="8"/>
  <c r="AS138" i="8"/>
  <c r="BJ138" i="8" s="1"/>
  <c r="BJ130" i="8"/>
  <c r="BL130" i="8"/>
  <c r="BJ131" i="8"/>
  <c r="BM133" i="8"/>
  <c r="BI133" i="8"/>
  <c r="BH136" i="8"/>
  <c r="BL136" i="8"/>
  <c r="X138" i="8"/>
  <c r="BP138" i="8" s="1"/>
  <c r="V138" i="8"/>
  <c r="BN138" i="8" s="1"/>
  <c r="BN130" i="8"/>
  <c r="Z138" i="8"/>
  <c r="BR138" i="8" s="1"/>
  <c r="BR130" i="8"/>
  <c r="BG130" i="8"/>
  <c r="BG132" i="8"/>
  <c r="BK132" i="8"/>
  <c r="C138" i="8"/>
  <c r="AR138" i="8"/>
  <c r="BI138" i="8" s="1"/>
  <c r="AG138" i="8"/>
  <c r="BH130" i="8"/>
  <c r="BP130" i="8"/>
  <c r="K138" i="8"/>
  <c r="O138" i="8"/>
  <c r="S138" i="8"/>
  <c r="BK138" i="8" s="1"/>
  <c r="W138" i="8"/>
  <c r="BO138" i="8" s="1"/>
  <c r="BO131" i="8"/>
  <c r="BH132" i="8"/>
  <c r="BL132" i="8"/>
  <c r="BJ134" i="8"/>
  <c r="BJ135" i="8"/>
  <c r="BP133" i="8"/>
  <c r="BH133" i="8"/>
  <c r="BL133" i="8"/>
  <c r="BG136" i="8"/>
  <c r="BK136" i="8"/>
  <c r="AL116" i="7"/>
  <c r="BL18" i="7"/>
  <c r="AG126" i="7"/>
  <c r="BM105" i="7"/>
  <c r="BN105" i="7"/>
  <c r="AN92" i="7"/>
  <c r="AJ92" i="7"/>
  <c r="AM92" i="7"/>
  <c r="BH92" i="7"/>
  <c r="BI84" i="7"/>
  <c r="BI80" i="7"/>
  <c r="BJ83" i="7"/>
  <c r="AH44" i="7"/>
  <c r="AJ42" i="7"/>
  <c r="AG43" i="7"/>
  <c r="AI45" i="7"/>
  <c r="AJ46" i="7"/>
  <c r="AG47" i="7"/>
  <c r="AH48" i="7"/>
  <c r="AI42" i="7"/>
  <c r="AJ43" i="7"/>
  <c r="AG44" i="7"/>
  <c r="AH45" i="7"/>
  <c r="AI46" i="7"/>
  <c r="AN46" i="7" s="1"/>
  <c r="AJ47" i="7"/>
  <c r="AB47" i="7"/>
  <c r="AG48" i="7"/>
  <c r="AB26" i="7"/>
  <c r="AH42" i="7"/>
  <c r="AI43" i="7"/>
  <c r="AJ44" i="7"/>
  <c r="AG45" i="7"/>
  <c r="AH46" i="7"/>
  <c r="AI47" i="7"/>
  <c r="AJ48" i="7"/>
  <c r="AM78" i="7"/>
  <c r="BJ78" i="7"/>
  <c r="Q86" i="7"/>
  <c r="BI79" i="7"/>
  <c r="BG81" i="7"/>
  <c r="BK81" i="7"/>
  <c r="BJ82" i="7"/>
  <c r="AN13" i="7"/>
  <c r="BH84" i="7"/>
  <c r="I86" i="7"/>
  <c r="I15" i="7"/>
  <c r="AI15" i="7" s="1"/>
  <c r="AB15" i="7"/>
  <c r="AK13" i="7"/>
  <c r="AB78" i="7"/>
  <c r="AL78" i="7" s="1"/>
  <c r="AH80" i="7"/>
  <c r="AG81" i="7"/>
  <c r="AL81" i="7" s="1"/>
  <c r="AL83" i="7"/>
  <c r="Z84" i="7"/>
  <c r="BR84" i="7" s="1"/>
  <c r="T15" i="7"/>
  <c r="P15" i="7"/>
  <c r="AH13" i="7"/>
  <c r="AH15" i="7" s="1"/>
  <c r="AD13" i="7"/>
  <c r="AD15" i="7" s="1"/>
  <c r="Z13" i="7"/>
  <c r="Z15" i="7" s="1"/>
  <c r="BI78" i="7"/>
  <c r="AN79" i="7"/>
  <c r="AH84" i="7"/>
  <c r="AM84" i="7" s="1"/>
  <c r="C86" i="7"/>
  <c r="G86" i="7"/>
  <c r="K86" i="7"/>
  <c r="O86" i="7"/>
  <c r="S86" i="7"/>
  <c r="W86" i="7"/>
  <c r="BO86" i="7" s="1"/>
  <c r="AA15" i="7"/>
  <c r="W15" i="7"/>
  <c r="AG13" i="7"/>
  <c r="AG15" i="7" s="1"/>
  <c r="AC13" i="7"/>
  <c r="AJ78" i="7"/>
  <c r="AN80" i="7"/>
  <c r="AM81" i="7"/>
  <c r="BI81" i="7"/>
  <c r="BG82" i="7"/>
  <c r="BK82" i="7"/>
  <c r="BK78" i="7"/>
  <c r="AL79" i="7"/>
  <c r="BH79" i="7"/>
  <c r="BK80" i="7"/>
  <c r="AL82" i="7"/>
  <c r="AN84" i="7"/>
  <c r="BH78" i="7"/>
  <c r="BE6" i="7"/>
  <c r="BD7" i="7"/>
  <c r="BP7" i="7"/>
  <c r="BC8" i="7"/>
  <c r="BB9" i="7"/>
  <c r="BF9" i="7"/>
  <c r="BE10" i="7"/>
  <c r="BD11" i="7"/>
  <c r="BP11" i="7"/>
  <c r="AS13" i="7"/>
  <c r="BD14" i="7"/>
  <c r="BG18" i="7"/>
  <c r="BK18" i="7"/>
  <c r="AA26" i="7"/>
  <c r="AI26" i="7"/>
  <c r="AN26" i="7" s="1"/>
  <c r="AH29" i="7"/>
  <c r="AH53" i="7" s="1"/>
  <c r="AH77" i="7" s="1"/>
  <c r="X42" i="7"/>
  <c r="X38" i="7"/>
  <c r="AL38" i="7"/>
  <c r="AR42" i="7"/>
  <c r="BI42" i="7" s="1"/>
  <c r="AR38" i="7"/>
  <c r="BB30" i="7"/>
  <c r="BF30" i="7"/>
  <c r="Z43" i="7"/>
  <c r="AQ43" i="7"/>
  <c r="BH43" i="7" s="1"/>
  <c r="AU43" i="7"/>
  <c r="BL43" i="7" s="1"/>
  <c r="BF31" i="7"/>
  <c r="BR31" i="7"/>
  <c r="Y44" i="7"/>
  <c r="AP44" i="7"/>
  <c r="BG44" i="7" s="1"/>
  <c r="BG32" i="7"/>
  <c r="AT44" i="7"/>
  <c r="BK44" i="7" s="1"/>
  <c r="BK32" i="7"/>
  <c r="BF32" i="7"/>
  <c r="AP45" i="7"/>
  <c r="BG45" i="7" s="1"/>
  <c r="BG33" i="7"/>
  <c r="AT45" i="7"/>
  <c r="BK45" i="7" s="1"/>
  <c r="BK33" i="7"/>
  <c r="Y46" i="7"/>
  <c r="AR46" i="7"/>
  <c r="BI46" i="7" s="1"/>
  <c r="Z47" i="7"/>
  <c r="AP47" i="7"/>
  <c r="BG47" i="7" s="1"/>
  <c r="AT47" i="7"/>
  <c r="BK47" i="7" s="1"/>
  <c r="AR48" i="7"/>
  <c r="BI48" i="7" s="1"/>
  <c r="AS49" i="7"/>
  <c r="D50" i="7"/>
  <c r="H50" i="7"/>
  <c r="L50" i="7"/>
  <c r="P50" i="7"/>
  <c r="T50" i="7"/>
  <c r="AL42" i="7"/>
  <c r="AN43" i="7"/>
  <c r="AN44" i="7"/>
  <c r="AL45" i="7"/>
  <c r="AL46" i="7"/>
  <c r="AN47" i="7"/>
  <c r="AN48" i="7"/>
  <c r="BE138" i="7"/>
  <c r="BE136" i="7"/>
  <c r="BV136" i="7" s="1"/>
  <c r="BD135" i="7"/>
  <c r="BU135" i="7" s="1"/>
  <c r="BC134" i="7"/>
  <c r="BT134" i="7" s="1"/>
  <c r="BF133" i="7"/>
  <c r="BB133" i="7"/>
  <c r="BS133" i="7" s="1"/>
  <c r="BE132" i="7"/>
  <c r="BV132" i="7" s="1"/>
  <c r="BD131" i="7"/>
  <c r="BU131" i="7" s="1"/>
  <c r="BC130" i="7"/>
  <c r="BT130" i="7" s="1"/>
  <c r="BD138" i="7"/>
  <c r="BD136" i="7"/>
  <c r="BU136" i="7" s="1"/>
  <c r="BC135" i="7"/>
  <c r="BT135" i="7" s="1"/>
  <c r="BF134" i="7"/>
  <c r="BB134" i="7"/>
  <c r="BS134" i="7" s="1"/>
  <c r="BE133" i="7"/>
  <c r="BV133" i="7" s="1"/>
  <c r="AK133" i="7"/>
  <c r="BD132" i="7"/>
  <c r="BU132" i="7" s="1"/>
  <c r="BC131" i="7"/>
  <c r="BT131" i="7" s="1"/>
  <c r="BF130" i="7"/>
  <c r="BB130" i="7"/>
  <c r="BS130" i="7" s="1"/>
  <c r="BC136" i="7"/>
  <c r="BT136" i="7" s="1"/>
  <c r="BF135" i="7"/>
  <c r="BB135" i="7"/>
  <c r="BS135" i="7" s="1"/>
  <c r="BE134" i="7"/>
  <c r="BV134" i="7" s="1"/>
  <c r="AK134" i="7"/>
  <c r="BD133" i="7"/>
  <c r="BU133" i="7" s="1"/>
  <c r="BC132" i="7"/>
  <c r="BT132" i="7" s="1"/>
  <c r="BF131" i="7"/>
  <c r="BD134" i="7"/>
  <c r="BU134" i="7" s="1"/>
  <c r="BD126" i="7"/>
  <c r="BC125" i="7"/>
  <c r="BC124" i="7"/>
  <c r="BC123" i="7"/>
  <c r="BE122" i="7"/>
  <c r="BV122" i="7" s="1"/>
  <c r="BF136" i="7"/>
  <c r="BW136" i="7" s="1"/>
  <c r="BE135" i="7"/>
  <c r="BV135" i="7" s="1"/>
  <c r="AK131" i="7"/>
  <c r="BF125" i="7"/>
  <c r="BW125" i="7" s="1"/>
  <c r="BB125" i="7"/>
  <c r="BS125" i="7" s="1"/>
  <c r="BF124" i="7"/>
  <c r="BW124" i="7" s="1"/>
  <c r="BB124" i="7"/>
  <c r="BS124" i="7" s="1"/>
  <c r="BF123" i="7"/>
  <c r="BB123" i="7"/>
  <c r="BS123" i="7" s="1"/>
  <c r="BD122" i="7"/>
  <c r="BU122" i="7" s="1"/>
  <c r="BF121" i="7"/>
  <c r="BB121" i="7"/>
  <c r="BS121" i="7" s="1"/>
  <c r="BB136" i="7"/>
  <c r="BS136" i="7" s="1"/>
  <c r="BF132" i="7"/>
  <c r="BW132" i="7" s="1"/>
  <c r="BE131" i="7"/>
  <c r="BV131" i="7" s="1"/>
  <c r="BE130" i="7"/>
  <c r="BV130" i="7" s="1"/>
  <c r="BE125" i="7"/>
  <c r="BV125" i="7" s="1"/>
  <c r="BE124" i="7"/>
  <c r="BV124" i="7" s="1"/>
  <c r="BE123" i="7"/>
  <c r="BV123" i="7" s="1"/>
  <c r="AK123" i="7"/>
  <c r="BC122" i="7"/>
  <c r="BE121" i="7"/>
  <c r="BV121" i="7" s="1"/>
  <c r="BB131" i="7"/>
  <c r="BS131" i="7" s="1"/>
  <c r="BD123" i="7"/>
  <c r="BU123" i="7" s="1"/>
  <c r="BB122" i="7"/>
  <c r="BS122" i="7" s="1"/>
  <c r="AK121" i="7"/>
  <c r="BD120" i="7"/>
  <c r="BU120" i="7" s="1"/>
  <c r="BF113" i="7"/>
  <c r="BW113" i="7" s="1"/>
  <c r="BC112" i="7"/>
  <c r="BT112" i="7" s="1"/>
  <c r="BB111" i="7"/>
  <c r="BS111" i="7" s="1"/>
  <c r="BF109" i="7"/>
  <c r="AK135" i="7"/>
  <c r="BE126" i="7"/>
  <c r="BV126" i="7" s="1"/>
  <c r="BD125" i="7"/>
  <c r="BU125" i="7" s="1"/>
  <c r="BD121" i="7"/>
  <c r="BU121" i="7" s="1"/>
  <c r="BC120" i="7"/>
  <c r="BF114" i="7"/>
  <c r="BW114" i="7" s="1"/>
  <c r="BC113" i="7"/>
  <c r="BT113" i="7" s="1"/>
  <c r="BB112" i="7"/>
  <c r="BS112" i="7" s="1"/>
  <c r="AK111" i="7"/>
  <c r="BF110" i="7"/>
  <c r="BW110" i="7" s="1"/>
  <c r="BC133" i="7"/>
  <c r="BT133" i="7" s="1"/>
  <c r="BB132" i="7"/>
  <c r="BS132" i="7" s="1"/>
  <c r="BC121" i="7"/>
  <c r="BF120" i="7"/>
  <c r="BB120" i="7"/>
  <c r="AA116" i="7"/>
  <c r="BC114" i="7"/>
  <c r="BT114" i="7" s="1"/>
  <c r="BB113" i="7"/>
  <c r="BS113" i="7" s="1"/>
  <c r="AK112" i="7"/>
  <c r="BF111" i="7"/>
  <c r="BW111" i="7" s="1"/>
  <c r="BC110" i="7"/>
  <c r="BT110" i="7" s="1"/>
  <c r="BD130" i="7"/>
  <c r="BU130" i="7" s="1"/>
  <c r="BD124" i="7"/>
  <c r="BU124" i="7" s="1"/>
  <c r="BF112" i="7"/>
  <c r="AK109" i="7"/>
  <c r="BD103" i="7"/>
  <c r="BU103" i="7" s="1"/>
  <c r="BD102" i="7"/>
  <c r="BU102" i="7" s="1"/>
  <c r="BD101" i="7"/>
  <c r="BU101" i="7" s="1"/>
  <c r="BD100" i="7"/>
  <c r="BU100" i="7" s="1"/>
  <c r="BD99" i="7"/>
  <c r="BU99" i="7" s="1"/>
  <c r="BD98" i="7"/>
  <c r="BU98" i="7" s="1"/>
  <c r="BD97" i="7"/>
  <c r="BU97" i="7" s="1"/>
  <c r="BD92" i="7"/>
  <c r="BU92" i="7" s="1"/>
  <c r="BC91" i="7"/>
  <c r="BE90" i="7"/>
  <c r="BE120" i="7"/>
  <c r="BV120" i="7" s="1"/>
  <c r="BC115" i="7"/>
  <c r="BB114" i="7"/>
  <c r="BS114" i="7" s="1"/>
  <c r="AK113" i="7"/>
  <c r="BC111" i="7"/>
  <c r="BT111" i="7" s="1"/>
  <c r="BC109" i="7"/>
  <c r="BE105" i="7"/>
  <c r="BC103" i="7"/>
  <c r="BC102" i="7"/>
  <c r="BC101" i="7"/>
  <c r="BC100" i="7"/>
  <c r="BC99" i="7"/>
  <c r="BC98" i="7"/>
  <c r="BC97" i="7"/>
  <c r="BF91" i="7"/>
  <c r="BB91" i="7"/>
  <c r="BS91" i="7" s="1"/>
  <c r="BD90" i="7"/>
  <c r="BU90" i="7" s="1"/>
  <c r="BF122" i="7"/>
  <c r="BW122" i="7" s="1"/>
  <c r="BB109" i="7"/>
  <c r="BD105" i="7"/>
  <c r="BU105" i="7" s="1"/>
  <c r="BF103" i="7"/>
  <c r="BB103" i="7"/>
  <c r="BS103" i="7" s="1"/>
  <c r="BF102" i="7"/>
  <c r="BB102" i="7"/>
  <c r="BS102" i="7" s="1"/>
  <c r="BF101" i="7"/>
  <c r="BB101" i="7"/>
  <c r="BS101" i="7" s="1"/>
  <c r="BF100" i="7"/>
  <c r="BB100" i="7"/>
  <c r="BS100" i="7" s="1"/>
  <c r="BF99" i="7"/>
  <c r="BB99" i="7"/>
  <c r="BS99" i="7" s="1"/>
  <c r="BF98" i="7"/>
  <c r="BB98" i="7"/>
  <c r="BS98" i="7" s="1"/>
  <c r="BF97" i="7"/>
  <c r="BB97" i="7"/>
  <c r="BS97" i="7" s="1"/>
  <c r="AF92" i="7"/>
  <c r="BE91" i="7"/>
  <c r="AK91" i="7"/>
  <c r="BB110" i="7"/>
  <c r="BS110" i="7" s="1"/>
  <c r="AK101" i="7"/>
  <c r="BE100" i="7"/>
  <c r="BV100" i="7" s="1"/>
  <c r="BE92" i="7"/>
  <c r="BB90" i="7"/>
  <c r="BS90" i="7" s="1"/>
  <c r="AK102" i="7"/>
  <c r="BE101" i="7"/>
  <c r="BV101" i="7" s="1"/>
  <c r="AK98" i="7"/>
  <c r="BE97" i="7"/>
  <c r="BV97" i="7" s="1"/>
  <c r="AK103" i="7"/>
  <c r="BE102" i="7"/>
  <c r="BV102" i="7" s="1"/>
  <c r="AK99" i="7"/>
  <c r="BE98" i="7"/>
  <c r="BV98" i="7" s="1"/>
  <c r="AA92" i="7"/>
  <c r="BE103" i="7"/>
  <c r="BV103" i="7" s="1"/>
  <c r="AK100" i="7"/>
  <c r="BE99" i="7"/>
  <c r="BV99" i="7" s="1"/>
  <c r="BD91" i="7"/>
  <c r="BU91" i="7" s="1"/>
  <c r="BF90" i="7"/>
  <c r="BW90" i="7" s="1"/>
  <c r="BE62" i="7"/>
  <c r="AA62" i="7"/>
  <c r="BD60" i="7"/>
  <c r="BF59" i="7"/>
  <c r="BB59" i="7"/>
  <c r="BD58" i="7"/>
  <c r="BF57" i="7"/>
  <c r="BB57" i="7"/>
  <c r="BD56" i="7"/>
  <c r="BD62" i="7"/>
  <c r="BF61" i="7"/>
  <c r="BC60" i="7"/>
  <c r="BE59" i="7"/>
  <c r="BC58" i="7"/>
  <c r="BE57" i="7"/>
  <c r="BC56" i="7"/>
  <c r="BE55" i="7"/>
  <c r="BC61" i="7"/>
  <c r="BF60" i="7"/>
  <c r="BB60" i="7"/>
  <c r="BD59" i="7"/>
  <c r="BF58" i="7"/>
  <c r="BB58" i="7"/>
  <c r="BD57" i="7"/>
  <c r="BF56" i="7"/>
  <c r="BB56" i="7"/>
  <c r="BB61" i="7"/>
  <c r="BE60" i="7"/>
  <c r="BC59" i="7"/>
  <c r="BE58" i="7"/>
  <c r="BC57" i="7"/>
  <c r="BE56" i="7"/>
  <c r="BC55" i="7"/>
  <c r="BE54" i="7"/>
  <c r="AF51" i="7"/>
  <c r="BB55" i="7"/>
  <c r="BB54" i="7"/>
  <c r="AA48" i="7"/>
  <c r="BF47" i="7"/>
  <c r="AF45" i="7"/>
  <c r="AA44" i="7"/>
  <c r="BF43" i="7"/>
  <c r="BE38" i="7"/>
  <c r="AA38" i="7"/>
  <c r="BD36" i="7"/>
  <c r="BF35" i="7"/>
  <c r="BB35" i="7"/>
  <c r="BD34" i="7"/>
  <c r="AA50" i="7"/>
  <c r="BF48" i="7"/>
  <c r="AF46" i="7"/>
  <c r="AA45" i="7"/>
  <c r="BF44" i="7"/>
  <c r="AF42" i="7"/>
  <c r="BD38" i="7"/>
  <c r="BF37" i="7"/>
  <c r="BC36" i="7"/>
  <c r="BE35" i="7"/>
  <c r="BV35" i="7" s="1"/>
  <c r="BC34" i="7"/>
  <c r="BE33" i="7"/>
  <c r="BC32" i="7"/>
  <c r="BE31" i="7"/>
  <c r="BV31" i="7" s="1"/>
  <c r="BF55" i="7"/>
  <c r="BF54" i="7"/>
  <c r="AA51" i="7"/>
  <c r="BF49" i="7"/>
  <c r="AF47" i="7"/>
  <c r="AA46" i="7"/>
  <c r="BF45" i="7"/>
  <c r="AF43" i="7"/>
  <c r="AA42" i="7"/>
  <c r="BC37" i="7"/>
  <c r="BF36" i="7"/>
  <c r="BW36" i="7" s="1"/>
  <c r="BB36" i="7"/>
  <c r="BD35" i="7"/>
  <c r="BF34" i="7"/>
  <c r="BB34" i="7"/>
  <c r="BD55" i="7"/>
  <c r="AF48" i="7"/>
  <c r="AA47" i="7"/>
  <c r="BF46" i="7"/>
  <c r="AF44" i="7"/>
  <c r="AA43" i="7"/>
  <c r="BF42" i="7"/>
  <c r="BB37" i="7"/>
  <c r="BB49" i="7" s="1"/>
  <c r="BE36" i="7"/>
  <c r="BC35" i="7"/>
  <c r="BE34" i="7"/>
  <c r="BC33" i="7"/>
  <c r="BE32" i="7"/>
  <c r="BF4" i="7"/>
  <c r="BB5" i="7"/>
  <c r="BC5" i="7"/>
  <c r="BG5" i="7"/>
  <c r="BK5" i="7"/>
  <c r="AF79" i="7"/>
  <c r="BB6" i="7"/>
  <c r="BF6" i="7"/>
  <c r="BJ6" i="7"/>
  <c r="BR6" i="7"/>
  <c r="BE7" i="7"/>
  <c r="BI7" i="7"/>
  <c r="AN81" i="7"/>
  <c r="BD8" i="7"/>
  <c r="BH8" i="7"/>
  <c r="BL8" i="7"/>
  <c r="BP8" i="7"/>
  <c r="AM82" i="7"/>
  <c r="BC9" i="7"/>
  <c r="BG9" i="7"/>
  <c r="BK9" i="7"/>
  <c r="AF83" i="7"/>
  <c r="BB10" i="7"/>
  <c r="BF10" i="7"/>
  <c r="BJ10" i="7"/>
  <c r="BR10" i="7"/>
  <c r="BE11" i="7"/>
  <c r="BI11" i="7"/>
  <c r="BB12" i="7"/>
  <c r="BB85" i="7" s="1"/>
  <c r="AP13" i="7"/>
  <c r="AT13" i="7"/>
  <c r="BD13" i="7"/>
  <c r="BE14" i="7"/>
  <c r="BB19" i="7"/>
  <c r="BS19" i="7" s="1"/>
  <c r="BB20" i="7"/>
  <c r="BS20" i="7" s="1"/>
  <c r="BB21" i="7"/>
  <c r="BS21" i="7" s="1"/>
  <c r="BB22" i="7"/>
  <c r="BS22" i="7" s="1"/>
  <c r="BB23" i="7"/>
  <c r="BS23" i="7" s="1"/>
  <c r="BB24" i="7"/>
  <c r="BS24" i="7" s="1"/>
  <c r="AF26" i="7"/>
  <c r="AJ26" i="7"/>
  <c r="AO26" i="7" s="1"/>
  <c r="AR26" i="7"/>
  <c r="BI26" i="7" s="1"/>
  <c r="AI29" i="7"/>
  <c r="AI53" i="7" s="1"/>
  <c r="AI77" i="7" s="1"/>
  <c r="Y42" i="7"/>
  <c r="Y38" i="7"/>
  <c r="AS42" i="7"/>
  <c r="BJ42" i="7" s="1"/>
  <c r="AS38" i="7"/>
  <c r="BC30" i="7"/>
  <c r="BI31" i="7"/>
  <c r="AR43" i="7"/>
  <c r="BI43" i="7" s="1"/>
  <c r="BB31" i="7"/>
  <c r="Z44" i="7"/>
  <c r="AQ44" i="7"/>
  <c r="BH44" i="7" s="1"/>
  <c r="AU44" i="7"/>
  <c r="BL44" i="7" s="1"/>
  <c r="Z45" i="7"/>
  <c r="AQ45" i="7"/>
  <c r="BH45" i="7" s="1"/>
  <c r="AU45" i="7"/>
  <c r="BL45" i="7" s="1"/>
  <c r="BR34" i="7"/>
  <c r="Z46" i="7"/>
  <c r="AS46" i="7"/>
  <c r="BJ46" i="7" s="1"/>
  <c r="AQ47" i="7"/>
  <c r="BH47" i="7" s="1"/>
  <c r="AU47" i="7"/>
  <c r="BL47" i="7" s="1"/>
  <c r="Y48" i="7"/>
  <c r="AS48" i="7"/>
  <c r="BJ48" i="7" s="1"/>
  <c r="AT49" i="7"/>
  <c r="E50" i="7"/>
  <c r="I50" i="7"/>
  <c r="M50" i="7"/>
  <c r="Q50" i="7"/>
  <c r="BF5" i="7"/>
  <c r="AA4" i="7"/>
  <c r="AA17" i="7" s="1"/>
  <c r="AA29" i="7" s="1"/>
  <c r="AA41" i="7" s="1"/>
  <c r="AA53" i="7" s="1"/>
  <c r="AA65" i="7" s="1"/>
  <c r="AA77" i="7" s="1"/>
  <c r="AA89" i="7" s="1"/>
  <c r="AN78" i="7"/>
  <c r="BD5" i="7"/>
  <c r="BH5" i="7"/>
  <c r="BL5" i="7"/>
  <c r="BP5" i="7"/>
  <c r="AM79" i="7"/>
  <c r="BC6" i="7"/>
  <c r="BG6" i="7"/>
  <c r="BK6" i="7"/>
  <c r="AL80" i="7"/>
  <c r="AF80" i="7"/>
  <c r="BB7" i="7"/>
  <c r="BF7" i="7"/>
  <c r="BJ7" i="7"/>
  <c r="BR7" i="7"/>
  <c r="BE8" i="7"/>
  <c r="BI8" i="7"/>
  <c r="AN82" i="7"/>
  <c r="BD9" i="7"/>
  <c r="BH9" i="7"/>
  <c r="BL9" i="7"/>
  <c r="BP9" i="7"/>
  <c r="AM83" i="7"/>
  <c r="BC10" i="7"/>
  <c r="BG10" i="7"/>
  <c r="BK10" i="7"/>
  <c r="AL84" i="7"/>
  <c r="AF84" i="7"/>
  <c r="BB11" i="7"/>
  <c r="BF11" i="7"/>
  <c r="BJ11" i="7"/>
  <c r="BR11" i="7"/>
  <c r="AI86" i="7"/>
  <c r="AQ13" i="7"/>
  <c r="AU13" i="7"/>
  <c r="BE13" i="7"/>
  <c r="BM13" i="7"/>
  <c r="BQ13" i="7"/>
  <c r="BB14" i="7"/>
  <c r="BS14" i="7" s="1"/>
  <c r="BF14" i="7"/>
  <c r="BW14" i="7" s="1"/>
  <c r="BC19" i="7"/>
  <c r="BT19" i="7" s="1"/>
  <c r="BC20" i="7"/>
  <c r="BT20" i="7" s="1"/>
  <c r="BC21" i="7"/>
  <c r="BT21" i="7" s="1"/>
  <c r="BC22" i="7"/>
  <c r="BT22" i="7" s="1"/>
  <c r="BC23" i="7"/>
  <c r="BT23" i="7" s="1"/>
  <c r="BC24" i="7"/>
  <c r="BT24" i="7" s="1"/>
  <c r="BB25" i="7"/>
  <c r="AC26" i="7"/>
  <c r="AG26" i="7"/>
  <c r="AL26" i="7" s="1"/>
  <c r="AJ29" i="7"/>
  <c r="AJ53" i="7" s="1"/>
  <c r="AJ77" i="7" s="1"/>
  <c r="Z38" i="7"/>
  <c r="Z42" i="7"/>
  <c r="AN38" i="7"/>
  <c r="AP38" i="7"/>
  <c r="AP42" i="7"/>
  <c r="BG42" i="7" s="1"/>
  <c r="AT38" i="7"/>
  <c r="AT42" i="7"/>
  <c r="BK42" i="7" s="1"/>
  <c r="BD30" i="7"/>
  <c r="BP30" i="7"/>
  <c r="X43" i="7"/>
  <c r="AE43" i="7" s="1"/>
  <c r="AS43" i="7"/>
  <c r="BJ43" i="7" s="1"/>
  <c r="BC31" i="7"/>
  <c r="BJ31" i="7"/>
  <c r="AR44" i="7"/>
  <c r="BI44" i="7" s="1"/>
  <c r="BI32" i="7"/>
  <c r="BB32" i="7"/>
  <c r="AR45" i="7"/>
  <c r="BI45" i="7" s="1"/>
  <c r="BI33" i="7"/>
  <c r="BB33" i="7"/>
  <c r="Z48" i="7"/>
  <c r="AP48" i="7"/>
  <c r="BG48" i="7" s="1"/>
  <c r="AT48" i="7"/>
  <c r="BK48" i="7" s="1"/>
  <c r="AQ49" i="7"/>
  <c r="AU49" i="7"/>
  <c r="F50" i="7"/>
  <c r="J50" i="7"/>
  <c r="N50" i="7"/>
  <c r="R50" i="7"/>
  <c r="V50" i="7"/>
  <c r="AN42" i="7"/>
  <c r="AL43" i="7"/>
  <c r="AL44" i="7"/>
  <c r="AN45" i="7"/>
  <c r="AL47" i="7"/>
  <c r="AL48" i="7"/>
  <c r="BD6" i="7"/>
  <c r="BH6" i="7"/>
  <c r="BL6" i="7"/>
  <c r="AM80" i="7"/>
  <c r="BC7" i="7"/>
  <c r="BG7" i="7"/>
  <c r="BK7" i="7"/>
  <c r="AF81" i="7"/>
  <c r="BB8" i="7"/>
  <c r="BF8" i="7"/>
  <c r="BJ8" i="7"/>
  <c r="BE9" i="7"/>
  <c r="BI9" i="7"/>
  <c r="AN83" i="7"/>
  <c r="BD10" i="7"/>
  <c r="BH10" i="7"/>
  <c r="BL10" i="7"/>
  <c r="BC11" i="7"/>
  <c r="BG11" i="7"/>
  <c r="BK11" i="7"/>
  <c r="AR13" i="7"/>
  <c r="BC14" i="7"/>
  <c r="BT14" i="7" s="1"/>
  <c r="BF18" i="7"/>
  <c r="BW18" i="7" s="1"/>
  <c r="BF19" i="7"/>
  <c r="BW19" i="7" s="1"/>
  <c r="BF20" i="7"/>
  <c r="BW20" i="7" s="1"/>
  <c r="BF21" i="7"/>
  <c r="BW21" i="7" s="1"/>
  <c r="BF22" i="7"/>
  <c r="BW22" i="7" s="1"/>
  <c r="BF23" i="7"/>
  <c r="BW23" i="7" s="1"/>
  <c r="BF24" i="7"/>
  <c r="BW24" i="7" s="1"/>
  <c r="BC25" i="7"/>
  <c r="AH26" i="7"/>
  <c r="BF26" i="7"/>
  <c r="AG29" i="7"/>
  <c r="AG53" i="7" s="1"/>
  <c r="AG77" i="7" s="1"/>
  <c r="AQ38" i="7"/>
  <c r="AQ42" i="7"/>
  <c r="BH42" i="7" s="1"/>
  <c r="AU38" i="7"/>
  <c r="BL42" i="7"/>
  <c r="BE30" i="7"/>
  <c r="BV30" i="7" s="1"/>
  <c r="BQ30" i="7"/>
  <c r="Y43" i="7"/>
  <c r="BQ31" i="7"/>
  <c r="AP43" i="7"/>
  <c r="BG43" i="7" s="1"/>
  <c r="BG31" i="7"/>
  <c r="AT43" i="7"/>
  <c r="BK43" i="7" s="1"/>
  <c r="BK31" i="7"/>
  <c r="BD31" i="7"/>
  <c r="X44" i="7"/>
  <c r="AE44" i="7" s="1"/>
  <c r="AS44" i="7"/>
  <c r="BJ44" i="7" s="1"/>
  <c r="BD32" i="7"/>
  <c r="BP32" i="7"/>
  <c r="X45" i="7"/>
  <c r="AS45" i="7"/>
  <c r="BJ45" i="7" s="1"/>
  <c r="BD33" i="7"/>
  <c r="BP33" i="7"/>
  <c r="BP34" i="7"/>
  <c r="X46" i="7"/>
  <c r="AE46" i="7" s="1"/>
  <c r="AQ46" i="7"/>
  <c r="BH46" i="7" s="1"/>
  <c r="AU46" i="7"/>
  <c r="BL46" i="7" s="1"/>
  <c r="Y47" i="7"/>
  <c r="AS47" i="7"/>
  <c r="BJ47" i="7" s="1"/>
  <c r="AQ48" i="7"/>
  <c r="BH48" i="7" s="1"/>
  <c r="AU48" i="7"/>
  <c r="BL48" i="7" s="1"/>
  <c r="AR49" i="7"/>
  <c r="C50" i="7"/>
  <c r="AG50" i="7" s="1"/>
  <c r="G50" i="7"/>
  <c r="K50" i="7"/>
  <c r="O50" i="7"/>
  <c r="AB50" i="7" s="1"/>
  <c r="S50" i="7"/>
  <c r="W50" i="7"/>
  <c r="BQ32" i="7"/>
  <c r="BI34" i="7"/>
  <c r="BQ34" i="7"/>
  <c r="BG35" i="7"/>
  <c r="BK35" i="7"/>
  <c r="BI36" i="7"/>
  <c r="BQ36" i="7"/>
  <c r="BN38" i="7"/>
  <c r="Y45" i="7"/>
  <c r="AP46" i="7"/>
  <c r="BG46" i="7" s="1"/>
  <c r="AT46" i="7"/>
  <c r="BK46" i="7" s="1"/>
  <c r="X48" i="7"/>
  <c r="U50" i="7"/>
  <c r="AD50" i="7" s="1"/>
  <c r="X66" i="7"/>
  <c r="BP66" i="7" s="1"/>
  <c r="X62" i="7"/>
  <c r="AC66" i="7"/>
  <c r="AM66" i="7" s="1"/>
  <c r="AH62" i="7"/>
  <c r="AH74" i="7" s="1"/>
  <c r="AH66" i="7"/>
  <c r="AS66" i="7"/>
  <c r="BJ66" i="7" s="1"/>
  <c r="BP54" i="7"/>
  <c r="X67" i="7"/>
  <c r="BP67" i="7" s="1"/>
  <c r="AC67" i="7"/>
  <c r="AH67" i="7"/>
  <c r="AS67" i="7"/>
  <c r="BJ67" i="7" s="1"/>
  <c r="BP55" i="7"/>
  <c r="BP56" i="7"/>
  <c r="X68" i="7"/>
  <c r="BP68" i="7" s="1"/>
  <c r="AC68" i="7"/>
  <c r="AH68" i="7"/>
  <c r="AQ68" i="7"/>
  <c r="BH68" i="7" s="1"/>
  <c r="AU68" i="7"/>
  <c r="BL68" i="7" s="1"/>
  <c r="AD69" i="7"/>
  <c r="AJ69" i="7"/>
  <c r="AS69" i="7"/>
  <c r="BJ69" i="7" s="1"/>
  <c r="AH70" i="7"/>
  <c r="AQ70" i="7"/>
  <c r="BH70" i="7" s="1"/>
  <c r="AU70" i="7"/>
  <c r="BL70" i="7" s="1"/>
  <c r="AJ71" i="7"/>
  <c r="AS71" i="7"/>
  <c r="BJ71" i="7" s="1"/>
  <c r="AH72" i="7"/>
  <c r="AQ72" i="7"/>
  <c r="BH72" i="7" s="1"/>
  <c r="AU72" i="7"/>
  <c r="BL72" i="7" s="1"/>
  <c r="AR73" i="7"/>
  <c r="C74" i="7"/>
  <c r="G74" i="7"/>
  <c r="K74" i="7"/>
  <c r="O74" i="7"/>
  <c r="S74" i="7"/>
  <c r="W74" i="7"/>
  <c r="BO74" i="7" s="1"/>
  <c r="BP35" i="7"/>
  <c r="BR36" i="7"/>
  <c r="BO38" i="7"/>
  <c r="X47" i="7"/>
  <c r="AE47" i="7" s="1"/>
  <c r="AR47" i="7"/>
  <c r="BI47" i="7" s="1"/>
  <c r="AD62" i="7"/>
  <c r="AD66" i="7"/>
  <c r="AI74" i="7"/>
  <c r="AP62" i="7"/>
  <c r="BG54" i="7"/>
  <c r="AP66" i="7"/>
  <c r="BG66" i="7" s="1"/>
  <c r="AT62" i="7"/>
  <c r="BK54" i="7"/>
  <c r="AT66" i="7"/>
  <c r="BK66" i="7" s="1"/>
  <c r="AD67" i="7"/>
  <c r="AI67" i="7"/>
  <c r="AP67" i="7"/>
  <c r="BG67" i="7" s="1"/>
  <c r="BG55" i="7"/>
  <c r="AT67" i="7"/>
  <c r="BK67" i="7" s="1"/>
  <c r="BK55" i="7"/>
  <c r="AD68" i="7"/>
  <c r="AI68" i="7"/>
  <c r="AR68" i="7"/>
  <c r="BI68" i="7" s="1"/>
  <c r="Z69" i="7"/>
  <c r="BR69" i="7" s="1"/>
  <c r="AG69" i="7"/>
  <c r="AP69" i="7"/>
  <c r="BG69" i="7" s="1"/>
  <c r="AT69" i="7"/>
  <c r="BK69" i="7" s="1"/>
  <c r="AC70" i="7"/>
  <c r="AM70" i="7" s="1"/>
  <c r="AI70" i="7"/>
  <c r="AR70" i="7"/>
  <c r="BI70" i="7" s="1"/>
  <c r="AG71" i="7"/>
  <c r="AP71" i="7"/>
  <c r="BG71" i="7" s="1"/>
  <c r="AT71" i="7"/>
  <c r="BK71" i="7" s="1"/>
  <c r="AC72" i="7"/>
  <c r="AI72" i="7"/>
  <c r="AR72" i="7"/>
  <c r="BI72" i="7" s="1"/>
  <c r="AS73" i="7"/>
  <c r="D74" i="7"/>
  <c r="H74" i="7"/>
  <c r="L74" i="7"/>
  <c r="P74" i="7"/>
  <c r="T74" i="7"/>
  <c r="BQ35" i="7"/>
  <c r="BG36" i="7"/>
  <c r="BK36" i="7"/>
  <c r="Z62" i="7"/>
  <c r="Z66" i="7"/>
  <c r="BR66" i="7" s="1"/>
  <c r="AJ66" i="7"/>
  <c r="AJ62" i="7"/>
  <c r="AJ74" i="7" s="1"/>
  <c r="BH62" i="7"/>
  <c r="BL62" i="7"/>
  <c r="Z67" i="7"/>
  <c r="BR67" i="7" s="1"/>
  <c r="AJ67" i="7"/>
  <c r="AQ67" i="7"/>
  <c r="BH67" i="7" s="1"/>
  <c r="AU67" i="7"/>
  <c r="BL67" i="7" s="1"/>
  <c r="Z68" i="7"/>
  <c r="BR68" i="7" s="1"/>
  <c r="BR56" i="7"/>
  <c r="AJ68" i="7"/>
  <c r="AS68" i="7"/>
  <c r="BJ68" i="7" s="1"/>
  <c r="AB69" i="7"/>
  <c r="AL69" i="7" s="1"/>
  <c r="AH69" i="7"/>
  <c r="AQ69" i="7"/>
  <c r="BH69" i="7" s="1"/>
  <c r="AU69" i="7"/>
  <c r="BL69" i="7" s="1"/>
  <c r="AJ70" i="7"/>
  <c r="AS70" i="7"/>
  <c r="BJ70" i="7" s="1"/>
  <c r="AB71" i="7"/>
  <c r="AQ71" i="7"/>
  <c r="BH71" i="7" s="1"/>
  <c r="AU71" i="7"/>
  <c r="BL71" i="7" s="1"/>
  <c r="AD72" i="7"/>
  <c r="AJ72" i="7"/>
  <c r="AS72" i="7"/>
  <c r="BJ72" i="7" s="1"/>
  <c r="AT73" i="7"/>
  <c r="E74" i="7"/>
  <c r="I74" i="7"/>
  <c r="M74" i="7"/>
  <c r="Q74" i="7"/>
  <c r="U74" i="7"/>
  <c r="BM74" i="7" s="1"/>
  <c r="BR35" i="7"/>
  <c r="AB66" i="7"/>
  <c r="AL66" i="7" s="1"/>
  <c r="AB62" i="7"/>
  <c r="AG66" i="7"/>
  <c r="AR66" i="7"/>
  <c r="BI66" i="7" s="1"/>
  <c r="AR62" i="7"/>
  <c r="BI54" i="7"/>
  <c r="AB67" i="7"/>
  <c r="AG67" i="7"/>
  <c r="AR67" i="7"/>
  <c r="BI67" i="7" s="1"/>
  <c r="BI55" i="7"/>
  <c r="AB68" i="7"/>
  <c r="AG68" i="7"/>
  <c r="AP68" i="7"/>
  <c r="BG68" i="7" s="1"/>
  <c r="AT68" i="7"/>
  <c r="BK68" i="7" s="1"/>
  <c r="AE69" i="7"/>
  <c r="AC69" i="7"/>
  <c r="AM69" i="7" s="1"/>
  <c r="AI69" i="7"/>
  <c r="AG70" i="7"/>
  <c r="X71" i="7"/>
  <c r="BP71" i="7" s="1"/>
  <c r="AC71" i="7"/>
  <c r="AI71" i="7"/>
  <c r="AR71" i="7"/>
  <c r="BI71" i="7" s="1"/>
  <c r="Z72" i="7"/>
  <c r="BR72" i="7" s="1"/>
  <c r="AG72" i="7"/>
  <c r="AP72" i="7"/>
  <c r="BG72" i="7" s="1"/>
  <c r="AT72" i="7"/>
  <c r="BK72" i="7" s="1"/>
  <c r="AQ73" i="7"/>
  <c r="AU73" i="7"/>
  <c r="F74" i="7"/>
  <c r="J74" i="7"/>
  <c r="N74" i="7"/>
  <c r="R74" i="7"/>
  <c r="V74" i="7"/>
  <c r="BN74" i="7" s="1"/>
  <c r="BQ54" i="7"/>
  <c r="BI56" i="7"/>
  <c r="BQ56" i="7"/>
  <c r="BG57" i="7"/>
  <c r="BK57" i="7"/>
  <c r="BI58" i="7"/>
  <c r="BQ58" i="7"/>
  <c r="BG59" i="7"/>
  <c r="BK59" i="7"/>
  <c r="BI60" i="7"/>
  <c r="BQ60" i="7"/>
  <c r="BN62" i="7"/>
  <c r="Y67" i="7"/>
  <c r="BQ67" i="7" s="1"/>
  <c r="Z70" i="7"/>
  <c r="BR70" i="7" s="1"/>
  <c r="AD70" i="7"/>
  <c r="AN70" i="7" s="1"/>
  <c r="AP70" i="7"/>
  <c r="BG70" i="7" s="1"/>
  <c r="AT70" i="7"/>
  <c r="BK70" i="7" s="1"/>
  <c r="Y71" i="7"/>
  <c r="BQ71" i="7" s="1"/>
  <c r="X72" i="7"/>
  <c r="BP72" i="7" s="1"/>
  <c r="AB72" i="7"/>
  <c r="BP57" i="7"/>
  <c r="BP59" i="7"/>
  <c r="BR60" i="7"/>
  <c r="Y62" i="7"/>
  <c r="AC62" i="7"/>
  <c r="AG62" i="7"/>
  <c r="AG74" i="7" s="1"/>
  <c r="AS62" i="7"/>
  <c r="BC62" i="7" s="1"/>
  <c r="BO62" i="7"/>
  <c r="AI66" i="7"/>
  <c r="AQ66" i="7"/>
  <c r="BH66" i="7" s="1"/>
  <c r="AU66" i="7"/>
  <c r="BL66" i="7" s="1"/>
  <c r="Y68" i="7"/>
  <c r="BQ68" i="7" s="1"/>
  <c r="X69" i="7"/>
  <c r="BP69" i="7" s="1"/>
  <c r="AR69" i="7"/>
  <c r="BI69" i="7" s="1"/>
  <c r="Z71" i="7"/>
  <c r="BR71" i="7" s="1"/>
  <c r="AD71" i="7"/>
  <c r="AH71" i="7"/>
  <c r="Y72" i="7"/>
  <c r="BQ72" i="7" s="1"/>
  <c r="AM101" i="7"/>
  <c r="BQ55" i="7"/>
  <c r="BG56" i="7"/>
  <c r="BK56" i="7"/>
  <c r="BQ57" i="7"/>
  <c r="BI59" i="7"/>
  <c r="BQ59" i="7"/>
  <c r="BG60" i="7"/>
  <c r="BK60" i="7"/>
  <c r="Y69" i="7"/>
  <c r="BQ69" i="7" s="1"/>
  <c r="X70" i="7"/>
  <c r="BP70" i="7" s="1"/>
  <c r="AB70" i="7"/>
  <c r="BR57" i="7"/>
  <c r="BM62" i="7"/>
  <c r="Y66" i="7"/>
  <c r="BQ66" i="7" s="1"/>
  <c r="Y70" i="7"/>
  <c r="BQ70" i="7" s="1"/>
  <c r="BP90" i="7"/>
  <c r="X92" i="7"/>
  <c r="BP92" i="7" s="1"/>
  <c r="AN105" i="7"/>
  <c r="AO109" i="7"/>
  <c r="BH97" i="7"/>
  <c r="BL97" i="7"/>
  <c r="AL98" i="7"/>
  <c r="AO101" i="7"/>
  <c r="BH101" i="7"/>
  <c r="BL101" i="7"/>
  <c r="AL102" i="7"/>
  <c r="AE105" i="7"/>
  <c r="BL105" i="7"/>
  <c r="Z92" i="7"/>
  <c r="BR92" i="7" s="1"/>
  <c r="BI105" i="7"/>
  <c r="AN99" i="7"/>
  <c r="AM100" i="7"/>
  <c r="AO100" i="7"/>
  <c r="BH100" i="7"/>
  <c r="BL100" i="7"/>
  <c r="AN103" i="7"/>
  <c r="AL90" i="7"/>
  <c r="AB92" i="7"/>
  <c r="AL92" i="7" s="1"/>
  <c r="BI90" i="7"/>
  <c r="AR92" i="7"/>
  <c r="BI92" i="7" s="1"/>
  <c r="AO91" i="7"/>
  <c r="L105" i="7"/>
  <c r="AJ105" i="7"/>
  <c r="BJ105" i="7"/>
  <c r="AO99" i="7"/>
  <c r="BH99" i="7"/>
  <c r="BL99" i="7"/>
  <c r="AL100" i="7"/>
  <c r="AM103" i="7"/>
  <c r="AO103" i="7"/>
  <c r="BH103" i="7"/>
  <c r="BL103" i="7"/>
  <c r="BR105" i="7"/>
  <c r="BH109" i="7"/>
  <c r="F126" i="7"/>
  <c r="AH126" i="7" s="1"/>
  <c r="R126" i="7"/>
  <c r="W126" i="7"/>
  <c r="BO126" i="7" s="1"/>
  <c r="BO120" i="7"/>
  <c r="BG90" i="7"/>
  <c r="BK90" i="7"/>
  <c r="AN97" i="7"/>
  <c r="BJ97" i="7"/>
  <c r="BR97" i="7"/>
  <c r="X105" i="7"/>
  <c r="BP105" i="7" s="1"/>
  <c r="D116" i="7"/>
  <c r="AM109" i="7"/>
  <c r="H116" i="7"/>
  <c r="AH116" i="7" s="1"/>
  <c r="AM116" i="7" s="1"/>
  <c r="L116" i="7"/>
  <c r="P116" i="7"/>
  <c r="Y116" i="7"/>
  <c r="AR116" i="7"/>
  <c r="BI116" i="7" s="1"/>
  <c r="BI109" i="7"/>
  <c r="AM110" i="7"/>
  <c r="BH111" i="7"/>
  <c r="AO113" i="7"/>
  <c r="AL114" i="7"/>
  <c r="N116" i="7"/>
  <c r="AJ116" i="7" s="1"/>
  <c r="AO116" i="7" s="1"/>
  <c r="AP116" i="7"/>
  <c r="BG116" i="7" s="1"/>
  <c r="AB126" i="7"/>
  <c r="AO120" i="7"/>
  <c r="BL120" i="7"/>
  <c r="AU126" i="7"/>
  <c r="BL126" i="7" s="1"/>
  <c r="AQ126" i="7"/>
  <c r="BH126" i="7" s="1"/>
  <c r="Y92" i="7"/>
  <c r="BQ92" i="7" s="1"/>
  <c r="BG97" i="7"/>
  <c r="BK97" i="7"/>
  <c r="AS116" i="7"/>
  <c r="BJ116" i="7" s="1"/>
  <c r="BJ109" i="7"/>
  <c r="AT116" i="7"/>
  <c r="BK116" i="7" s="1"/>
  <c r="AH105" i="7"/>
  <c r="W116" i="7"/>
  <c r="AD116" i="7" s="1"/>
  <c r="AN116" i="7" s="1"/>
  <c r="BG109" i="7"/>
  <c r="AO110" i="7"/>
  <c r="AM111" i="7"/>
  <c r="AO112" i="7"/>
  <c r="AI126" i="7"/>
  <c r="AN111" i="7"/>
  <c r="BJ120" i="7"/>
  <c r="AM121" i="7"/>
  <c r="AM122" i="7"/>
  <c r="AL122" i="7"/>
  <c r="BJ122" i="7"/>
  <c r="AM124" i="7"/>
  <c r="BH124" i="7"/>
  <c r="AN132" i="7"/>
  <c r="T138" i="7"/>
  <c r="AJ126" i="7"/>
  <c r="AL120" i="7"/>
  <c r="AN121" i="7"/>
  <c r="AO122" i="7"/>
  <c r="BP122" i="7"/>
  <c r="AN123" i="7"/>
  <c r="AM125" i="7"/>
  <c r="AL125" i="7"/>
  <c r="BG135" i="7"/>
  <c r="AL135" i="7"/>
  <c r="BK135" i="7"/>
  <c r="BH136" i="7"/>
  <c r="AL136" i="7"/>
  <c r="AO136" i="7"/>
  <c r="BP136" i="7"/>
  <c r="AT126" i="7"/>
  <c r="BK126" i="7" s="1"/>
  <c r="BP120" i="7"/>
  <c r="AL123" i="7"/>
  <c r="AO123" i="7"/>
  <c r="BI123" i="7"/>
  <c r="AN124" i="7"/>
  <c r="AO125" i="7"/>
  <c r="BP125" i="7"/>
  <c r="AO130" i="7"/>
  <c r="AO131" i="7"/>
  <c r="AR138" i="7"/>
  <c r="BI131" i="7"/>
  <c r="BM133" i="7"/>
  <c r="AN133" i="7"/>
  <c r="BQ133" i="7"/>
  <c r="BM125" i="7"/>
  <c r="E138" i="7"/>
  <c r="I138" i="7"/>
  <c r="M138" i="7"/>
  <c r="Q138" i="7"/>
  <c r="U138" i="7"/>
  <c r="BM138" i="7" s="1"/>
  <c r="Y138" i="7"/>
  <c r="BQ138" i="7" s="1"/>
  <c r="AM134" i="7"/>
  <c r="BJ134" i="7"/>
  <c r="AO135" i="7"/>
  <c r="X138" i="7"/>
  <c r="BP138" i="7" s="1"/>
  <c r="R138" i="7"/>
  <c r="BJ138" i="7" s="1"/>
  <c r="BJ130" i="7"/>
  <c r="V138" i="7"/>
  <c r="BN138" i="7" s="1"/>
  <c r="BN130" i="7"/>
  <c r="Z138" i="7"/>
  <c r="BR138" i="7" s="1"/>
  <c r="BR130" i="7"/>
  <c r="BG130" i="7"/>
  <c r="AP138" i="7"/>
  <c r="BK130" i="7"/>
  <c r="AT138" i="7"/>
  <c r="BC138" i="7" s="1"/>
  <c r="BT138" i="7" s="1"/>
  <c r="BH130" i="7"/>
  <c r="BK131" i="7"/>
  <c r="AL133" i="7"/>
  <c r="AN134" i="7"/>
  <c r="AN135" i="7"/>
  <c r="AM136" i="7"/>
  <c r="L138" i="7"/>
  <c r="C138" i="7"/>
  <c r="G138" i="7"/>
  <c r="K138" i="7"/>
  <c r="O138" i="7"/>
  <c r="S138" i="7"/>
  <c r="W138" i="7"/>
  <c r="BO138" i="7" s="1"/>
  <c r="BO130" i="7"/>
  <c r="AI138" i="7"/>
  <c r="BH138" i="7"/>
  <c r="AU140" i="7"/>
  <c r="BL138" i="7"/>
  <c r="AL131" i="7"/>
  <c r="BH131" i="7"/>
  <c r="BL131" i="7"/>
  <c r="AO132" i="7"/>
  <c r="BP132" i="7"/>
  <c r="AJ138" i="7"/>
  <c r="AO134" i="7"/>
  <c r="AF29" i="8" l="1"/>
  <c r="AF53" i="8" s="1"/>
  <c r="AF77" i="8" s="1"/>
  <c r="AT78" i="9"/>
  <c r="BK78" i="9" s="1"/>
  <c r="BB54" i="9"/>
  <c r="BS54" i="9" s="1"/>
  <c r="BF55" i="9"/>
  <c r="BK4" i="9"/>
  <c r="BE8" i="9"/>
  <c r="AT129" i="9"/>
  <c r="AT65" i="9"/>
  <c r="BK65" i="9" s="1"/>
  <c r="AT69" i="9"/>
  <c r="BK69" i="9" s="1"/>
  <c r="BK5" i="9"/>
  <c r="AO154" i="9"/>
  <c r="BB122" i="9"/>
  <c r="BA120" i="9"/>
  <c r="AQ154" i="9"/>
  <c r="BA98" i="9"/>
  <c r="BF105" i="8"/>
  <c r="BW105" i="8" s="1"/>
  <c r="AQ74" i="8"/>
  <c r="BH74" i="8" s="1"/>
  <c r="BF29" i="9"/>
  <c r="AO67" i="9"/>
  <c r="BF67" i="9" s="1"/>
  <c r="BG8" i="9"/>
  <c r="BA99" i="9"/>
  <c r="AP160" i="9"/>
  <c r="BA121" i="9"/>
  <c r="BE102" i="9"/>
  <c r="BE59" i="9"/>
  <c r="BE71" i="9" s="1"/>
  <c r="BG5" i="9"/>
  <c r="AO65" i="9"/>
  <c r="BF65" i="9" s="1"/>
  <c r="BK58" i="9"/>
  <c r="AQ43" i="9"/>
  <c r="BH43" i="9" s="1"/>
  <c r="AQ65" i="9"/>
  <c r="BH65" i="9" s="1"/>
  <c r="BA53" i="9"/>
  <c r="BA65" i="9" s="1"/>
  <c r="BR65" i="9" s="1"/>
  <c r="AO82" i="9"/>
  <c r="BF82" i="9" s="1"/>
  <c r="AP83" i="9"/>
  <c r="BE47" i="9"/>
  <c r="AU74" i="8"/>
  <c r="AQ71" i="9"/>
  <c r="AQ83" i="9"/>
  <c r="BH62" i="8"/>
  <c r="BH105" i="8"/>
  <c r="BA59" i="9"/>
  <c r="BA71" i="9" s="1"/>
  <c r="AF29" i="7"/>
  <c r="AF53" i="7" s="1"/>
  <c r="AF77" i="7" s="1"/>
  <c r="AU41" i="9"/>
  <c r="AP45" i="9"/>
  <c r="BG45" i="9" s="1"/>
  <c r="AT41" i="9"/>
  <c r="BK41" i="9" s="1"/>
  <c r="AT46" i="9"/>
  <c r="BK46" i="9" s="1"/>
  <c r="AU46" i="9"/>
  <c r="AQ133" i="9"/>
  <c r="AQ76" i="9"/>
  <c r="BH76" i="9" s="1"/>
  <c r="AP43" i="9"/>
  <c r="BG43" i="9" s="1"/>
  <c r="BJ126" i="7"/>
  <c r="BE97" i="9"/>
  <c r="AQ60" i="9"/>
  <c r="BH60" i="9" s="1"/>
  <c r="AT43" i="9"/>
  <c r="BK43" i="9" s="1"/>
  <c r="BB89" i="9"/>
  <c r="BS89" i="9" s="1"/>
  <c r="AT70" i="9"/>
  <c r="BK70" i="9" s="1"/>
  <c r="BB10" i="9"/>
  <c r="AO151" i="9"/>
  <c r="AO161" i="9"/>
  <c r="AP66" i="9"/>
  <c r="BG66" i="9" s="1"/>
  <c r="AT150" i="9"/>
  <c r="AU43" i="9"/>
  <c r="BE89" i="9"/>
  <c r="BV89" i="9" s="1"/>
  <c r="BB58" i="9"/>
  <c r="BS58" i="9" s="1"/>
  <c r="AT82" i="9"/>
  <c r="BK82" i="9" s="1"/>
  <c r="BK10" i="9"/>
  <c r="BA10" i="9"/>
  <c r="BR10" i="9" s="1"/>
  <c r="BF28" i="9"/>
  <c r="BE98" i="9"/>
  <c r="BK19" i="9"/>
  <c r="AT159" i="9"/>
  <c r="AT154" i="9"/>
  <c r="BB105" i="7"/>
  <c r="BS105" i="7" s="1"/>
  <c r="BB123" i="9"/>
  <c r="BK17" i="9"/>
  <c r="AO80" i="9"/>
  <c r="BF80" i="9" s="1"/>
  <c r="AQ156" i="9"/>
  <c r="BA11" i="9"/>
  <c r="AO60" i="9"/>
  <c r="BF60" i="9" s="1"/>
  <c r="BE95" i="9"/>
  <c r="AT64" i="9"/>
  <c r="BK64" i="9" s="1"/>
  <c r="AT36" i="9"/>
  <c r="BK36" i="9" s="1"/>
  <c r="BB105" i="8"/>
  <c r="BS105" i="8" s="1"/>
  <c r="AP50" i="8"/>
  <c r="AT103" i="9"/>
  <c r="BB103" i="9" s="1"/>
  <c r="BK28" i="9"/>
  <c r="BE101" i="9"/>
  <c r="AT66" i="9"/>
  <c r="BK66" i="9" s="1"/>
  <c r="BB22" i="9"/>
  <c r="BS22" i="9" s="1"/>
  <c r="AR124" i="9"/>
  <c r="AS124" i="9"/>
  <c r="BA102" i="9"/>
  <c r="AQ131" i="9"/>
  <c r="BH4" i="9"/>
  <c r="BE100" i="9"/>
  <c r="BG138" i="8"/>
  <c r="BK30" i="9"/>
  <c r="BE30" i="9"/>
  <c r="BV30" i="9" s="1"/>
  <c r="BE99" i="9"/>
  <c r="AT161" i="9"/>
  <c r="BE4" i="9"/>
  <c r="BE76" i="9" s="1"/>
  <c r="BV76" i="9" s="1"/>
  <c r="BB17" i="9"/>
  <c r="BS17" i="9" s="1"/>
  <c r="BK22" i="9"/>
  <c r="AQ130" i="9"/>
  <c r="AQ103" i="9"/>
  <c r="AT47" i="9"/>
  <c r="AT42" i="9"/>
  <c r="BK42" i="9" s="1"/>
  <c r="BK18" i="9"/>
  <c r="BE33" i="9"/>
  <c r="BV33" i="9" s="1"/>
  <c r="BB21" i="9"/>
  <c r="BS21" i="9" s="1"/>
  <c r="AO165" i="9"/>
  <c r="AO114" i="9"/>
  <c r="AP41" i="9"/>
  <c r="BG41" i="9" s="1"/>
  <c r="BA100" i="9"/>
  <c r="BD85" i="7"/>
  <c r="BD73" i="7"/>
  <c r="BE78" i="7"/>
  <c r="BC92" i="7"/>
  <c r="BH105" i="7"/>
  <c r="AT149" i="9"/>
  <c r="BB18" i="9"/>
  <c r="BS18" i="9" s="1"/>
  <c r="AU45" i="9"/>
  <c r="BH116" i="7"/>
  <c r="AU42" i="9"/>
  <c r="AT45" i="9"/>
  <c r="BK45" i="9" s="1"/>
  <c r="BK21" i="9"/>
  <c r="AP103" i="9"/>
  <c r="AQ160" i="9"/>
  <c r="BL26" i="7"/>
  <c r="AV50" i="7"/>
  <c r="BB88" i="9"/>
  <c r="BS88" i="9" s="1"/>
  <c r="AP46" i="9"/>
  <c r="BG46" i="9" s="1"/>
  <c r="AU74" i="7"/>
  <c r="BL74" i="7" s="1"/>
  <c r="AU50" i="7"/>
  <c r="BB26" i="7"/>
  <c r="BS26" i="7" s="1"/>
  <c r="BL26" i="8"/>
  <c r="AV50" i="8"/>
  <c r="BE122" i="9"/>
  <c r="AS114" i="9"/>
  <c r="AT44" i="9"/>
  <c r="BK44" i="9" s="1"/>
  <c r="AQ165" i="9"/>
  <c r="BB23" i="9"/>
  <c r="AU47" i="9"/>
  <c r="BC47" i="9"/>
  <c r="BF13" i="7"/>
  <c r="AT40" i="9"/>
  <c r="BK40" i="9" s="1"/>
  <c r="BC40" i="9"/>
  <c r="BT40" i="9" s="1"/>
  <c r="BU32" i="7"/>
  <c r="BU31" i="7"/>
  <c r="BU30" i="7"/>
  <c r="BU35" i="7"/>
  <c r="BU38" i="7"/>
  <c r="BB73" i="7"/>
  <c r="BF73" i="7"/>
  <c r="BF85" i="7"/>
  <c r="BU34" i="8"/>
  <c r="BD73" i="8"/>
  <c r="BD85" i="8"/>
  <c r="BC73" i="7"/>
  <c r="BC85" i="7"/>
  <c r="BU32" i="8"/>
  <c r="BU35" i="8"/>
  <c r="BB73" i="8"/>
  <c r="BB85" i="8"/>
  <c r="BB71" i="9"/>
  <c r="AT138" i="9"/>
  <c r="BU36" i="7"/>
  <c r="BU30" i="8"/>
  <c r="BU33" i="8"/>
  <c r="BU38" i="8"/>
  <c r="BF73" i="8"/>
  <c r="BF85" i="8"/>
  <c r="BU33" i="7"/>
  <c r="BU34" i="7"/>
  <c r="BU36" i="8"/>
  <c r="BU31" i="8"/>
  <c r="BC73" i="8"/>
  <c r="BC85" i="8"/>
  <c r="BB118" i="9"/>
  <c r="AL126" i="7"/>
  <c r="BE121" i="9"/>
  <c r="BB121" i="9"/>
  <c r="BE118" i="9"/>
  <c r="BA82" i="9"/>
  <c r="BR82" i="9" s="1"/>
  <c r="BA67" i="9"/>
  <c r="BR67" i="9" s="1"/>
  <c r="BR55" i="9"/>
  <c r="BG6" i="9"/>
  <c r="AP129" i="9"/>
  <c r="AP78" i="9"/>
  <c r="BG78" i="9" s="1"/>
  <c r="BA66" i="9"/>
  <c r="BR66" i="9" s="1"/>
  <c r="BR54" i="9"/>
  <c r="AQ24" i="9"/>
  <c r="BH16" i="9"/>
  <c r="BA16" i="9"/>
  <c r="AR40" i="9"/>
  <c r="BI40" i="9" s="1"/>
  <c r="BF32" i="9"/>
  <c r="AO149" i="9"/>
  <c r="BA32" i="9"/>
  <c r="BR32" i="9" s="1"/>
  <c r="BG28" i="9"/>
  <c r="AP151" i="9"/>
  <c r="AP40" i="9"/>
  <c r="BG40" i="9" s="1"/>
  <c r="AP36" i="9"/>
  <c r="BR4" i="9"/>
  <c r="AQ149" i="9"/>
  <c r="AO150" i="9"/>
  <c r="BG16" i="9"/>
  <c r="AP24" i="9"/>
  <c r="AQ134" i="9"/>
  <c r="AQ140" i="9" s="1"/>
  <c r="AQ12" i="9"/>
  <c r="AP12" i="9"/>
  <c r="AQ155" i="9"/>
  <c r="AQ128" i="9"/>
  <c r="AQ124" i="9"/>
  <c r="BA96" i="9"/>
  <c r="BA89" i="9"/>
  <c r="BR89" i="9" s="1"/>
  <c r="BF89" i="9"/>
  <c r="AQ36" i="9"/>
  <c r="BA18" i="9"/>
  <c r="BR18" i="9" s="1"/>
  <c r="BH18" i="9"/>
  <c r="AR42" i="9"/>
  <c r="BI42" i="9" s="1"/>
  <c r="BA122" i="9"/>
  <c r="AT151" i="9"/>
  <c r="BE32" i="9"/>
  <c r="BV32" i="9" s="1"/>
  <c r="AT166" i="9"/>
  <c r="BE6" i="9"/>
  <c r="BV6" i="9" s="1"/>
  <c r="BA123" i="9"/>
  <c r="BF123" i="9"/>
  <c r="BA77" i="9"/>
  <c r="BR77" i="9" s="1"/>
  <c r="BR5" i="9"/>
  <c r="AO81" i="9"/>
  <c r="BF81" i="9" s="1"/>
  <c r="BA9" i="9"/>
  <c r="BF9" i="9"/>
  <c r="BA118" i="9"/>
  <c r="AO124" i="9"/>
  <c r="AP114" i="9"/>
  <c r="BG88" i="9"/>
  <c r="AP90" i="9"/>
  <c r="BG90" i="9" s="1"/>
  <c r="BA28" i="9"/>
  <c r="BR28" i="9" s="1"/>
  <c r="BA22" i="9"/>
  <c r="BR22" i="9" s="1"/>
  <c r="BH22" i="9"/>
  <c r="AR46" i="9"/>
  <c r="BI46" i="9" s="1"/>
  <c r="BA114" i="9"/>
  <c r="AR146" i="9"/>
  <c r="AR114" i="9"/>
  <c r="AP128" i="9"/>
  <c r="AO164" i="9"/>
  <c r="BJ88" i="9"/>
  <c r="AS90" i="9"/>
  <c r="BJ90" i="9" s="1"/>
  <c r="AP161" i="9"/>
  <c r="AP60" i="9"/>
  <c r="BG52" i="9"/>
  <c r="AP64" i="9"/>
  <c r="BG64" i="9" s="1"/>
  <c r="AQ46" i="9"/>
  <c r="BH46" i="9" s="1"/>
  <c r="AQ41" i="9"/>
  <c r="BH41" i="9" s="1"/>
  <c r="BH17" i="9"/>
  <c r="BA17" i="9"/>
  <c r="BR17" i="9" s="1"/>
  <c r="AR41" i="9"/>
  <c r="BI41" i="9" s="1"/>
  <c r="BH21" i="9"/>
  <c r="BA21" i="9"/>
  <c r="BR21" i="9" s="1"/>
  <c r="AR45" i="9"/>
  <c r="BI45" i="9" s="1"/>
  <c r="AP134" i="9"/>
  <c r="AP140" i="9" s="1"/>
  <c r="AO79" i="9"/>
  <c r="BF79" i="9" s="1"/>
  <c r="BA7" i="9"/>
  <c r="BF7" i="9"/>
  <c r="AP154" i="9"/>
  <c r="BA52" i="9"/>
  <c r="AP44" i="9"/>
  <c r="BG44" i="9" s="1"/>
  <c r="AQ151" i="9"/>
  <c r="BA6" i="9"/>
  <c r="BF126" i="8"/>
  <c r="BE28" i="9"/>
  <c r="BV28" i="9" s="1"/>
  <c r="BE9" i="9"/>
  <c r="BE81" i="9" s="1"/>
  <c r="BV81" i="9" s="1"/>
  <c r="BE123" i="9"/>
  <c r="AO36" i="9"/>
  <c r="AQ164" i="9"/>
  <c r="AQ114" i="9"/>
  <c r="BH33" i="9"/>
  <c r="AQ45" i="9"/>
  <c r="BH45" i="9" s="1"/>
  <c r="AO12" i="9"/>
  <c r="AO132" i="9" s="1"/>
  <c r="AP155" i="9"/>
  <c r="AQ129" i="9"/>
  <c r="AQ78" i="9"/>
  <c r="BH78" i="9" s="1"/>
  <c r="BH6" i="9"/>
  <c r="BR8" i="9"/>
  <c r="AQ69" i="9"/>
  <c r="BH69" i="9" s="1"/>
  <c r="AQ166" i="9"/>
  <c r="AP124" i="9"/>
  <c r="AR141" i="9"/>
  <c r="AP76" i="9"/>
  <c r="BG76" i="9" s="1"/>
  <c r="AP156" i="9"/>
  <c r="AP164" i="9"/>
  <c r="AR90" i="9"/>
  <c r="BI90" i="9" s="1"/>
  <c r="BI88" i="9"/>
  <c r="BF16" i="9"/>
  <c r="AO24" i="9"/>
  <c r="AO68" i="9"/>
  <c r="BF68" i="9" s="1"/>
  <c r="BA56" i="9"/>
  <c r="BA80" i="9" s="1"/>
  <c r="BR80" i="9" s="1"/>
  <c r="AO159" i="9"/>
  <c r="BF56" i="9"/>
  <c r="BC126" i="8"/>
  <c r="AP133" i="9"/>
  <c r="AP82" i="9"/>
  <c r="BG82" i="9" s="1"/>
  <c r="BG10" i="9"/>
  <c r="BA70" i="9"/>
  <c r="BR70" i="9" s="1"/>
  <c r="BR58" i="9"/>
  <c r="BA19" i="9"/>
  <c r="BR19" i="9" s="1"/>
  <c r="BH19" i="9"/>
  <c r="AR43" i="9"/>
  <c r="BI43" i="9" s="1"/>
  <c r="BR57" i="9"/>
  <c r="AP165" i="9"/>
  <c r="AP132" i="9"/>
  <c r="BA95" i="9"/>
  <c r="AO103" i="9"/>
  <c r="AO90" i="9"/>
  <c r="BA88" i="9"/>
  <c r="BR88" i="9" s="1"/>
  <c r="BF88" i="9"/>
  <c r="AQ67" i="9"/>
  <c r="BH67" i="9" s="1"/>
  <c r="BH55" i="9"/>
  <c r="BA33" i="9"/>
  <c r="BR33" i="9" s="1"/>
  <c r="BA20" i="9"/>
  <c r="BR20" i="9" s="1"/>
  <c r="BH20" i="9"/>
  <c r="AR44" i="9"/>
  <c r="BI44" i="9" s="1"/>
  <c r="AP130" i="9"/>
  <c r="AQ150" i="9"/>
  <c r="AR72" i="9"/>
  <c r="BI72" i="9" s="1"/>
  <c r="BI60" i="9"/>
  <c r="AP166" i="9"/>
  <c r="AP131" i="9"/>
  <c r="AQ132" i="9"/>
  <c r="AO72" i="9"/>
  <c r="BF72" i="9" s="1"/>
  <c r="AP42" i="9"/>
  <c r="BG42" i="9" s="1"/>
  <c r="AQ40" i="9"/>
  <c r="BH40" i="9" s="1"/>
  <c r="AQ90" i="9"/>
  <c r="BH90" i="9" s="1"/>
  <c r="AR84" i="9"/>
  <c r="BI84" i="9" s="1"/>
  <c r="BW26" i="7"/>
  <c r="BW42" i="7"/>
  <c r="AK47" i="7"/>
  <c r="AK46" i="7"/>
  <c r="AK91" i="8"/>
  <c r="BB55" i="9"/>
  <c r="BS55" i="9" s="1"/>
  <c r="AT67" i="9"/>
  <c r="BK67" i="9" s="1"/>
  <c r="BK55" i="9"/>
  <c r="BE55" i="9"/>
  <c r="AT83" i="9"/>
  <c r="BE11" i="9"/>
  <c r="BB11" i="9"/>
  <c r="BB83" i="9" s="1"/>
  <c r="BV56" i="9"/>
  <c r="BS8" i="9"/>
  <c r="BB80" i="9"/>
  <c r="BS80" i="9" s="1"/>
  <c r="BB78" i="9"/>
  <c r="BS78" i="9" s="1"/>
  <c r="BS6" i="9"/>
  <c r="BV5" i="9"/>
  <c r="BE77" i="9"/>
  <c r="BV77" i="9" s="1"/>
  <c r="BB13" i="9"/>
  <c r="BE13" i="9"/>
  <c r="BV54" i="9"/>
  <c r="BE109" i="9"/>
  <c r="BV109" i="9" s="1"/>
  <c r="BK109" i="9"/>
  <c r="BB109" i="9"/>
  <c r="BS109" i="9" s="1"/>
  <c r="BB112" i="9"/>
  <c r="BS112" i="9" s="1"/>
  <c r="BE112" i="9"/>
  <c r="BV112" i="9" s="1"/>
  <c r="BK112" i="9"/>
  <c r="BE110" i="9"/>
  <c r="BV110" i="9" s="1"/>
  <c r="BB110" i="9"/>
  <c r="BS110" i="9" s="1"/>
  <c r="BK110" i="9"/>
  <c r="BV107" i="9"/>
  <c r="BB16" i="9"/>
  <c r="BE16" i="9"/>
  <c r="BV16" i="9" s="1"/>
  <c r="AT24" i="9"/>
  <c r="AT145" i="9" s="1"/>
  <c r="BK16" i="9"/>
  <c r="AU40" i="9"/>
  <c r="BV8" i="9"/>
  <c r="BE80" i="9"/>
  <c r="BV80" i="9" s="1"/>
  <c r="BV58" i="9"/>
  <c r="BE70" i="9"/>
  <c r="BV70" i="9" s="1"/>
  <c r="AT160" i="9"/>
  <c r="BS53" i="9"/>
  <c r="BB65" i="9"/>
  <c r="BS65" i="9" s="1"/>
  <c r="BB69" i="9"/>
  <c r="BS69" i="9" s="1"/>
  <c r="BS57" i="9"/>
  <c r="BB45" i="9"/>
  <c r="BS45" i="9" s="1"/>
  <c r="BS33" i="9"/>
  <c r="BE120" i="9"/>
  <c r="BB120" i="9"/>
  <c r="BB46" i="9"/>
  <c r="BS46" i="9" s="1"/>
  <c r="BS34" i="9"/>
  <c r="BK7" i="9"/>
  <c r="AT130" i="9"/>
  <c r="AT79" i="9"/>
  <c r="BK79" i="9" s="1"/>
  <c r="BE7" i="9"/>
  <c r="BB7" i="9"/>
  <c r="BB42" i="9"/>
  <c r="BS42" i="9" s="1"/>
  <c r="BS30" i="9"/>
  <c r="BS107" i="9"/>
  <c r="BV52" i="9"/>
  <c r="BS52" i="9"/>
  <c r="BB64" i="9"/>
  <c r="BS64" i="9" s="1"/>
  <c r="BS28" i="9"/>
  <c r="BB40" i="9"/>
  <c r="BS40" i="9" s="1"/>
  <c r="BB76" i="9"/>
  <c r="BS76" i="9" s="1"/>
  <c r="BS4" i="9"/>
  <c r="BV53" i="9"/>
  <c r="BE65" i="9"/>
  <c r="BV65" i="9" s="1"/>
  <c r="BV57" i="9"/>
  <c r="BS29" i="9"/>
  <c r="BB41" i="9"/>
  <c r="BS41" i="9" s="1"/>
  <c r="AT155" i="9"/>
  <c r="BS5" i="9"/>
  <c r="BB77" i="9"/>
  <c r="BS77" i="9" s="1"/>
  <c r="BB66" i="9"/>
  <c r="BS66" i="9" s="1"/>
  <c r="BE82" i="9"/>
  <c r="BV82" i="9" s="1"/>
  <c r="BV10" i="9"/>
  <c r="BS31" i="9"/>
  <c r="BB43" i="9"/>
  <c r="BS43" i="9" s="1"/>
  <c r="BK88" i="9"/>
  <c r="BE88" i="9"/>
  <c r="BV88" i="9" s="1"/>
  <c r="AT90" i="9"/>
  <c r="BK111" i="9"/>
  <c r="BB111" i="9"/>
  <c r="BS111" i="9" s="1"/>
  <c r="BE111" i="9"/>
  <c r="BV111" i="9" s="1"/>
  <c r="AT114" i="9"/>
  <c r="BK114" i="9" s="1"/>
  <c r="AT60" i="9"/>
  <c r="BS56" i="9"/>
  <c r="BB68" i="9"/>
  <c r="BS68" i="9" s="1"/>
  <c r="BB44" i="9"/>
  <c r="BS44" i="9" s="1"/>
  <c r="BS32" i="9"/>
  <c r="AU44" i="9"/>
  <c r="BB20" i="9"/>
  <c r="BS20" i="9" s="1"/>
  <c r="BE20" i="9"/>
  <c r="BV20" i="9" s="1"/>
  <c r="BK20" i="9"/>
  <c r="AT12" i="9"/>
  <c r="AT164" i="9"/>
  <c r="AT165" i="9"/>
  <c r="BS9" i="9"/>
  <c r="BB81" i="9"/>
  <c r="BS81" i="9" s="1"/>
  <c r="AT124" i="9"/>
  <c r="AK92" i="7"/>
  <c r="BW90" i="8"/>
  <c r="BF62" i="8"/>
  <c r="BW62" i="8" s="1"/>
  <c r="AS50" i="8"/>
  <c r="BB13" i="8"/>
  <c r="BB15" i="8" s="1"/>
  <c r="BS15" i="8" s="1"/>
  <c r="BC13" i="8"/>
  <c r="BT13" i="8" s="1"/>
  <c r="AL105" i="8"/>
  <c r="AL72" i="8"/>
  <c r="AN71" i="8"/>
  <c r="AN69" i="8"/>
  <c r="AL46" i="8"/>
  <c r="AL69" i="8"/>
  <c r="AL70" i="8"/>
  <c r="AF50" i="8"/>
  <c r="AK50" i="8" s="1"/>
  <c r="BW42" i="8"/>
  <c r="AK47" i="8"/>
  <c r="BW43" i="8"/>
  <c r="AK48" i="8"/>
  <c r="AK46" i="8"/>
  <c r="AK45" i="8"/>
  <c r="BV46" i="8"/>
  <c r="AO46" i="8"/>
  <c r="AO43" i="8"/>
  <c r="BV43" i="8"/>
  <c r="AO47" i="8"/>
  <c r="BV47" i="8"/>
  <c r="BT38" i="8"/>
  <c r="BV48" i="8"/>
  <c r="AO48" i="8"/>
  <c r="AO44" i="8"/>
  <c r="BV44" i="8"/>
  <c r="BV42" i="8"/>
  <c r="AO42" i="8"/>
  <c r="AH138" i="8"/>
  <c r="AJ138" i="8"/>
  <c r="AE126" i="8"/>
  <c r="AO126" i="8" s="1"/>
  <c r="AD126" i="8"/>
  <c r="AN126" i="8" s="1"/>
  <c r="AB126" i="8"/>
  <c r="AL126" i="8" s="1"/>
  <c r="AM69" i="8"/>
  <c r="AE68" i="8"/>
  <c r="AO68" i="8" s="1"/>
  <c r="AS74" i="8"/>
  <c r="BJ74" i="8" s="1"/>
  <c r="BJ62" i="8"/>
  <c r="BI74" i="8"/>
  <c r="BL74" i="8"/>
  <c r="AL62" i="8"/>
  <c r="AM67" i="8"/>
  <c r="X50" i="8"/>
  <c r="AE50" i="8" s="1"/>
  <c r="BP38" i="8"/>
  <c r="AL67" i="8"/>
  <c r="BH38" i="8"/>
  <c r="AQ50" i="8"/>
  <c r="BH50" i="8" s="1"/>
  <c r="AG50" i="8"/>
  <c r="AU86" i="8"/>
  <c r="BL86" i="8" s="1"/>
  <c r="AU15" i="8"/>
  <c r="BL15" i="8" s="1"/>
  <c r="BL13" i="8"/>
  <c r="BE82" i="8"/>
  <c r="BV9" i="8"/>
  <c r="BC81" i="8"/>
  <c r="BT81" i="8" s="1"/>
  <c r="BT8" i="8"/>
  <c r="AA80" i="8"/>
  <c r="AE78" i="8"/>
  <c r="AO78" i="8" s="1"/>
  <c r="AE13" i="8"/>
  <c r="BB43" i="8"/>
  <c r="BS43" i="8" s="1"/>
  <c r="BS31" i="8"/>
  <c r="BS33" i="8"/>
  <c r="BB45" i="8"/>
  <c r="BS45" i="8" s="1"/>
  <c r="BB47" i="8"/>
  <c r="BS47" i="8" s="1"/>
  <c r="BS35" i="8"/>
  <c r="BW47" i="8"/>
  <c r="BV30" i="8"/>
  <c r="BT33" i="8"/>
  <c r="BF38" i="8"/>
  <c r="BW38" i="8" s="1"/>
  <c r="BW46" i="8"/>
  <c r="BW45" i="8"/>
  <c r="BV33" i="8"/>
  <c r="BT36" i="8"/>
  <c r="BW44" i="8"/>
  <c r="AF67" i="8"/>
  <c r="AF69" i="8"/>
  <c r="AF71" i="8"/>
  <c r="BV54" i="8"/>
  <c r="BE66" i="8"/>
  <c r="BT57" i="8"/>
  <c r="BC69" i="8"/>
  <c r="AA72" i="8"/>
  <c r="BD74" i="8"/>
  <c r="BU62" i="8"/>
  <c r="BS54" i="8"/>
  <c r="BB66" i="8"/>
  <c r="BS66" i="8" s="1"/>
  <c r="BB68" i="8"/>
  <c r="BS68" i="8" s="1"/>
  <c r="BS56" i="8"/>
  <c r="BS58" i="8"/>
  <c r="BB70" i="8"/>
  <c r="BS70" i="8" s="1"/>
  <c r="BB72" i="8"/>
  <c r="BS72" i="8" s="1"/>
  <c r="BS60" i="8"/>
  <c r="BE74" i="8"/>
  <c r="BC68" i="8"/>
  <c r="BT56" i="8"/>
  <c r="AA71" i="8"/>
  <c r="AK71" i="8" s="1"/>
  <c r="BB62" i="8"/>
  <c r="BF92" i="8"/>
  <c r="BW92" i="8" s="1"/>
  <c r="AA105" i="8"/>
  <c r="AK105" i="8" s="1"/>
  <c r="BW91" i="8"/>
  <c r="BW100" i="8"/>
  <c r="BW112" i="8"/>
  <c r="AK116" i="8"/>
  <c r="AA126" i="8"/>
  <c r="AK126" i="8" s="1"/>
  <c r="BW124" i="8"/>
  <c r="BF138" i="8"/>
  <c r="BU138" i="8"/>
  <c r="BK50" i="8"/>
  <c r="BD86" i="8"/>
  <c r="BU13" i="8"/>
  <c r="BD15" i="8"/>
  <c r="AD86" i="8"/>
  <c r="AN86" i="8" s="1"/>
  <c r="AD15" i="8"/>
  <c r="BD84" i="8"/>
  <c r="BU11" i="8"/>
  <c r="BD82" i="8"/>
  <c r="BU9" i="8"/>
  <c r="AF81" i="8"/>
  <c r="BB79" i="8"/>
  <c r="BS79" i="8" s="1"/>
  <c r="BS6" i="8"/>
  <c r="BD78" i="8"/>
  <c r="BU5" i="8"/>
  <c r="Y86" i="8"/>
  <c r="BQ86" i="8" s="1"/>
  <c r="BQ13" i="8"/>
  <c r="Y15" i="8"/>
  <c r="AA81" i="8"/>
  <c r="AK81" i="8" s="1"/>
  <c r="W89" i="8"/>
  <c r="W65" i="8"/>
  <c r="O89" i="8"/>
  <c r="O65" i="8"/>
  <c r="G89" i="8"/>
  <c r="G65" i="8"/>
  <c r="AB86" i="8"/>
  <c r="AL13" i="8"/>
  <c r="AB15" i="8"/>
  <c r="BF84" i="8"/>
  <c r="BW11" i="8"/>
  <c r="BB82" i="8"/>
  <c r="BS82" i="8" s="1"/>
  <c r="BS9" i="8"/>
  <c r="BF80" i="8"/>
  <c r="BW80" i="8" s="1"/>
  <c r="BW7" i="8"/>
  <c r="BF78" i="8"/>
  <c r="BW5" i="8"/>
  <c r="Z89" i="8"/>
  <c r="Z65" i="8"/>
  <c r="R89" i="8"/>
  <c r="R65" i="8"/>
  <c r="J89" i="8"/>
  <c r="J65" i="8"/>
  <c r="AC138" i="8"/>
  <c r="AD138" i="8"/>
  <c r="AE71" i="8"/>
  <c r="AO71" i="8" s="1"/>
  <c r="AE67" i="8"/>
  <c r="AO67" i="8" s="1"/>
  <c r="AD74" i="8"/>
  <c r="AN74" i="8" s="1"/>
  <c r="AN62" i="8"/>
  <c r="AL74" i="8"/>
  <c r="AN70" i="8"/>
  <c r="AQ86" i="8"/>
  <c r="BH86" i="8" s="1"/>
  <c r="AQ15" i="8"/>
  <c r="BH15" i="8" s="1"/>
  <c r="BH13" i="8"/>
  <c r="AE84" i="8"/>
  <c r="AO84" i="8" s="1"/>
  <c r="BE80" i="8"/>
  <c r="BV7" i="8"/>
  <c r="BC79" i="8"/>
  <c r="BT79" i="8" s="1"/>
  <c r="BT6" i="8"/>
  <c r="AA78" i="8"/>
  <c r="AA13" i="8"/>
  <c r="U89" i="8"/>
  <c r="U65" i="8"/>
  <c r="M89" i="8"/>
  <c r="M65" i="8"/>
  <c r="E89" i="8"/>
  <c r="E65" i="8"/>
  <c r="BC26" i="8"/>
  <c r="BT26" i="8" s="1"/>
  <c r="BT31" i="8"/>
  <c r="BV31" i="8"/>
  <c r="BT34" i="8"/>
  <c r="BF50" i="8"/>
  <c r="BW50" i="8" s="1"/>
  <c r="BB67" i="8"/>
  <c r="BS67" i="8" s="1"/>
  <c r="BS55" i="8"/>
  <c r="BS57" i="8"/>
  <c r="BB69" i="8"/>
  <c r="BS69" i="8" s="1"/>
  <c r="BB71" i="8"/>
  <c r="BS71" i="8" s="1"/>
  <c r="BS59" i="8"/>
  <c r="BC62" i="8"/>
  <c r="BC67" i="8"/>
  <c r="BT55" i="8"/>
  <c r="AA70" i="8"/>
  <c r="BE72" i="8"/>
  <c r="BV60" i="8"/>
  <c r="BW54" i="8"/>
  <c r="BF66" i="8"/>
  <c r="BF68" i="8"/>
  <c r="BW56" i="8"/>
  <c r="BW58" i="8"/>
  <c r="BF70" i="8"/>
  <c r="BW70" i="8" s="1"/>
  <c r="BF72" i="8"/>
  <c r="BW60" i="8"/>
  <c r="BC66" i="8"/>
  <c r="BT54" i="8"/>
  <c r="AA69" i="8"/>
  <c r="AK69" i="8" s="1"/>
  <c r="BE71" i="8"/>
  <c r="BV59" i="8"/>
  <c r="BB92" i="8"/>
  <c r="BS92" i="8" s="1"/>
  <c r="BC92" i="8"/>
  <c r="BV98" i="8"/>
  <c r="BV100" i="8"/>
  <c r="BV102" i="8"/>
  <c r="BF116" i="8"/>
  <c r="BW116" i="8" s="1"/>
  <c r="BW109" i="8"/>
  <c r="BW113" i="8"/>
  <c r="BW122" i="8"/>
  <c r="AF138" i="8"/>
  <c r="BV138" i="8"/>
  <c r="BW135" i="8"/>
  <c r="AT86" i="8"/>
  <c r="BK86" i="8" s="1"/>
  <c r="AT15" i="8"/>
  <c r="BK15" i="8" s="1"/>
  <c r="BK13" i="8"/>
  <c r="Z86" i="8"/>
  <c r="BR86" i="8" s="1"/>
  <c r="Z15" i="8"/>
  <c r="BR13" i="8"/>
  <c r="AF83" i="8"/>
  <c r="BF81" i="8"/>
  <c r="BW8" i="8"/>
  <c r="X89" i="8"/>
  <c r="X65" i="8"/>
  <c r="P89" i="8"/>
  <c r="P65" i="8"/>
  <c r="H89" i="8"/>
  <c r="H65" i="8"/>
  <c r="AD50" i="8"/>
  <c r="AS86" i="8"/>
  <c r="BJ86" i="8" s="1"/>
  <c r="AS15" i="8"/>
  <c r="BJ15" i="8" s="1"/>
  <c r="BJ13" i="8"/>
  <c r="AE83" i="8"/>
  <c r="AO83" i="8" s="1"/>
  <c r="BC82" i="8"/>
  <c r="BT82" i="8" s="1"/>
  <c r="BT9" i="8"/>
  <c r="BE81" i="8"/>
  <c r="BV8" i="8"/>
  <c r="AE79" i="8"/>
  <c r="AO79" i="8" s="1"/>
  <c r="BC78" i="8"/>
  <c r="BT78" i="8" s="1"/>
  <c r="BT5" i="8"/>
  <c r="AR86" i="8"/>
  <c r="BI86" i="8" s="1"/>
  <c r="BI13" i="8"/>
  <c r="AR15" i="8"/>
  <c r="BI15" i="8" s="1"/>
  <c r="X86" i="8"/>
  <c r="BP86" i="8" s="1"/>
  <c r="BP13" i="8"/>
  <c r="X15" i="8"/>
  <c r="BB84" i="8"/>
  <c r="BS84" i="8" s="1"/>
  <c r="BS11" i="8"/>
  <c r="BD81" i="8"/>
  <c r="BU8" i="8"/>
  <c r="BB80" i="8"/>
  <c r="BS80" i="8" s="1"/>
  <c r="BS7" i="8"/>
  <c r="BD79" i="8"/>
  <c r="BU6" i="8"/>
  <c r="BB78" i="8"/>
  <c r="BS78" i="8" s="1"/>
  <c r="BS5" i="8"/>
  <c r="AE138" i="8"/>
  <c r="AO138" i="8" s="1"/>
  <c r="AI138" i="8"/>
  <c r="AC126" i="8"/>
  <c r="AM126" i="8" s="1"/>
  <c r="AE92" i="8"/>
  <c r="AO92" i="8" s="1"/>
  <c r="AO90" i="8"/>
  <c r="AE69" i="8"/>
  <c r="AO69" i="8" s="1"/>
  <c r="AE105" i="8"/>
  <c r="AO105" i="8" s="1"/>
  <c r="AN68" i="8"/>
  <c r="AT74" i="8"/>
  <c r="BK74" i="8" s="1"/>
  <c r="BK62" i="8"/>
  <c r="Z74" i="8"/>
  <c r="BR74" i="8" s="1"/>
  <c r="BR62" i="8"/>
  <c r="AC74" i="8"/>
  <c r="AM74" i="8" s="1"/>
  <c r="AM62" i="8"/>
  <c r="AM66" i="8"/>
  <c r="AL68" i="8"/>
  <c r="AE38" i="8"/>
  <c r="AO38" i="8" s="1"/>
  <c r="AL71" i="8"/>
  <c r="BF26" i="8"/>
  <c r="BW26" i="8" s="1"/>
  <c r="AA84" i="8"/>
  <c r="AE82" i="8"/>
  <c r="AO82" i="8" s="1"/>
  <c r="BE78" i="8"/>
  <c r="BV5" i="8"/>
  <c r="BF129" i="8"/>
  <c r="BF119" i="8"/>
  <c r="BF108" i="8"/>
  <c r="BF96" i="8"/>
  <c r="BF89" i="8"/>
  <c r="BF77" i="8"/>
  <c r="BF65" i="8"/>
  <c r="BF53" i="8"/>
  <c r="BF41" i="8"/>
  <c r="BF29" i="8"/>
  <c r="BF17" i="8"/>
  <c r="AK44" i="8"/>
  <c r="BV34" i="8"/>
  <c r="AK43" i="8"/>
  <c r="BS42" i="8"/>
  <c r="BS30" i="8"/>
  <c r="BS32" i="8"/>
  <c r="BB44" i="8"/>
  <c r="BS44" i="8" s="1"/>
  <c r="BB46" i="8"/>
  <c r="BS46" i="8" s="1"/>
  <c r="BS34" i="8"/>
  <c r="BS36" i="8"/>
  <c r="BB48" i="8"/>
  <c r="BS48" i="8" s="1"/>
  <c r="AK42" i="8"/>
  <c r="BT32" i="8"/>
  <c r="BF67" i="8"/>
  <c r="BW55" i="8"/>
  <c r="BW57" i="8"/>
  <c r="BF69" i="8"/>
  <c r="BW69" i="8" s="1"/>
  <c r="BF71" i="8"/>
  <c r="BW59" i="8"/>
  <c r="AA68" i="8"/>
  <c r="BV58" i="8"/>
  <c r="BE70" i="8"/>
  <c r="BF51" i="8"/>
  <c r="BU55" i="8"/>
  <c r="BD67" i="8"/>
  <c r="BU57" i="8"/>
  <c r="BD69" i="8"/>
  <c r="BU59" i="8"/>
  <c r="BD71" i="8"/>
  <c r="AA67" i="8"/>
  <c r="AK67" i="8" s="1"/>
  <c r="BE69" i="8"/>
  <c r="BV57" i="8"/>
  <c r="BC72" i="8"/>
  <c r="BT60" i="8"/>
  <c r="AK90" i="8"/>
  <c r="BV90" i="8"/>
  <c r="BW98" i="8"/>
  <c r="BW102" i="8"/>
  <c r="BU105" i="8"/>
  <c r="BB116" i="8"/>
  <c r="BS116" i="8" s="1"/>
  <c r="BS109" i="8"/>
  <c r="BB126" i="8"/>
  <c r="BS126" i="8" s="1"/>
  <c r="BS120" i="8"/>
  <c r="BW111" i="8"/>
  <c r="BW123" i="8"/>
  <c r="BB138" i="8"/>
  <c r="BS138" i="8" s="1"/>
  <c r="AA138" i="8"/>
  <c r="BW131" i="8"/>
  <c r="BG50" i="8"/>
  <c r="AP86" i="8"/>
  <c r="BG86" i="8" s="1"/>
  <c r="AP15" i="8"/>
  <c r="BG15" i="8" s="1"/>
  <c r="BG13" i="8"/>
  <c r="BF83" i="8"/>
  <c r="BW10" i="8"/>
  <c r="BB81" i="8"/>
  <c r="BS81" i="8" s="1"/>
  <c r="BS8" i="8"/>
  <c r="BD80" i="8"/>
  <c r="BU7" i="8"/>
  <c r="AF79" i="8"/>
  <c r="AG86" i="8"/>
  <c r="AG15" i="8"/>
  <c r="AA83" i="8"/>
  <c r="AA79" i="8"/>
  <c r="S89" i="8"/>
  <c r="S65" i="8"/>
  <c r="K89" i="8"/>
  <c r="K65" i="8"/>
  <c r="C89" i="8"/>
  <c r="C65" i="8"/>
  <c r="AF82" i="8"/>
  <c r="V89" i="8"/>
  <c r="V65" i="8"/>
  <c r="N89" i="8"/>
  <c r="N65" i="8"/>
  <c r="F89" i="8"/>
  <c r="F65" i="8"/>
  <c r="AB138" i="8"/>
  <c r="AL138" i="8" s="1"/>
  <c r="AP74" i="8"/>
  <c r="BG74" i="8" s="1"/>
  <c r="BG62" i="8"/>
  <c r="AE72" i="8"/>
  <c r="AO72" i="8" s="1"/>
  <c r="AE70" i="8"/>
  <c r="AO70" i="8" s="1"/>
  <c r="AE62" i="8"/>
  <c r="BV62" i="8" s="1"/>
  <c r="AE66" i="8"/>
  <c r="AO66" i="8" s="1"/>
  <c r="AM68" i="8"/>
  <c r="Y74" i="8"/>
  <c r="BQ74" i="8" s="1"/>
  <c r="BQ62" i="8"/>
  <c r="AM71" i="8"/>
  <c r="AR50" i="8"/>
  <c r="BI50" i="8" s="1"/>
  <c r="BI38" i="8"/>
  <c r="AJ50" i="8"/>
  <c r="AN66" i="8"/>
  <c r="AE45" i="8"/>
  <c r="BL38" i="8"/>
  <c r="AU50" i="8"/>
  <c r="BL50" i="8" s="1"/>
  <c r="AB50" i="8"/>
  <c r="BE86" i="8"/>
  <c r="BE15" i="8"/>
  <c r="BV13" i="8"/>
  <c r="BE84" i="8"/>
  <c r="BV11" i="8"/>
  <c r="BC83" i="8"/>
  <c r="BT83" i="8" s="1"/>
  <c r="BT10" i="8"/>
  <c r="AA82" i="8"/>
  <c r="AE80" i="8"/>
  <c r="AO80" i="8" s="1"/>
  <c r="Y89" i="8"/>
  <c r="Y65" i="8"/>
  <c r="Q89" i="8"/>
  <c r="Q65" i="8"/>
  <c r="I89" i="8"/>
  <c r="I65" i="8"/>
  <c r="AK38" i="8"/>
  <c r="BV32" i="8"/>
  <c r="BT35" i="8"/>
  <c r="BB38" i="8"/>
  <c r="BW30" i="8"/>
  <c r="BW34" i="8"/>
  <c r="BT30" i="8"/>
  <c r="BV35" i="8"/>
  <c r="BW48" i="8"/>
  <c r="BD66" i="8"/>
  <c r="BU54" i="8"/>
  <c r="BD68" i="8"/>
  <c r="BU56" i="8"/>
  <c r="BD70" i="8"/>
  <c r="BU58" i="8"/>
  <c r="BD72" i="8"/>
  <c r="BU60" i="8"/>
  <c r="AA66" i="8"/>
  <c r="BE68" i="8"/>
  <c r="BV56" i="8"/>
  <c r="BC71" i="8"/>
  <c r="BT59" i="8"/>
  <c r="AF62" i="8"/>
  <c r="AF74" i="8" s="1"/>
  <c r="AF66" i="8"/>
  <c r="AF68" i="8"/>
  <c r="AF70" i="8"/>
  <c r="AF72" i="8"/>
  <c r="AA74" i="8"/>
  <c r="BE67" i="8"/>
  <c r="BV55" i="8"/>
  <c r="BC70" i="8"/>
  <c r="BT58" i="8"/>
  <c r="BC116" i="8"/>
  <c r="BT116" i="8" s="1"/>
  <c r="BT109" i="8"/>
  <c r="BV99" i="8"/>
  <c r="BV101" i="8"/>
  <c r="BV103" i="8"/>
  <c r="AK92" i="8"/>
  <c r="BW97" i="8"/>
  <c r="BW110" i="8"/>
  <c r="BW114" i="8"/>
  <c r="BW125" i="8"/>
  <c r="BV126" i="8"/>
  <c r="BC138" i="8"/>
  <c r="BT138" i="8" s="1"/>
  <c r="AK26" i="8"/>
  <c r="AH86" i="8"/>
  <c r="AH15" i="8"/>
  <c r="BB83" i="8"/>
  <c r="BS83" i="8" s="1"/>
  <c r="BS10" i="8"/>
  <c r="BF79" i="8"/>
  <c r="BW79" i="8" s="1"/>
  <c r="BW6" i="8"/>
  <c r="T89" i="8"/>
  <c r="T65" i="8"/>
  <c r="L89" i="8"/>
  <c r="L65" i="8"/>
  <c r="D89" i="8"/>
  <c r="D65" i="8"/>
  <c r="BJ50" i="8"/>
  <c r="AC86" i="8"/>
  <c r="AM13" i="8"/>
  <c r="AC15" i="8"/>
  <c r="BC84" i="8"/>
  <c r="BT84" i="8" s="1"/>
  <c r="BT11" i="8"/>
  <c r="BE83" i="8"/>
  <c r="BV10" i="8"/>
  <c r="AE81" i="8"/>
  <c r="AO81" i="8" s="1"/>
  <c r="BC80" i="8"/>
  <c r="BT80" i="8" s="1"/>
  <c r="BT7" i="8"/>
  <c r="BE79" i="8"/>
  <c r="BV6" i="8"/>
  <c r="AA89" i="8"/>
  <c r="AA77" i="8"/>
  <c r="AA53" i="8"/>
  <c r="AA65" i="8"/>
  <c r="AA41" i="8"/>
  <c r="AA29" i="8"/>
  <c r="AA17" i="8"/>
  <c r="BF13" i="8"/>
  <c r="AJ86" i="8"/>
  <c r="AJ15" i="8"/>
  <c r="AF84" i="8"/>
  <c r="BD83" i="8"/>
  <c r="BU10" i="8"/>
  <c r="BF82" i="8"/>
  <c r="BW82" i="8" s="1"/>
  <c r="BW9" i="8"/>
  <c r="AF80" i="8"/>
  <c r="AF78" i="8"/>
  <c r="AF13" i="8"/>
  <c r="BF51" i="7"/>
  <c r="BC13" i="7"/>
  <c r="BC86" i="7" s="1"/>
  <c r="BT86" i="7" s="1"/>
  <c r="BB13" i="7"/>
  <c r="BB15" i="7" s="1"/>
  <c r="BS15" i="7" s="1"/>
  <c r="AO105" i="7"/>
  <c r="AL68" i="7"/>
  <c r="AL67" i="7"/>
  <c r="AL71" i="7"/>
  <c r="AM72" i="7"/>
  <c r="BW44" i="7"/>
  <c r="AN72" i="7"/>
  <c r="AK42" i="7"/>
  <c r="AL50" i="7"/>
  <c r="BW45" i="7"/>
  <c r="BW43" i="7"/>
  <c r="AK48" i="7"/>
  <c r="AL13" i="7"/>
  <c r="AM13" i="7"/>
  <c r="AC15" i="7"/>
  <c r="AE13" i="7"/>
  <c r="BV13" i="7" s="1"/>
  <c r="BT62" i="7"/>
  <c r="AM135" i="7"/>
  <c r="AL97" i="7"/>
  <c r="AB105" i="7"/>
  <c r="AB138" i="7"/>
  <c r="AL130" i="7"/>
  <c r="AG138" i="7"/>
  <c r="AL132" i="7"/>
  <c r="BG138" i="7"/>
  <c r="AO133" i="7"/>
  <c r="AE138" i="7"/>
  <c r="AO138" i="7" s="1"/>
  <c r="AE126" i="7"/>
  <c r="AO126" i="7" s="1"/>
  <c r="AG105" i="7"/>
  <c r="AL103" i="7"/>
  <c r="AE70" i="7"/>
  <c r="AO70" i="7" s="1"/>
  <c r="AN68" i="7"/>
  <c r="BG62" i="7"/>
  <c r="AP74" i="7"/>
  <c r="BG74" i="7" s="1"/>
  <c r="AO44" i="7"/>
  <c r="BV44" i="7"/>
  <c r="AR86" i="7"/>
  <c r="BI86" i="7" s="1"/>
  <c r="BI13" i="7"/>
  <c r="BI15" i="7"/>
  <c r="X86" i="7"/>
  <c r="BP86" i="7" s="1"/>
  <c r="BP13" i="7"/>
  <c r="AA82" i="7"/>
  <c r="BC80" i="7"/>
  <c r="BT80" i="7" s="1"/>
  <c r="BT7" i="7"/>
  <c r="BD79" i="7"/>
  <c r="BU6" i="7"/>
  <c r="AH50" i="7"/>
  <c r="BE86" i="7"/>
  <c r="BE15" i="7"/>
  <c r="BF84" i="7"/>
  <c r="BW11" i="7"/>
  <c r="AA81" i="7"/>
  <c r="AK81" i="7" s="1"/>
  <c r="BB80" i="7"/>
  <c r="BS80" i="7" s="1"/>
  <c r="BS7" i="7"/>
  <c r="BF78" i="7"/>
  <c r="BW5" i="7"/>
  <c r="AS50" i="7"/>
  <c r="BJ50" i="7" s="1"/>
  <c r="BJ38" i="7"/>
  <c r="BV14" i="7"/>
  <c r="AT86" i="7"/>
  <c r="BK86" i="7" s="1"/>
  <c r="AT15" i="7"/>
  <c r="BK13" i="7"/>
  <c r="Z86" i="7"/>
  <c r="BR86" i="7" s="1"/>
  <c r="BR13" i="7"/>
  <c r="BD81" i="7"/>
  <c r="BU8" i="7"/>
  <c r="BE80" i="7"/>
  <c r="BV7" i="7"/>
  <c r="BC78" i="7"/>
  <c r="BT78" i="7" s="1"/>
  <c r="BT5" i="7"/>
  <c r="BB78" i="7"/>
  <c r="BS78" i="7" s="1"/>
  <c r="BS5" i="7"/>
  <c r="BT33" i="7"/>
  <c r="BF38" i="7"/>
  <c r="BW38" i="7" s="1"/>
  <c r="BW46" i="7"/>
  <c r="BU55" i="7"/>
  <c r="BD67" i="7"/>
  <c r="BF50" i="7"/>
  <c r="BW50" i="7" s="1"/>
  <c r="BT34" i="7"/>
  <c r="AK45" i="7"/>
  <c r="AK44" i="7"/>
  <c r="AF50" i="7"/>
  <c r="AK50" i="7" s="1"/>
  <c r="AA66" i="7"/>
  <c r="BE68" i="7"/>
  <c r="BV56" i="7"/>
  <c r="BT59" i="7"/>
  <c r="BC71" i="7"/>
  <c r="BB62" i="7"/>
  <c r="BD69" i="7"/>
  <c r="BU57" i="7"/>
  <c r="BU59" i="7"/>
  <c r="BD71" i="7"/>
  <c r="BE67" i="7"/>
  <c r="BV55" i="7"/>
  <c r="BC70" i="7"/>
  <c r="BT58" i="7"/>
  <c r="BB69" i="7"/>
  <c r="BS69" i="7" s="1"/>
  <c r="BS57" i="7"/>
  <c r="BB71" i="7"/>
  <c r="BS71" i="7" s="1"/>
  <c r="BS59" i="7"/>
  <c r="BE74" i="7"/>
  <c r="AK120" i="7"/>
  <c r="AA126" i="7"/>
  <c r="BW98" i="7"/>
  <c r="BW102" i="7"/>
  <c r="BC116" i="7"/>
  <c r="BT116" i="7" s="1"/>
  <c r="BT109" i="7"/>
  <c r="BW109" i="7"/>
  <c r="BF116" i="7"/>
  <c r="BW116" i="7" s="1"/>
  <c r="BC126" i="7"/>
  <c r="AK122" i="7"/>
  <c r="AK125" i="7"/>
  <c r="AK132" i="7"/>
  <c r="BW133" i="7"/>
  <c r="AJ50" i="7"/>
  <c r="X50" i="7"/>
  <c r="BP38" i="7"/>
  <c r="AK26" i="7"/>
  <c r="BU14" i="7"/>
  <c r="AG86" i="7"/>
  <c r="BD84" i="7"/>
  <c r="BU11" i="7"/>
  <c r="BF82" i="7"/>
  <c r="BW9" i="7"/>
  <c r="BC81" i="7"/>
  <c r="BT81" i="7" s="1"/>
  <c r="BT8" i="7"/>
  <c r="AT74" i="7"/>
  <c r="BK74" i="7" s="1"/>
  <c r="BK62" i="7"/>
  <c r="AO46" i="7"/>
  <c r="BV46" i="7"/>
  <c r="AQ50" i="7"/>
  <c r="BH50" i="7" s="1"/>
  <c r="BH38" i="7"/>
  <c r="AO43" i="7"/>
  <c r="BV43" i="7"/>
  <c r="AT50" i="7"/>
  <c r="BK50" i="7" s="1"/>
  <c r="BK38" i="7"/>
  <c r="AU86" i="7"/>
  <c r="BL86" i="7" s="1"/>
  <c r="AU15" i="7"/>
  <c r="BL13" i="7"/>
  <c r="AA86" i="7"/>
  <c r="BB84" i="7"/>
  <c r="BS84" i="7" s="1"/>
  <c r="BS11" i="7"/>
  <c r="BD82" i="7"/>
  <c r="BU9" i="7"/>
  <c r="BE81" i="7"/>
  <c r="BV8" i="7"/>
  <c r="AI50" i="7"/>
  <c r="AN50" i="7" s="1"/>
  <c r="AP86" i="7"/>
  <c r="BG86" i="7" s="1"/>
  <c r="AP15" i="7"/>
  <c r="BG15" i="7" s="1"/>
  <c r="BG13" i="7"/>
  <c r="AE84" i="7"/>
  <c r="AO84" i="7" s="1"/>
  <c r="BF83" i="7"/>
  <c r="BW10" i="7"/>
  <c r="BF129" i="7"/>
  <c r="BF108" i="7"/>
  <c r="BF89" i="7"/>
  <c r="BF96" i="7"/>
  <c r="BF119" i="7"/>
  <c r="BF77" i="7"/>
  <c r="BF65" i="7"/>
  <c r="BF53" i="7"/>
  <c r="BF41" i="7"/>
  <c r="BF29" i="7"/>
  <c r="BF17" i="7"/>
  <c r="BV36" i="7"/>
  <c r="BC38" i="7"/>
  <c r="BT32" i="7"/>
  <c r="AF66" i="7"/>
  <c r="AF62" i="7"/>
  <c r="BB66" i="7"/>
  <c r="BS66" i="7" s="1"/>
  <c r="BS54" i="7"/>
  <c r="BE66" i="7"/>
  <c r="BV54" i="7"/>
  <c r="BC69" i="7"/>
  <c r="BT57" i="7"/>
  <c r="AA72" i="7"/>
  <c r="BF62" i="7"/>
  <c r="AF70" i="7"/>
  <c r="AF72" i="7"/>
  <c r="BT56" i="7"/>
  <c r="BC68" i="7"/>
  <c r="AA71" i="7"/>
  <c r="BU62" i="7"/>
  <c r="BD74" i="7"/>
  <c r="BF69" i="7"/>
  <c r="BW57" i="7"/>
  <c r="BF71" i="7"/>
  <c r="BW59" i="7"/>
  <c r="BB92" i="7"/>
  <c r="BS92" i="7" s="1"/>
  <c r="BW97" i="7"/>
  <c r="BW101" i="7"/>
  <c r="BB116" i="7"/>
  <c r="BS116" i="7" s="1"/>
  <c r="BS109" i="7"/>
  <c r="BS120" i="7"/>
  <c r="BB126" i="7"/>
  <c r="BS126" i="7" s="1"/>
  <c r="AF116" i="7"/>
  <c r="AK116" i="7" s="1"/>
  <c r="AK110" i="7"/>
  <c r="BF138" i="7"/>
  <c r="AF126" i="7"/>
  <c r="AF138" i="7"/>
  <c r="BU138" i="7"/>
  <c r="BV138" i="7"/>
  <c r="BW31" i="7"/>
  <c r="BW30" i="7"/>
  <c r="AE42" i="7"/>
  <c r="AC86" i="7"/>
  <c r="BE83" i="7"/>
  <c r="BV10" i="7"/>
  <c r="BB82" i="7"/>
  <c r="BS82" i="7" s="1"/>
  <c r="BS9" i="7"/>
  <c r="AA78" i="7"/>
  <c r="AC138" i="7"/>
  <c r="AM130" i="7"/>
  <c r="AE71" i="7"/>
  <c r="AO71" i="7" s="1"/>
  <c r="AC74" i="7"/>
  <c r="AM74" i="7" s="1"/>
  <c r="AM62" i="7"/>
  <c r="AM71" i="7"/>
  <c r="AO47" i="7"/>
  <c r="BV47" i="7"/>
  <c r="AM131" i="7"/>
  <c r="AT140" i="7"/>
  <c r="BK138" i="7"/>
  <c r="AH138" i="7"/>
  <c r="AM132" i="7"/>
  <c r="AD126" i="7"/>
  <c r="AN126" i="7" s="1"/>
  <c r="AN120" i="7"/>
  <c r="AN109" i="7"/>
  <c r="AC105" i="7"/>
  <c r="AM105" i="7" s="1"/>
  <c r="AM97" i="7"/>
  <c r="AN130" i="7"/>
  <c r="AC126" i="7"/>
  <c r="AM126" i="7" s="1"/>
  <c r="AM120" i="7"/>
  <c r="AL101" i="7"/>
  <c r="AO97" i="7"/>
  <c r="AL99" i="7"/>
  <c r="AL70" i="7"/>
  <c r="AN71" i="7"/>
  <c r="Y74" i="7"/>
  <c r="BQ74" i="7" s="1"/>
  <c r="BQ62" i="7"/>
  <c r="AL72" i="7"/>
  <c r="AE72" i="7"/>
  <c r="AO72" i="7" s="1"/>
  <c r="AQ74" i="7"/>
  <c r="BH74" i="7" s="1"/>
  <c r="AN67" i="7"/>
  <c r="AN66" i="7"/>
  <c r="AN69" i="7"/>
  <c r="AM68" i="7"/>
  <c r="AM67" i="7"/>
  <c r="AE62" i="7"/>
  <c r="AE66" i="7"/>
  <c r="AO66" i="7" s="1"/>
  <c r="AE48" i="7"/>
  <c r="AJ86" i="7"/>
  <c r="BE82" i="7"/>
  <c r="BV9" i="7"/>
  <c r="BF81" i="7"/>
  <c r="BW81" i="7" s="1"/>
  <c r="BW8" i="7"/>
  <c r="BS32" i="7"/>
  <c r="BB44" i="7"/>
  <c r="BS44" i="7" s="1"/>
  <c r="BT31" i="7"/>
  <c r="AQ86" i="7"/>
  <c r="BH86" i="7" s="1"/>
  <c r="AQ15" i="7"/>
  <c r="BH15" i="7" s="1"/>
  <c r="BH13" i="7"/>
  <c r="BC79" i="7"/>
  <c r="BT79" i="7" s="1"/>
  <c r="BT6" i="7"/>
  <c r="AA129" i="7"/>
  <c r="AA119" i="7"/>
  <c r="AA108" i="7"/>
  <c r="AA96" i="7"/>
  <c r="AF78" i="7"/>
  <c r="BQ38" i="7"/>
  <c r="Y50" i="7"/>
  <c r="AH86" i="7"/>
  <c r="AA84" i="7"/>
  <c r="AK84" i="7" s="1"/>
  <c r="BB83" i="7"/>
  <c r="BS83" i="7" s="1"/>
  <c r="BS10" i="7"/>
  <c r="AE80" i="7"/>
  <c r="AO80" i="7" s="1"/>
  <c r="BF79" i="7"/>
  <c r="BW6" i="7"/>
  <c r="BV34" i="7"/>
  <c r="AK43" i="7"/>
  <c r="BB46" i="7"/>
  <c r="BS46" i="7" s="1"/>
  <c r="BS34" i="7"/>
  <c r="BS36" i="7"/>
  <c r="BB48" i="7"/>
  <c r="BS48" i="7" s="1"/>
  <c r="BF66" i="7"/>
  <c r="BW54" i="7"/>
  <c r="BW48" i="7"/>
  <c r="AF67" i="7"/>
  <c r="BB47" i="7"/>
  <c r="BS47" i="7" s="1"/>
  <c r="BS35" i="7"/>
  <c r="BW47" i="7"/>
  <c r="BB67" i="7"/>
  <c r="BS67" i="7" s="1"/>
  <c r="BS55" i="7"/>
  <c r="BC67" i="7"/>
  <c r="BT55" i="7"/>
  <c r="AA70" i="7"/>
  <c r="BE72" i="7"/>
  <c r="BV60" i="7"/>
  <c r="BS56" i="7"/>
  <c r="BB68" i="7"/>
  <c r="BS68" i="7" s="1"/>
  <c r="BB70" i="7"/>
  <c r="BS70" i="7" s="1"/>
  <c r="BS58" i="7"/>
  <c r="BS60" i="7"/>
  <c r="BB72" i="7"/>
  <c r="BS72" i="7" s="1"/>
  <c r="BC66" i="7"/>
  <c r="BT54" i="7"/>
  <c r="AA69" i="7"/>
  <c r="BV59" i="7"/>
  <c r="BE71" i="7"/>
  <c r="BD68" i="7"/>
  <c r="BU56" i="7"/>
  <c r="BD70" i="7"/>
  <c r="BU58" i="7"/>
  <c r="BD72" i="7"/>
  <c r="BU60" i="7"/>
  <c r="BC105" i="7"/>
  <c r="BF92" i="7"/>
  <c r="BW92" i="7" s="1"/>
  <c r="BW100" i="7"/>
  <c r="BW91" i="7"/>
  <c r="AK90" i="7"/>
  <c r="BF105" i="7"/>
  <c r="BW112" i="7"/>
  <c r="BW120" i="7"/>
  <c r="AK114" i="7"/>
  <c r="AK124" i="7"/>
  <c r="BF126" i="7"/>
  <c r="BW121" i="7"/>
  <c r="BW123" i="7"/>
  <c r="BU126" i="7"/>
  <c r="BB138" i="7"/>
  <c r="BS138" i="7" s="1"/>
  <c r="BW135" i="7"/>
  <c r="BW134" i="7"/>
  <c r="AE78" i="7"/>
  <c r="AO78" i="7" s="1"/>
  <c r="BW32" i="7"/>
  <c r="BB42" i="7"/>
  <c r="BS42" i="7" s="1"/>
  <c r="BS30" i="7"/>
  <c r="AF38" i="7"/>
  <c r="AK38" i="7" s="1"/>
  <c r="Y86" i="7"/>
  <c r="BQ86" i="7" s="1"/>
  <c r="AE83" i="7"/>
  <c r="AO83" i="7" s="1"/>
  <c r="BD80" i="7"/>
  <c r="BU7" i="7"/>
  <c r="BI138" i="7"/>
  <c r="AR140" i="7"/>
  <c r="AD138" i="7"/>
  <c r="AN138" i="7" s="1"/>
  <c r="AO90" i="7"/>
  <c r="AE92" i="7"/>
  <c r="AO92" i="7" s="1"/>
  <c r="AS74" i="7"/>
  <c r="BJ74" i="7" s="1"/>
  <c r="BJ62" i="7"/>
  <c r="AO69" i="7"/>
  <c r="BI62" i="7"/>
  <c r="AR74" i="7"/>
  <c r="BI74" i="7" s="1"/>
  <c r="AB74" i="7"/>
  <c r="AL74" i="7" s="1"/>
  <c r="AL62" i="7"/>
  <c r="Z74" i="7"/>
  <c r="BR74" i="7" s="1"/>
  <c r="BR62" i="7"/>
  <c r="AD74" i="7"/>
  <c r="AN74" i="7" s="1"/>
  <c r="AN62" i="7"/>
  <c r="AE68" i="7"/>
  <c r="AO68" i="7" s="1"/>
  <c r="AE67" i="7"/>
  <c r="AO67" i="7" s="1"/>
  <c r="X74" i="7"/>
  <c r="BP74" i="7" s="1"/>
  <c r="BP62" i="7"/>
  <c r="AE45" i="7"/>
  <c r="BL50" i="7"/>
  <c r="BL38" i="7"/>
  <c r="AE38" i="7"/>
  <c r="AO38" i="7" s="1"/>
  <c r="AB86" i="7"/>
  <c r="AL86" i="7" s="1"/>
  <c r="BC84" i="7"/>
  <c r="BT84" i="7" s="1"/>
  <c r="BT11" i="7"/>
  <c r="BD83" i="7"/>
  <c r="BU10" i="7"/>
  <c r="AE82" i="7"/>
  <c r="AO82" i="7" s="1"/>
  <c r="BB81" i="7"/>
  <c r="BS81" i="7" s="1"/>
  <c r="BS8" i="7"/>
  <c r="BB45" i="7"/>
  <c r="BS45" i="7" s="1"/>
  <c r="BS33" i="7"/>
  <c r="AP50" i="7"/>
  <c r="BG50" i="7" s="1"/>
  <c r="BG38" i="7"/>
  <c r="Z50" i="7"/>
  <c r="BR38" i="7"/>
  <c r="AM26" i="7"/>
  <c r="BC83" i="7"/>
  <c r="BT83" i="7" s="1"/>
  <c r="BT10" i="7"/>
  <c r="AE81" i="7"/>
  <c r="AO81" i="7" s="1"/>
  <c r="BF80" i="7"/>
  <c r="BW7" i="7"/>
  <c r="BD78" i="7"/>
  <c r="BU5" i="7"/>
  <c r="AA79" i="7"/>
  <c r="AK79" i="7" s="1"/>
  <c r="BB43" i="7"/>
  <c r="BS43" i="7" s="1"/>
  <c r="BS31" i="7"/>
  <c r="BT30" i="7"/>
  <c r="BD86" i="7"/>
  <c r="BD15" i="7"/>
  <c r="BU13" i="7"/>
  <c r="AD86" i="7"/>
  <c r="AN86" i="7" s="1"/>
  <c r="BE84" i="7"/>
  <c r="BV11" i="7"/>
  <c r="BC82" i="7"/>
  <c r="BT82" i="7" s="1"/>
  <c r="BT9" i="7"/>
  <c r="AA80" i="7"/>
  <c r="AK80" i="7" s="1"/>
  <c r="BB79" i="7"/>
  <c r="BS79" i="7" s="1"/>
  <c r="BS6" i="7"/>
  <c r="AE79" i="7"/>
  <c r="AO79" i="7" s="1"/>
  <c r="BV32" i="7"/>
  <c r="BT35" i="7"/>
  <c r="BB38" i="7"/>
  <c r="BD66" i="7"/>
  <c r="BU54" i="7"/>
  <c r="BW34" i="7"/>
  <c r="BF67" i="7"/>
  <c r="BW55" i="7"/>
  <c r="BV33" i="7"/>
  <c r="BT36" i="7"/>
  <c r="AF68" i="7"/>
  <c r="BW35" i="7"/>
  <c r="AA68" i="7"/>
  <c r="BE70" i="7"/>
  <c r="BV58" i="7"/>
  <c r="BW56" i="7"/>
  <c r="BF68" i="7"/>
  <c r="BF70" i="7"/>
  <c r="BW70" i="7" s="1"/>
  <c r="BW58" i="7"/>
  <c r="BW60" i="7"/>
  <c r="BF72" i="7"/>
  <c r="BW72" i="7" s="1"/>
  <c r="AA67" i="7"/>
  <c r="AK67" i="7" s="1"/>
  <c r="BV57" i="7"/>
  <c r="BE69" i="7"/>
  <c r="BT60" i="7"/>
  <c r="BC72" i="7"/>
  <c r="AF69" i="7"/>
  <c r="AF71" i="7"/>
  <c r="AA74" i="7"/>
  <c r="AK62" i="7"/>
  <c r="AK97" i="7"/>
  <c r="AA105" i="7"/>
  <c r="BV91" i="7"/>
  <c r="AF105" i="7"/>
  <c r="BW99" i="7"/>
  <c r="BW103" i="7"/>
  <c r="BV105" i="7"/>
  <c r="BV90" i="7"/>
  <c r="AA138" i="7"/>
  <c r="AK138" i="7" s="1"/>
  <c r="AK130" i="7"/>
  <c r="BW131" i="7"/>
  <c r="BW130" i="7"/>
  <c r="AK136" i="7"/>
  <c r="AR50" i="7"/>
  <c r="BI50" i="7" s="1"/>
  <c r="BI38" i="7"/>
  <c r="AS86" i="7"/>
  <c r="BJ86" i="7" s="1"/>
  <c r="BJ13" i="7"/>
  <c r="AS15" i="7"/>
  <c r="AA83" i="7"/>
  <c r="AK83" i="7" s="1"/>
  <c r="AF82" i="7"/>
  <c r="BE79" i="7"/>
  <c r="BV6" i="7"/>
  <c r="BW33" i="7"/>
  <c r="AT139" i="9" l="1"/>
  <c r="BB70" i="9"/>
  <c r="BS70" i="9" s="1"/>
  <c r="BR53" i="9"/>
  <c r="BA83" i="9"/>
  <c r="BE66" i="9"/>
  <c r="BV66" i="9" s="1"/>
  <c r="BE83" i="9"/>
  <c r="BB82" i="9"/>
  <c r="BS82" i="9" s="1"/>
  <c r="BB130" i="9"/>
  <c r="BA60" i="9"/>
  <c r="BS10" i="9"/>
  <c r="BV4" i="9"/>
  <c r="BE69" i="9"/>
  <c r="BV69" i="9" s="1"/>
  <c r="AQ138" i="9"/>
  <c r="BW82" i="7"/>
  <c r="BB36" i="9"/>
  <c r="BB48" i="9" s="1"/>
  <c r="BS48" i="9" s="1"/>
  <c r="BE36" i="9"/>
  <c r="BV36" i="9" s="1"/>
  <c r="BE103" i="9"/>
  <c r="BA103" i="9"/>
  <c r="BS13" i="7"/>
  <c r="BE64" i="9"/>
  <c r="BV64" i="9" s="1"/>
  <c r="BE78" i="9"/>
  <c r="BV78" i="9" s="1"/>
  <c r="BA129" i="9"/>
  <c r="BV9" i="9"/>
  <c r="BA124" i="9"/>
  <c r="BB86" i="7"/>
  <c r="BS86" i="7" s="1"/>
  <c r="BS16" i="9"/>
  <c r="AT48" i="9"/>
  <c r="BK48" i="9" s="1"/>
  <c r="AT143" i="9"/>
  <c r="BC48" i="9"/>
  <c r="BT48" i="9" s="1"/>
  <c r="BA133" i="9"/>
  <c r="BR16" i="9"/>
  <c r="BA132" i="9"/>
  <c r="BB133" i="9"/>
  <c r="BA134" i="9"/>
  <c r="BA140" i="9" s="1"/>
  <c r="BB129" i="9"/>
  <c r="BA131" i="9"/>
  <c r="BA128" i="9"/>
  <c r="BB134" i="9"/>
  <c r="BB140" i="9" s="1"/>
  <c r="BA130" i="9"/>
  <c r="BB132" i="9"/>
  <c r="BB131" i="9"/>
  <c r="BB128" i="9"/>
  <c r="BE68" i="9"/>
  <c r="BV68" i="9" s="1"/>
  <c r="AP138" i="9"/>
  <c r="AP139" i="9"/>
  <c r="BR60" i="9"/>
  <c r="BA90" i="9"/>
  <c r="BR90" i="9" s="1"/>
  <c r="BF90" i="9"/>
  <c r="BR52" i="9"/>
  <c r="BA64" i="9"/>
  <c r="BR64" i="9" s="1"/>
  <c r="BA79" i="9"/>
  <c r="BR79" i="9" s="1"/>
  <c r="BR7" i="9"/>
  <c r="AP135" i="9"/>
  <c r="AP84" i="9"/>
  <c r="BG84" i="9" s="1"/>
  <c r="AP14" i="9"/>
  <c r="BG12" i="9"/>
  <c r="BA24" i="9"/>
  <c r="BA145" i="9" s="1"/>
  <c r="AQ144" i="9"/>
  <c r="AQ143" i="9"/>
  <c r="BH24" i="9"/>
  <c r="AR48" i="9"/>
  <c r="BI48" i="9" s="1"/>
  <c r="BK15" i="7"/>
  <c r="AS14" i="9"/>
  <c r="AO145" i="9"/>
  <c r="AO143" i="9"/>
  <c r="AO144" i="9"/>
  <c r="BF24" i="9"/>
  <c r="BR6" i="9"/>
  <c r="BA78" i="9"/>
  <c r="BR78" i="9" s="1"/>
  <c r="AQ48" i="9"/>
  <c r="BH48" i="9" s="1"/>
  <c r="BH36" i="9"/>
  <c r="AQ135" i="9"/>
  <c r="AQ14" i="9"/>
  <c r="BH12" i="9"/>
  <c r="AQ84" i="9"/>
  <c r="BH84" i="9" s="1"/>
  <c r="AP48" i="9"/>
  <c r="BG48" i="9" s="1"/>
  <c r="BG36" i="9"/>
  <c r="AQ145" i="9"/>
  <c r="BJ15" i="7"/>
  <c r="AR14" i="9"/>
  <c r="BA69" i="9"/>
  <c r="BR69" i="9" s="1"/>
  <c r="BF12" i="9"/>
  <c r="AO135" i="9"/>
  <c r="AO14" i="9"/>
  <c r="AO84" i="9"/>
  <c r="BF84" i="9" s="1"/>
  <c r="BA12" i="9"/>
  <c r="AO131" i="9"/>
  <c r="AO134" i="9"/>
  <c r="AO140" i="9" s="1"/>
  <c r="BE140" i="9" s="1"/>
  <c r="AO128" i="9"/>
  <c r="AO133" i="9"/>
  <c r="AO129" i="9"/>
  <c r="AO130" i="9"/>
  <c r="AQ139" i="9"/>
  <c r="AQ72" i="9"/>
  <c r="BH72" i="9" s="1"/>
  <c r="BB67" i="9"/>
  <c r="BS67" i="9" s="1"/>
  <c r="BR56" i="9"/>
  <c r="BA68" i="9"/>
  <c r="BR68" i="9" s="1"/>
  <c r="BF36" i="9"/>
  <c r="BA36" i="9"/>
  <c r="BR36" i="9" s="1"/>
  <c r="AP72" i="9"/>
  <c r="BG72" i="9" s="1"/>
  <c r="BG60" i="9"/>
  <c r="BA81" i="9"/>
  <c r="BR81" i="9" s="1"/>
  <c r="BR9" i="9"/>
  <c r="AP145" i="9"/>
  <c r="AP144" i="9"/>
  <c r="AP143" i="9"/>
  <c r="BG24" i="9"/>
  <c r="BA76" i="9"/>
  <c r="BR76" i="9" s="1"/>
  <c r="BS13" i="8"/>
  <c r="AT135" i="9"/>
  <c r="BE12" i="9"/>
  <c r="AT84" i="9"/>
  <c r="BK84" i="9" s="1"/>
  <c r="BK12" i="9"/>
  <c r="BB12" i="9"/>
  <c r="BE130" i="9"/>
  <c r="BE79" i="9"/>
  <c r="BV79" i="9" s="1"/>
  <c r="BV7" i="9"/>
  <c r="BE132" i="9"/>
  <c r="BV55" i="9"/>
  <c r="BE67" i="9"/>
  <c r="BV67" i="9" s="1"/>
  <c r="AT72" i="9"/>
  <c r="BK72" i="9" s="1"/>
  <c r="BK60" i="9"/>
  <c r="BB60" i="9"/>
  <c r="BE60" i="9"/>
  <c r="BE128" i="9"/>
  <c r="AT14" i="9"/>
  <c r="BE124" i="9"/>
  <c r="BB124" i="9"/>
  <c r="BK90" i="9"/>
  <c r="BB90" i="9"/>
  <c r="BS90" i="9" s="1"/>
  <c r="BE90" i="9"/>
  <c r="BV90" i="9" s="1"/>
  <c r="BE129" i="9"/>
  <c r="BE131" i="9"/>
  <c r="AT141" i="9"/>
  <c r="BE134" i="9"/>
  <c r="BE133" i="9"/>
  <c r="BB114" i="9"/>
  <c r="BS114" i="9" s="1"/>
  <c r="BB79" i="9"/>
  <c r="BS79" i="9" s="1"/>
  <c r="BS7" i="9"/>
  <c r="AT144" i="9"/>
  <c r="BK24" i="9"/>
  <c r="AU48" i="9"/>
  <c r="BE24" i="9"/>
  <c r="BV24" i="9" s="1"/>
  <c r="BB24" i="9"/>
  <c r="BE114" i="9"/>
  <c r="BV114" i="9" s="1"/>
  <c r="BT13" i="7"/>
  <c r="BC86" i="8"/>
  <c r="BT86" i="8" s="1"/>
  <c r="BC15" i="8"/>
  <c r="BT15" i="8" s="1"/>
  <c r="AK138" i="8"/>
  <c r="AM138" i="8"/>
  <c r="BW126" i="8"/>
  <c r="AK62" i="8"/>
  <c r="AK74" i="8"/>
  <c r="BW72" i="8"/>
  <c r="BW71" i="8"/>
  <c r="AL50" i="8"/>
  <c r="AK83" i="8"/>
  <c r="AM86" i="8"/>
  <c r="AK82" i="8"/>
  <c r="BW81" i="8"/>
  <c r="AO45" i="8"/>
  <c r="BV45" i="8"/>
  <c r="AK79" i="8"/>
  <c r="BW83" i="8"/>
  <c r="BW67" i="8"/>
  <c r="AA86" i="8"/>
  <c r="AK13" i="8"/>
  <c r="AA15" i="8"/>
  <c r="AN138" i="8"/>
  <c r="BW84" i="8"/>
  <c r="BB74" i="8"/>
  <c r="BS74" i="8" s="1"/>
  <c r="BS62" i="8"/>
  <c r="AF86" i="8"/>
  <c r="AF15" i="8"/>
  <c r="AK66" i="8"/>
  <c r="AK68" i="8"/>
  <c r="AK78" i="8"/>
  <c r="BV105" i="8"/>
  <c r="AK72" i="8"/>
  <c r="BF74" i="8"/>
  <c r="BW74" i="8" s="1"/>
  <c r="BB50" i="8"/>
  <c r="BS50" i="8" s="1"/>
  <c r="BS38" i="8"/>
  <c r="AE74" i="8"/>
  <c r="AO74" i="8" s="1"/>
  <c r="AO62" i="8"/>
  <c r="AK84" i="8"/>
  <c r="BW68" i="8"/>
  <c r="BW78" i="8"/>
  <c r="AK80" i="8"/>
  <c r="BF86" i="8"/>
  <c r="BW13" i="8"/>
  <c r="BF15" i="8"/>
  <c r="AN50" i="8"/>
  <c r="BW66" i="8"/>
  <c r="AK70" i="8"/>
  <c r="BC74" i="8"/>
  <c r="BT62" i="8"/>
  <c r="AL86" i="8"/>
  <c r="BW138" i="8"/>
  <c r="BV92" i="8"/>
  <c r="BV38" i="8"/>
  <c r="AE86" i="8"/>
  <c r="AO86" i="8" s="1"/>
  <c r="AO13" i="8"/>
  <c r="AE15" i="8"/>
  <c r="BV50" i="8"/>
  <c r="AO50" i="8"/>
  <c r="BB86" i="8"/>
  <c r="BS86" i="8" s="1"/>
  <c r="BC15" i="7"/>
  <c r="BT15" i="7" s="1"/>
  <c r="BW126" i="7"/>
  <c r="AK105" i="7"/>
  <c r="AK70" i="7"/>
  <c r="BW71" i="7"/>
  <c r="BW66" i="7"/>
  <c r="BW68" i="7"/>
  <c r="AE86" i="7"/>
  <c r="AO13" i="7"/>
  <c r="AE15" i="7"/>
  <c r="AO86" i="7"/>
  <c r="BV45" i="7"/>
  <c r="AO45" i="7"/>
  <c r="BW79" i="7"/>
  <c r="AM138" i="7"/>
  <c r="AM86" i="7"/>
  <c r="AO42" i="7"/>
  <c r="BV42" i="7"/>
  <c r="BW69" i="7"/>
  <c r="AK71" i="7"/>
  <c r="AE50" i="7"/>
  <c r="BW78" i="7"/>
  <c r="AL138" i="7"/>
  <c r="BW105" i="7"/>
  <c r="AK69" i="7"/>
  <c r="AF86" i="7"/>
  <c r="AK86" i="7" s="1"/>
  <c r="AK78" i="7"/>
  <c r="BW62" i="7"/>
  <c r="BF74" i="7"/>
  <c r="BW74" i="7" s="1"/>
  <c r="BW83" i="7"/>
  <c r="AK126" i="7"/>
  <c r="BB74" i="7"/>
  <c r="BS74" i="7" s="1"/>
  <c r="BS62" i="7"/>
  <c r="AK82" i="7"/>
  <c r="AL105" i="7"/>
  <c r="BV92" i="7"/>
  <c r="BF86" i="7"/>
  <c r="BW86" i="7" s="1"/>
  <c r="BF15" i="7"/>
  <c r="BW15" i="7" s="1"/>
  <c r="BW13" i="7"/>
  <c r="AE74" i="7"/>
  <c r="AO74" i="7" s="1"/>
  <c r="AO62" i="7"/>
  <c r="AK66" i="7"/>
  <c r="BW84" i="7"/>
  <c r="AK68" i="7"/>
  <c r="BW67" i="7"/>
  <c r="BB50" i="7"/>
  <c r="BS50" i="7" s="1"/>
  <c r="BS38" i="7"/>
  <c r="BW80" i="7"/>
  <c r="BV38" i="7"/>
  <c r="AO48" i="7"/>
  <c r="BV48" i="7"/>
  <c r="BW138" i="7"/>
  <c r="AK72" i="7"/>
  <c r="AF74" i="7"/>
  <c r="AK74" i="7" s="1"/>
  <c r="BT38" i="7"/>
  <c r="BV62" i="7"/>
  <c r="BC74" i="7"/>
  <c r="AU111" i="3"/>
  <c r="AU112" i="3"/>
  <c r="AU113" i="3"/>
  <c r="AU114" i="3"/>
  <c r="AU110" i="3"/>
  <c r="AU115" i="3"/>
  <c r="AU109" i="3"/>
  <c r="BC109" i="3" s="1"/>
  <c r="AU111" i="2"/>
  <c r="BL111" i="2" s="1"/>
  <c r="AU112" i="2"/>
  <c r="AU113" i="2"/>
  <c r="BL113" i="2" s="1"/>
  <c r="AU114" i="2"/>
  <c r="BL114" i="2" s="1"/>
  <c r="AU110" i="2"/>
  <c r="BL110" i="2" s="1"/>
  <c r="AU115" i="2"/>
  <c r="AU109" i="2"/>
  <c r="BL109" i="2" s="1"/>
  <c r="AU123" i="3"/>
  <c r="AU124" i="3"/>
  <c r="AU125" i="3"/>
  <c r="AU126" i="3"/>
  <c r="AU121" i="3"/>
  <c r="AU122" i="2"/>
  <c r="AU123" i="2"/>
  <c r="AU124" i="2"/>
  <c r="AU125" i="2"/>
  <c r="AU126" i="2"/>
  <c r="AU121" i="2"/>
  <c r="AU140" i="2"/>
  <c r="AU131" i="2"/>
  <c r="AU132" i="2"/>
  <c r="AU133" i="2"/>
  <c r="AU134" i="2"/>
  <c r="AU135" i="2"/>
  <c r="AU136" i="2"/>
  <c r="AU137" i="2"/>
  <c r="AU138" i="2"/>
  <c r="AU131" i="3"/>
  <c r="AU132" i="3"/>
  <c r="AU133" i="3"/>
  <c r="AU134" i="3"/>
  <c r="AU135" i="3"/>
  <c r="AU136" i="3"/>
  <c r="AU137" i="3"/>
  <c r="AU138" i="3"/>
  <c r="AU97" i="3"/>
  <c r="AU98" i="3"/>
  <c r="AU99" i="3"/>
  <c r="AU100" i="3"/>
  <c r="AU101" i="3"/>
  <c r="AU102" i="3"/>
  <c r="AU103" i="3"/>
  <c r="AU104" i="3"/>
  <c r="AU97" i="2"/>
  <c r="AU98" i="2"/>
  <c r="AU99" i="2"/>
  <c r="AU100" i="2"/>
  <c r="AU101" i="2"/>
  <c r="AU102" i="2"/>
  <c r="AU103" i="2"/>
  <c r="AU104" i="2"/>
  <c r="AT104" i="1" s="1"/>
  <c r="AU91" i="3"/>
  <c r="AT91" i="1" s="1"/>
  <c r="AU90" i="3"/>
  <c r="AU91" i="2"/>
  <c r="AU90" i="2"/>
  <c r="AU54" i="3"/>
  <c r="AU55" i="3"/>
  <c r="AU56" i="3"/>
  <c r="AU57" i="3"/>
  <c r="AU58" i="3"/>
  <c r="AU59" i="3"/>
  <c r="AU60" i="3"/>
  <c r="AU61" i="3"/>
  <c r="AU54" i="2"/>
  <c r="AU78" i="2" s="1"/>
  <c r="AU55" i="2"/>
  <c r="AU56" i="2"/>
  <c r="AU57" i="2"/>
  <c r="AU58" i="2"/>
  <c r="AU59" i="2"/>
  <c r="AU60" i="2"/>
  <c r="AU61" i="2"/>
  <c r="AT110" i="1"/>
  <c r="AU13" i="3"/>
  <c r="AU4" i="3"/>
  <c r="AU5" i="3"/>
  <c r="AU6" i="3"/>
  <c r="AU80" i="3" s="1"/>
  <c r="AU7" i="3"/>
  <c r="AU8" i="3"/>
  <c r="AU9" i="3"/>
  <c r="AU10" i="3"/>
  <c r="AU84" i="3" s="1"/>
  <c r="AU11" i="3"/>
  <c r="AU13" i="2"/>
  <c r="AU5" i="2"/>
  <c r="AT5" i="1" s="1"/>
  <c r="AU6" i="2"/>
  <c r="AU80" i="2" s="1"/>
  <c r="AU7" i="2"/>
  <c r="AU8" i="2"/>
  <c r="AU9" i="2"/>
  <c r="AT9" i="1" s="1"/>
  <c r="AU10" i="2"/>
  <c r="AU11" i="2"/>
  <c r="AU30" i="3"/>
  <c r="AU31" i="3"/>
  <c r="AU32" i="3"/>
  <c r="AU33" i="3"/>
  <c r="AU34" i="3"/>
  <c r="AU35" i="3"/>
  <c r="AU36" i="3"/>
  <c r="AU37" i="3"/>
  <c r="AU30" i="2"/>
  <c r="AU31" i="2"/>
  <c r="AU32" i="2"/>
  <c r="AU33" i="2"/>
  <c r="AU34" i="2"/>
  <c r="AT32" i="1" s="1"/>
  <c r="AU35" i="2"/>
  <c r="AU36" i="2"/>
  <c r="AU37" i="2"/>
  <c r="AP141" i="9" l="1"/>
  <c r="BS36" i="9"/>
  <c r="BA14" i="9"/>
  <c r="AQ141" i="9"/>
  <c r="AT115" i="1"/>
  <c r="BA138" i="9"/>
  <c r="BS24" i="9"/>
  <c r="BB144" i="9"/>
  <c r="BB143" i="9"/>
  <c r="BE144" i="9"/>
  <c r="BE143" i="9"/>
  <c r="BR24" i="9"/>
  <c r="BA144" i="9"/>
  <c r="BA143" i="9"/>
  <c r="BB145" i="9"/>
  <c r="AT112" i="1"/>
  <c r="BL112" i="2"/>
  <c r="BE145" i="9"/>
  <c r="BB139" i="9"/>
  <c r="BB135" i="9"/>
  <c r="BB138" i="9"/>
  <c r="BA139" i="9"/>
  <c r="BA141" i="9" s="1"/>
  <c r="BA135" i="9"/>
  <c r="AO139" i="9"/>
  <c r="BE139" i="9" s="1"/>
  <c r="AO146" i="9"/>
  <c r="BA72" i="9"/>
  <c r="BR72" i="9" s="1"/>
  <c r="AU39" i="3"/>
  <c r="BL39" i="3" s="1"/>
  <c r="AU82" i="2"/>
  <c r="AP146" i="9"/>
  <c r="AO138" i="9"/>
  <c r="BA84" i="9"/>
  <c r="BR84" i="9" s="1"/>
  <c r="BR12" i="9"/>
  <c r="AQ146" i="9"/>
  <c r="AU84" i="2"/>
  <c r="AT28" i="1"/>
  <c r="AU39" i="2"/>
  <c r="BL39" i="2" s="1"/>
  <c r="AT11" i="1"/>
  <c r="AT7" i="1"/>
  <c r="AT13" i="1"/>
  <c r="AU73" i="3"/>
  <c r="AU69" i="3"/>
  <c r="AU82" i="3"/>
  <c r="AU73" i="2"/>
  <c r="BW86" i="8"/>
  <c r="AU62" i="2"/>
  <c r="AU63" i="2" s="1"/>
  <c r="AU139" i="2"/>
  <c r="AU141" i="2" s="1"/>
  <c r="BL113" i="3"/>
  <c r="BL110" i="3"/>
  <c r="BL111" i="3"/>
  <c r="BE72" i="9"/>
  <c r="BV72" i="9" s="1"/>
  <c r="BV60" i="9"/>
  <c r="AT113" i="1"/>
  <c r="AU127" i="2"/>
  <c r="AT111" i="1"/>
  <c r="BL114" i="3"/>
  <c r="AT146" i="9"/>
  <c r="BE146" i="9" s="1"/>
  <c r="BB72" i="9"/>
  <c r="BS72" i="9" s="1"/>
  <c r="BS60" i="9"/>
  <c r="BB14" i="9"/>
  <c r="BE14" i="9"/>
  <c r="BV12" i="9"/>
  <c r="BE84" i="9"/>
  <c r="BV84" i="9" s="1"/>
  <c r="AU83" i="3"/>
  <c r="AU79" i="3"/>
  <c r="AT109" i="1"/>
  <c r="AU92" i="2"/>
  <c r="BL112" i="3"/>
  <c r="BE135" i="9"/>
  <c r="BS12" i="9"/>
  <c r="BB84" i="9"/>
  <c r="BS84" i="9" s="1"/>
  <c r="BW15" i="8"/>
  <c r="AK86" i="8"/>
  <c r="BV50" i="7"/>
  <c r="AO50" i="7"/>
  <c r="AU72" i="2"/>
  <c r="AU68" i="2"/>
  <c r="AU72" i="3"/>
  <c r="AU68" i="3"/>
  <c r="AU127" i="3"/>
  <c r="AU116" i="3"/>
  <c r="BL109" i="3"/>
  <c r="AT31" i="1"/>
  <c r="AU85" i="2"/>
  <c r="AU81" i="2"/>
  <c r="AU12" i="3"/>
  <c r="AU14" i="3" s="1"/>
  <c r="AU15" i="3" s="1"/>
  <c r="AU71" i="2"/>
  <c r="AU67" i="2"/>
  <c r="AU71" i="3"/>
  <c r="AU67" i="3"/>
  <c r="AU78" i="3"/>
  <c r="AU139" i="3"/>
  <c r="AU116" i="2"/>
  <c r="AT10" i="1"/>
  <c r="AT6" i="1"/>
  <c r="AU85" i="3"/>
  <c r="AU81" i="3"/>
  <c r="AT114" i="1"/>
  <c r="AU70" i="2"/>
  <c r="AU66" i="2"/>
  <c r="AU70" i="3"/>
  <c r="AU62" i="3"/>
  <c r="AU63" i="3" s="1"/>
  <c r="AU92" i="3"/>
  <c r="AU38" i="3"/>
  <c r="AU69" i="2"/>
  <c r="AT29" i="1"/>
  <c r="AU38" i="2"/>
  <c r="AT30" i="1"/>
  <c r="AT34" i="1"/>
  <c r="AT61" i="1"/>
  <c r="AU79" i="2"/>
  <c r="AU83" i="2"/>
  <c r="AU66" i="3"/>
  <c r="AU12" i="2"/>
  <c r="AT4" i="1"/>
  <c r="AT8" i="1"/>
  <c r="AT90" i="1"/>
  <c r="AT92" i="1" s="1"/>
  <c r="AT35" i="1"/>
  <c r="AT73" i="1" s="1"/>
  <c r="AT33" i="1"/>
  <c r="AU18" i="3"/>
  <c r="AU19" i="3"/>
  <c r="AU20" i="3"/>
  <c r="AV44" i="3" s="1"/>
  <c r="AU21" i="3"/>
  <c r="AV45" i="3" s="1"/>
  <c r="AU22" i="3"/>
  <c r="AV46" i="3" s="1"/>
  <c r="AU23" i="3"/>
  <c r="AV47" i="3" s="1"/>
  <c r="AU24" i="3"/>
  <c r="AV48" i="3" s="1"/>
  <c r="AU25" i="3"/>
  <c r="AU18" i="2"/>
  <c r="AU19" i="2"/>
  <c r="AV43" i="2" s="1"/>
  <c r="AU20" i="2"/>
  <c r="AV44" i="2" s="1"/>
  <c r="AU21" i="2"/>
  <c r="AV45" i="2" s="1"/>
  <c r="AU22" i="2"/>
  <c r="AU23" i="2"/>
  <c r="AV47" i="2" s="1"/>
  <c r="AU24" i="2"/>
  <c r="AV48" i="2" s="1"/>
  <c r="AU25" i="2"/>
  <c r="AT136" i="1" l="1"/>
  <c r="AV42" i="2"/>
  <c r="AT133" i="1"/>
  <c r="BB146" i="9"/>
  <c r="AV49" i="3"/>
  <c r="AT131" i="1"/>
  <c r="AT132" i="1"/>
  <c r="BA146" i="9"/>
  <c r="AT130" i="1"/>
  <c r="AT135" i="1"/>
  <c r="BB141" i="9"/>
  <c r="AT134" i="1"/>
  <c r="BL22" i="2"/>
  <c r="AV46" i="2"/>
  <c r="BL18" i="3"/>
  <c r="AV42" i="3"/>
  <c r="BM42" i="3" s="1"/>
  <c r="AT23" i="1"/>
  <c r="AV49" i="2"/>
  <c r="BL19" i="3"/>
  <c r="AV43" i="3"/>
  <c r="AO141" i="9"/>
  <c r="BE141" i="9" s="1"/>
  <c r="BE138" i="9"/>
  <c r="AT20" i="1"/>
  <c r="AU86" i="2"/>
  <c r="AT85" i="1"/>
  <c r="AU14" i="2"/>
  <c r="AU15" i="2" s="1"/>
  <c r="AT116" i="1"/>
  <c r="AU86" i="3"/>
  <c r="AT18" i="1"/>
  <c r="BL20" i="2"/>
  <c r="BL23" i="3"/>
  <c r="AU26" i="2"/>
  <c r="BL18" i="2"/>
  <c r="BL22" i="3"/>
  <c r="AU26" i="3"/>
  <c r="AV50" i="3" s="1"/>
  <c r="AT22" i="1"/>
  <c r="BL24" i="2"/>
  <c r="BL24" i="3"/>
  <c r="BL20" i="3"/>
  <c r="BL23" i="2"/>
  <c r="BL19" i="2"/>
  <c r="BL21" i="2"/>
  <c r="BL21" i="3"/>
  <c r="AT16" i="1"/>
  <c r="AT25" i="1" s="1"/>
  <c r="AU74" i="2"/>
  <c r="AT17" i="1"/>
  <c r="AT21" i="1"/>
  <c r="AT12" i="1"/>
  <c r="AT137" i="1" s="1"/>
  <c r="AU74" i="3"/>
  <c r="AT19" i="1"/>
  <c r="AT36" i="1"/>
  <c r="AU48" i="1" l="1"/>
  <c r="BC48" i="1"/>
  <c r="AT153" i="1"/>
  <c r="AU41" i="1"/>
  <c r="BB16" i="1"/>
  <c r="BC41" i="1"/>
  <c r="AV50" i="2"/>
  <c r="AT14" i="1"/>
  <c r="AT166" i="1"/>
  <c r="AT152" i="1"/>
  <c r="AT168" i="1"/>
  <c r="AT24" i="1"/>
  <c r="AT167" i="1"/>
  <c r="AT151" i="1"/>
  <c r="AU49" i="1" l="1"/>
  <c r="AT146" i="1"/>
  <c r="AT145" i="1"/>
  <c r="AT147" i="1"/>
  <c r="AT131" i="3"/>
  <c r="AT132" i="3"/>
  <c r="AT133" i="3"/>
  <c r="AT134" i="3"/>
  <c r="AT135" i="3"/>
  <c r="AT136" i="3"/>
  <c r="AT137" i="3"/>
  <c r="AT138" i="3"/>
  <c r="AT140" i="2"/>
  <c r="AT131" i="2"/>
  <c r="AT132" i="2"/>
  <c r="AT133" i="2"/>
  <c r="AT134" i="2"/>
  <c r="AT135" i="2"/>
  <c r="AT136" i="2"/>
  <c r="AT137" i="2"/>
  <c r="AT138" i="2"/>
  <c r="AT123" i="3"/>
  <c r="AT124" i="3"/>
  <c r="AT126" i="3"/>
  <c r="AT125" i="3"/>
  <c r="AT121" i="3"/>
  <c r="AT124" i="2"/>
  <c r="AT123" i="2"/>
  <c r="AT125" i="2"/>
  <c r="AT126" i="2"/>
  <c r="AT121" i="2"/>
  <c r="AT113" i="2"/>
  <c r="BK113" i="2" s="1"/>
  <c r="AT114" i="2"/>
  <c r="AT112" i="2"/>
  <c r="BK112" i="2" s="1"/>
  <c r="AT111" i="2"/>
  <c r="BK111" i="2" s="1"/>
  <c r="AT110" i="2"/>
  <c r="BK110" i="2" s="1"/>
  <c r="AT115" i="2"/>
  <c r="AT109" i="2"/>
  <c r="BK109" i="2" s="1"/>
  <c r="AT112" i="3"/>
  <c r="AT111" i="3"/>
  <c r="AT113" i="3"/>
  <c r="AT114" i="3"/>
  <c r="AT110" i="3"/>
  <c r="AT115" i="3"/>
  <c r="AT109" i="3"/>
  <c r="AS109" i="1" s="1"/>
  <c r="BA105" i="3"/>
  <c r="AZ105" i="3"/>
  <c r="AY105" i="3"/>
  <c r="AX105" i="3"/>
  <c r="AW105" i="3"/>
  <c r="AV105" i="3"/>
  <c r="AU105" i="3"/>
  <c r="BA105" i="2"/>
  <c r="AZ105" i="2"/>
  <c r="AY105" i="2"/>
  <c r="AX105" i="2"/>
  <c r="AW105" i="2"/>
  <c r="AV105" i="2"/>
  <c r="AU105" i="2"/>
  <c r="AT97" i="2"/>
  <c r="AT98" i="2"/>
  <c r="AT99" i="2"/>
  <c r="AT100" i="2"/>
  <c r="AT101" i="2"/>
  <c r="AT102" i="2"/>
  <c r="AT103" i="2"/>
  <c r="AT104" i="2"/>
  <c r="AT97" i="3"/>
  <c r="AT98" i="3"/>
  <c r="AT99" i="3"/>
  <c r="AT100" i="3"/>
  <c r="AT101" i="3"/>
  <c r="AT102" i="3"/>
  <c r="AT103" i="3"/>
  <c r="AT104" i="3"/>
  <c r="AT90" i="3"/>
  <c r="AT91" i="3"/>
  <c r="AT91" i="2"/>
  <c r="AT90" i="2"/>
  <c r="AT92" i="2" s="1"/>
  <c r="AT54" i="2"/>
  <c r="AT55" i="2"/>
  <c r="AT56" i="2"/>
  <c r="AT57" i="2"/>
  <c r="AT58" i="2"/>
  <c r="AT59" i="2"/>
  <c r="AT60" i="2"/>
  <c r="AT61" i="2"/>
  <c r="AT54" i="3"/>
  <c r="AT55" i="3"/>
  <c r="AT56" i="3"/>
  <c r="AT57" i="3"/>
  <c r="AT58" i="3"/>
  <c r="AT59" i="3"/>
  <c r="AT60" i="3"/>
  <c r="AT61" i="3"/>
  <c r="AT30" i="3"/>
  <c r="AT31" i="3"/>
  <c r="AT32" i="3"/>
  <c r="AT33" i="3"/>
  <c r="AT34" i="3"/>
  <c r="AT35" i="3"/>
  <c r="AT36" i="3"/>
  <c r="AT37" i="3"/>
  <c r="AT30" i="2"/>
  <c r="AT31" i="2"/>
  <c r="AS29" i="1" s="1"/>
  <c r="AT32" i="2"/>
  <c r="AT33" i="2"/>
  <c r="AT34" i="2"/>
  <c r="AT35" i="2"/>
  <c r="AS33" i="1" s="1"/>
  <c r="AT36" i="2"/>
  <c r="AT37" i="2"/>
  <c r="AT18" i="3"/>
  <c r="AT19" i="3"/>
  <c r="AT20" i="3"/>
  <c r="AT21" i="3"/>
  <c r="AT22" i="3"/>
  <c r="AT23" i="3"/>
  <c r="AT24" i="3"/>
  <c r="AT25" i="3"/>
  <c r="AU49" i="3" s="1"/>
  <c r="AT18" i="2"/>
  <c r="AU42" i="2" s="1"/>
  <c r="AT19" i="2"/>
  <c r="AT20" i="2"/>
  <c r="AT21" i="2"/>
  <c r="AT22" i="2"/>
  <c r="AU46" i="2" s="1"/>
  <c r="AT23" i="2"/>
  <c r="AT24" i="2"/>
  <c r="AT25" i="2"/>
  <c r="AU49" i="2" s="1"/>
  <c r="AT13" i="3"/>
  <c r="AT4" i="3"/>
  <c r="AT5" i="3"/>
  <c r="AT6" i="3"/>
  <c r="AT80" i="3" s="1"/>
  <c r="AT7" i="3"/>
  <c r="AT8" i="3"/>
  <c r="AT9" i="3"/>
  <c r="AT10" i="3"/>
  <c r="AT84" i="3" s="1"/>
  <c r="AT11" i="3"/>
  <c r="AT13" i="2"/>
  <c r="AT4" i="2"/>
  <c r="AT5" i="2"/>
  <c r="AT6" i="2"/>
  <c r="AT7" i="2"/>
  <c r="AT81" i="2" s="1"/>
  <c r="AT8" i="2"/>
  <c r="AT9" i="2"/>
  <c r="AT10" i="2"/>
  <c r="AT11" i="2"/>
  <c r="AT85" i="2" s="1"/>
  <c r="C9" i="4" l="1"/>
  <c r="AS110" i="1"/>
  <c r="AT39" i="3"/>
  <c r="BK39" i="3" s="1"/>
  <c r="AS17" i="1"/>
  <c r="AT79" i="2"/>
  <c r="AS28" i="1"/>
  <c r="AT39" i="2"/>
  <c r="BK39" i="2" s="1"/>
  <c r="AS21" i="1"/>
  <c r="AT83" i="2"/>
  <c r="AS32" i="1"/>
  <c r="AT69" i="2"/>
  <c r="AS13" i="1"/>
  <c r="AS61" i="1"/>
  <c r="AT82" i="3"/>
  <c r="AT78" i="3"/>
  <c r="AT105" i="3"/>
  <c r="AS91" i="1"/>
  <c r="AS30" i="1"/>
  <c r="AS5" i="1"/>
  <c r="AS18" i="1"/>
  <c r="AU44" i="2"/>
  <c r="AT68" i="2"/>
  <c r="AT105" i="2"/>
  <c r="AT139" i="2"/>
  <c r="AT141" i="2" s="1"/>
  <c r="AS8" i="1"/>
  <c r="AS4" i="1"/>
  <c r="AS9" i="1"/>
  <c r="BK23" i="2"/>
  <c r="AU47" i="2"/>
  <c r="BK19" i="2"/>
  <c r="AU43" i="2"/>
  <c r="BK23" i="3"/>
  <c r="AU47" i="3"/>
  <c r="BK19" i="3"/>
  <c r="AU43" i="3"/>
  <c r="AT71" i="3"/>
  <c r="AT67" i="3"/>
  <c r="AT71" i="2"/>
  <c r="AT67" i="2"/>
  <c r="AT73" i="2"/>
  <c r="AT139" i="3"/>
  <c r="AS22" i="1"/>
  <c r="AU48" i="2"/>
  <c r="BK20" i="3"/>
  <c r="AU44" i="3"/>
  <c r="AT72" i="2"/>
  <c r="BK22" i="3"/>
  <c r="AU46" i="3"/>
  <c r="AS16" i="1"/>
  <c r="BK18" i="3"/>
  <c r="AU42" i="3"/>
  <c r="AT70" i="3"/>
  <c r="AT66" i="3"/>
  <c r="AT70" i="2"/>
  <c r="AT62" i="2"/>
  <c r="AT63" i="2" s="1"/>
  <c r="AS104" i="1"/>
  <c r="AT116" i="3"/>
  <c r="AS113" i="1"/>
  <c r="AS115" i="1"/>
  <c r="AS114" i="1"/>
  <c r="BK114" i="2"/>
  <c r="BK18" i="2"/>
  <c r="BK24" i="3"/>
  <c r="AU48" i="3"/>
  <c r="AT84" i="2"/>
  <c r="AS6" i="1"/>
  <c r="AS11" i="1"/>
  <c r="AS7" i="1"/>
  <c r="AS20" i="1"/>
  <c r="BK21" i="2"/>
  <c r="AU45" i="2"/>
  <c r="BK21" i="3"/>
  <c r="AU45" i="3"/>
  <c r="AT73" i="3"/>
  <c r="AT69" i="3"/>
  <c r="AS111" i="1"/>
  <c r="BK22" i="2"/>
  <c r="AT148" i="1"/>
  <c r="AT80" i="2"/>
  <c r="AT68" i="3"/>
  <c r="AT79" i="3"/>
  <c r="AT12" i="3"/>
  <c r="AT14" i="3" s="1"/>
  <c r="AT15" i="3" s="1"/>
  <c r="AS10" i="1"/>
  <c r="AS34" i="1"/>
  <c r="AT26" i="3"/>
  <c r="AT66" i="2"/>
  <c r="AS90" i="1"/>
  <c r="AT127" i="3"/>
  <c r="AT38" i="2"/>
  <c r="AT38" i="3"/>
  <c r="AT62" i="3"/>
  <c r="AT63" i="3" s="1"/>
  <c r="AT78" i="2"/>
  <c r="AT82" i="2"/>
  <c r="AT81" i="3"/>
  <c r="AT85" i="3"/>
  <c r="AT92" i="3"/>
  <c r="BK20" i="2"/>
  <c r="BK24" i="2"/>
  <c r="AT26" i="2"/>
  <c r="AT72" i="3"/>
  <c r="AT83" i="3"/>
  <c r="AT12" i="2"/>
  <c r="AT116" i="2"/>
  <c r="AT127" i="2"/>
  <c r="AS112" i="1"/>
  <c r="AS35" i="1"/>
  <c r="AS31" i="1"/>
  <c r="AS23" i="1"/>
  <c r="AT48" i="1" s="1"/>
  <c r="AS19" i="1"/>
  <c r="AS25" i="1" l="1"/>
  <c r="AT86" i="2"/>
  <c r="AU142" i="1"/>
  <c r="AS151" i="1"/>
  <c r="AS92" i="1"/>
  <c r="AS85" i="1"/>
  <c r="AT14" i="2"/>
  <c r="AT15" i="2" s="1"/>
  <c r="AS153" i="1"/>
  <c r="AS132" i="1"/>
  <c r="AU50" i="3"/>
  <c r="AT142" i="1"/>
  <c r="AS136" i="1"/>
  <c r="AS142" i="1" s="1"/>
  <c r="AS133" i="1"/>
  <c r="AU50" i="2"/>
  <c r="AS131" i="1"/>
  <c r="AS168" i="1"/>
  <c r="AS12" i="1"/>
  <c r="AS137" i="1" s="1"/>
  <c r="AS135" i="1"/>
  <c r="AS134" i="1"/>
  <c r="AS130" i="1"/>
  <c r="AS152" i="1"/>
  <c r="AS73" i="1"/>
  <c r="AT86" i="3"/>
  <c r="AT74" i="2"/>
  <c r="AS24" i="1"/>
  <c r="AS167" i="1"/>
  <c r="AS116" i="1"/>
  <c r="AT74" i="3"/>
  <c r="AS166" i="1"/>
  <c r="AS14" i="1" l="1"/>
  <c r="AU140" i="1"/>
  <c r="AU141" i="1"/>
  <c r="AT140" i="1"/>
  <c r="AS141" i="1"/>
  <c r="AS140" i="1"/>
  <c r="AT141" i="1"/>
  <c r="AS146" i="1"/>
  <c r="AS147" i="1"/>
  <c r="AS145" i="1"/>
  <c r="AU143" i="1" l="1"/>
  <c r="AT143" i="1"/>
  <c r="AS148" i="1"/>
  <c r="AS143" i="1"/>
  <c r="B89" i="5"/>
  <c r="C89" i="5"/>
  <c r="D89" i="5"/>
  <c r="E89" i="5"/>
  <c r="F89" i="5"/>
  <c r="G89" i="5"/>
  <c r="H89" i="5"/>
  <c r="I89" i="5"/>
  <c r="J89" i="5"/>
  <c r="K89" i="5"/>
  <c r="L89" i="5"/>
  <c r="M89" i="5"/>
  <c r="F90" i="5" l="1"/>
  <c r="G90" i="5"/>
  <c r="H90" i="5"/>
  <c r="I90" i="5"/>
  <c r="J90" i="5"/>
  <c r="K90" i="5"/>
  <c r="L90" i="5"/>
  <c r="M90" i="5"/>
  <c r="A1" i="5"/>
  <c r="F61" i="5"/>
  <c r="G61" i="5"/>
  <c r="H61" i="5"/>
  <c r="I61" i="5"/>
  <c r="J61" i="5"/>
  <c r="K61" i="5"/>
  <c r="L61" i="5"/>
  <c r="M61" i="5"/>
  <c r="F60" i="5"/>
  <c r="G60" i="5"/>
  <c r="H60" i="5"/>
  <c r="I60" i="5"/>
  <c r="J60" i="5"/>
  <c r="K60" i="5"/>
  <c r="L60" i="5"/>
  <c r="M60" i="5"/>
  <c r="B42" i="5"/>
  <c r="C42" i="5"/>
  <c r="D42" i="5"/>
  <c r="E42" i="5"/>
  <c r="F42" i="5"/>
  <c r="G42" i="5"/>
  <c r="H42" i="5"/>
  <c r="I42" i="5"/>
  <c r="J42" i="5"/>
  <c r="K42" i="5"/>
  <c r="L42" i="5"/>
  <c r="M42" i="5"/>
  <c r="F44" i="5"/>
  <c r="G44" i="5"/>
  <c r="H44" i="5"/>
  <c r="I44" i="5"/>
  <c r="J44" i="5"/>
  <c r="K44" i="5"/>
  <c r="L44" i="5"/>
  <c r="M44" i="5"/>
  <c r="F43" i="5"/>
  <c r="G43" i="5"/>
  <c r="H43" i="5"/>
  <c r="I43" i="5"/>
  <c r="J43" i="5"/>
  <c r="K43" i="5"/>
  <c r="L43" i="5"/>
  <c r="M43" i="5"/>
  <c r="T3" i="5"/>
  <c r="U3" i="5"/>
  <c r="V3" i="5"/>
  <c r="W3" i="5"/>
  <c r="X3" i="5"/>
  <c r="Y3" i="5"/>
  <c r="Z3" i="5"/>
  <c r="AA3" i="5"/>
  <c r="AB3" i="5"/>
  <c r="AC3" i="5"/>
  <c r="AD3" i="5"/>
  <c r="AE3" i="5"/>
  <c r="X4" i="5"/>
  <c r="Y4" i="5"/>
  <c r="Z4" i="5"/>
  <c r="AA4" i="5"/>
  <c r="AB4" i="5"/>
  <c r="AC4" i="5"/>
  <c r="AD4" i="5"/>
  <c r="AE4" i="5"/>
  <c r="X5" i="5"/>
  <c r="Y5" i="5"/>
  <c r="Z5" i="5"/>
  <c r="AA5" i="5"/>
  <c r="AB5" i="5"/>
  <c r="AC5" i="5"/>
  <c r="AD5" i="5"/>
  <c r="AE5" i="5"/>
  <c r="X6" i="5"/>
  <c r="Y6" i="5"/>
  <c r="Z6" i="5"/>
  <c r="AA6" i="5"/>
  <c r="AB6" i="5"/>
  <c r="AC6" i="5"/>
  <c r="AD6" i="5"/>
  <c r="AE6" i="5"/>
  <c r="X7" i="5"/>
  <c r="Y7" i="5"/>
  <c r="Z7" i="5"/>
  <c r="AA7" i="5"/>
  <c r="AB7" i="5"/>
  <c r="AC7" i="5"/>
  <c r="AD7" i="5"/>
  <c r="AE7" i="5"/>
  <c r="X8" i="5"/>
  <c r="Y8" i="5"/>
  <c r="Z8" i="5"/>
  <c r="AA8" i="5"/>
  <c r="AB8" i="5"/>
  <c r="AC8" i="5"/>
  <c r="AD8" i="5"/>
  <c r="AE8" i="5"/>
  <c r="X9" i="5"/>
  <c r="Y9" i="5"/>
  <c r="Z9" i="5"/>
  <c r="AA9" i="5"/>
  <c r="AB9" i="5"/>
  <c r="AC9" i="5"/>
  <c r="AD9" i="5"/>
  <c r="AE9" i="5"/>
  <c r="X10" i="5"/>
  <c r="Y10" i="5"/>
  <c r="Z10" i="5"/>
  <c r="AA10" i="5"/>
  <c r="AB10" i="5"/>
  <c r="AC10" i="5"/>
  <c r="AD10" i="5"/>
  <c r="AE10" i="5"/>
  <c r="T11" i="5"/>
  <c r="X11" i="5"/>
  <c r="Y11" i="5"/>
  <c r="Z11" i="5"/>
  <c r="AA11" i="5"/>
  <c r="AB11" i="5"/>
  <c r="AC11" i="5"/>
  <c r="AD11" i="5"/>
  <c r="AE11" i="5"/>
  <c r="B3" i="5"/>
  <c r="C3" i="5"/>
  <c r="D3" i="5"/>
  <c r="E3" i="5"/>
  <c r="F3" i="5"/>
  <c r="G3" i="5"/>
  <c r="H3" i="5"/>
  <c r="I3" i="5"/>
  <c r="J3" i="5"/>
  <c r="K3" i="5"/>
  <c r="L3" i="5"/>
  <c r="M3" i="5"/>
  <c r="F4" i="5"/>
  <c r="G4" i="5"/>
  <c r="H4" i="5"/>
  <c r="I4" i="5"/>
  <c r="J4" i="5"/>
  <c r="K4" i="5"/>
  <c r="L4" i="5"/>
  <c r="M4" i="5"/>
  <c r="F5" i="5"/>
  <c r="G5" i="5"/>
  <c r="H5" i="5"/>
  <c r="I5" i="5"/>
  <c r="J5" i="5"/>
  <c r="K5" i="5"/>
  <c r="L5" i="5"/>
  <c r="M5" i="5"/>
  <c r="F6" i="5"/>
  <c r="G6" i="5"/>
  <c r="H6" i="5"/>
  <c r="I6" i="5"/>
  <c r="J6" i="5"/>
  <c r="K6" i="5"/>
  <c r="L6" i="5"/>
  <c r="M6" i="5"/>
  <c r="F7" i="5"/>
  <c r="G7" i="5"/>
  <c r="H7" i="5"/>
  <c r="I7" i="5"/>
  <c r="J7" i="5"/>
  <c r="K7" i="5"/>
  <c r="L7" i="5"/>
  <c r="M7" i="5"/>
  <c r="F8" i="5"/>
  <c r="G8" i="5"/>
  <c r="H8" i="5"/>
  <c r="I8" i="5"/>
  <c r="J8" i="5"/>
  <c r="K8" i="5"/>
  <c r="L8" i="5"/>
  <c r="M8" i="5"/>
  <c r="F9" i="5"/>
  <c r="G9" i="5"/>
  <c r="H9" i="5"/>
  <c r="I9" i="5"/>
  <c r="J9" i="5"/>
  <c r="K9" i="5"/>
  <c r="L9" i="5"/>
  <c r="M9" i="5"/>
  <c r="F10" i="5"/>
  <c r="G10" i="5"/>
  <c r="H10" i="5"/>
  <c r="I10" i="5"/>
  <c r="J10" i="5"/>
  <c r="K10" i="5"/>
  <c r="L10" i="5"/>
  <c r="M10" i="5"/>
  <c r="B11" i="5"/>
  <c r="F11" i="5"/>
  <c r="G11" i="5"/>
  <c r="H11" i="5"/>
  <c r="I11" i="5"/>
  <c r="J11" i="5"/>
  <c r="K11" i="5"/>
  <c r="L11" i="5"/>
  <c r="M11" i="5"/>
  <c r="AS131" i="3"/>
  <c r="AS132" i="3"/>
  <c r="AS133" i="3"/>
  <c r="AS134" i="3"/>
  <c r="AS135" i="3"/>
  <c r="AS136" i="3"/>
  <c r="AS137" i="3"/>
  <c r="AS138" i="3"/>
  <c r="BC138" i="3" s="1"/>
  <c r="AS131" i="2"/>
  <c r="AS132" i="2"/>
  <c r="AS133" i="2"/>
  <c r="AS134" i="2"/>
  <c r="AS135" i="2"/>
  <c r="AS136" i="2"/>
  <c r="AS137" i="2"/>
  <c r="AS138" i="2"/>
  <c r="AS124" i="3"/>
  <c r="AS123" i="3"/>
  <c r="AS125" i="3"/>
  <c r="AS126" i="3"/>
  <c r="AS121" i="3"/>
  <c r="AS124" i="2"/>
  <c r="AS123" i="2"/>
  <c r="AS125" i="2"/>
  <c r="AS126" i="2"/>
  <c r="AS121" i="2"/>
  <c r="AS109" i="3"/>
  <c r="AS110" i="3"/>
  <c r="AS111" i="3"/>
  <c r="AS112" i="3"/>
  <c r="AS113" i="3"/>
  <c r="AS114" i="3"/>
  <c r="AS115" i="3"/>
  <c r="AS109" i="2"/>
  <c r="AS110" i="2"/>
  <c r="AS111" i="2"/>
  <c r="AS112" i="2"/>
  <c r="AS113" i="2"/>
  <c r="AS114" i="2"/>
  <c r="AS115" i="2"/>
  <c r="BD104" i="1"/>
  <c r="BC104" i="1"/>
  <c r="AS97" i="3"/>
  <c r="AS98" i="3"/>
  <c r="AS99" i="3"/>
  <c r="AS100" i="3"/>
  <c r="AS101" i="3"/>
  <c r="AS102" i="3"/>
  <c r="AS103" i="3"/>
  <c r="AS104" i="3"/>
  <c r="BC104" i="3" s="1"/>
  <c r="AS97" i="2"/>
  <c r="AS98" i="2"/>
  <c r="AS99" i="2"/>
  <c r="AS100" i="2"/>
  <c r="AS101" i="2"/>
  <c r="AS102" i="2"/>
  <c r="AS103" i="2"/>
  <c r="AS104" i="2"/>
  <c r="AS91" i="2"/>
  <c r="AS90" i="2"/>
  <c r="AS91" i="3"/>
  <c r="AS90" i="3"/>
  <c r="AS54" i="3"/>
  <c r="AS55" i="3"/>
  <c r="AS56" i="3"/>
  <c r="AS57" i="3"/>
  <c r="AS58" i="3"/>
  <c r="AS59" i="3"/>
  <c r="AS60" i="3"/>
  <c r="AS61" i="3"/>
  <c r="AS54" i="2"/>
  <c r="AS55" i="2"/>
  <c r="AS56" i="2"/>
  <c r="AS57" i="2"/>
  <c r="AS58" i="2"/>
  <c r="AS59" i="2"/>
  <c r="AS60" i="2"/>
  <c r="AS61" i="2"/>
  <c r="AD12" i="5" l="1"/>
  <c r="Z12" i="5"/>
  <c r="K12" i="5"/>
  <c r="M12" i="5"/>
  <c r="I12" i="5"/>
  <c r="J12" i="5"/>
  <c r="L12" i="5"/>
  <c r="H12" i="5"/>
  <c r="AC12" i="5"/>
  <c r="AB12" i="5"/>
  <c r="AE12" i="5"/>
  <c r="AA12" i="5"/>
  <c r="AS127" i="3"/>
  <c r="F12" i="5"/>
  <c r="AR90" i="1"/>
  <c r="BB90" i="1" s="1"/>
  <c r="AS105" i="2"/>
  <c r="AS105" i="3"/>
  <c r="AR91" i="1"/>
  <c r="AS127" i="2"/>
  <c r="AS139" i="3"/>
  <c r="AS92" i="2"/>
  <c r="AS139" i="2"/>
  <c r="Y12" i="5"/>
  <c r="G12" i="5"/>
  <c r="X12" i="5"/>
  <c r="AS62" i="2"/>
  <c r="AS63" i="2" s="1"/>
  <c r="AR104" i="1"/>
  <c r="BB104" i="1" s="1"/>
  <c r="AS116" i="2"/>
  <c r="AR109" i="1"/>
  <c r="BB109" i="1" s="1"/>
  <c r="AR61" i="1"/>
  <c r="BB61" i="1" s="1"/>
  <c r="AS62" i="3"/>
  <c r="AS63" i="3" s="1"/>
  <c r="AR115" i="1"/>
  <c r="BB115" i="1" s="1"/>
  <c r="AR113" i="1"/>
  <c r="BB113" i="1" s="1"/>
  <c r="AS92" i="3"/>
  <c r="AR111" i="1"/>
  <c r="BB111" i="1" s="1"/>
  <c r="AR110" i="1"/>
  <c r="AR114" i="1"/>
  <c r="AS116" i="3"/>
  <c r="AR112" i="1"/>
  <c r="BB112" i="1" s="1"/>
  <c r="BB110" i="1"/>
  <c r="BB114" i="1"/>
  <c r="B2" i="1"/>
  <c r="AS30" i="2"/>
  <c r="AS31" i="2"/>
  <c r="AS67" i="2" s="1"/>
  <c r="AS32" i="2"/>
  <c r="AS68" i="2" s="1"/>
  <c r="AS33" i="2"/>
  <c r="AS69" i="2" s="1"/>
  <c r="AS34" i="2"/>
  <c r="AS70" i="2" s="1"/>
  <c r="AS35" i="2"/>
  <c r="AS36" i="2"/>
  <c r="AS72" i="2" s="1"/>
  <c r="AS37" i="2"/>
  <c r="AS73" i="2" s="1"/>
  <c r="AS30" i="3"/>
  <c r="AS31" i="3"/>
  <c r="AS67" i="3" s="1"/>
  <c r="AS32" i="3"/>
  <c r="AS33" i="3"/>
  <c r="AS34" i="3"/>
  <c r="AS70" i="3" s="1"/>
  <c r="AS35" i="3"/>
  <c r="AS71" i="3" s="1"/>
  <c r="AS36" i="3"/>
  <c r="AS72" i="3" s="1"/>
  <c r="AS37" i="3"/>
  <c r="AS18" i="3"/>
  <c r="AS19" i="3"/>
  <c r="AS20" i="3"/>
  <c r="AS21" i="3"/>
  <c r="AS22" i="3"/>
  <c r="AS23" i="3"/>
  <c r="AS24" i="3"/>
  <c r="AS25" i="3"/>
  <c r="AS18" i="2"/>
  <c r="AS19" i="2"/>
  <c r="AS20" i="2"/>
  <c r="AS21" i="2"/>
  <c r="AS22" i="2"/>
  <c r="AS23" i="2"/>
  <c r="AS24" i="2"/>
  <c r="AS25" i="2"/>
  <c r="AS13" i="3"/>
  <c r="AS13" i="2"/>
  <c r="AS4" i="3"/>
  <c r="AS5" i="3"/>
  <c r="AS6" i="3"/>
  <c r="AS7" i="3"/>
  <c r="AS8" i="3"/>
  <c r="AS9" i="3"/>
  <c r="AS10" i="3"/>
  <c r="AS11" i="3"/>
  <c r="BC11" i="3" s="1"/>
  <c r="AS4" i="2"/>
  <c r="AS5" i="2"/>
  <c r="AS6" i="2"/>
  <c r="AS7" i="2"/>
  <c r="AS8" i="2"/>
  <c r="AS9" i="2"/>
  <c r="AS10" i="2"/>
  <c r="AS11" i="2"/>
  <c r="AT48" i="3" l="1"/>
  <c r="AT44" i="3"/>
  <c r="AS39" i="3"/>
  <c r="BJ39" i="3" s="1"/>
  <c r="AT49" i="2"/>
  <c r="AT45" i="2"/>
  <c r="C3" i="7"/>
  <c r="C3" i="8"/>
  <c r="AR92" i="1"/>
  <c r="AS39" i="2"/>
  <c r="BJ39" i="2" s="1"/>
  <c r="AR35" i="1"/>
  <c r="AR73" i="1" s="1"/>
  <c r="BJ18" i="2"/>
  <c r="AT42" i="2"/>
  <c r="AR23" i="1"/>
  <c r="AT49" i="3"/>
  <c r="AR16" i="1"/>
  <c r="BJ22" i="2"/>
  <c r="AT46" i="2"/>
  <c r="BJ21" i="3"/>
  <c r="AT45" i="3"/>
  <c r="BJ24" i="2"/>
  <c r="AT48" i="2"/>
  <c r="BJ20" i="2"/>
  <c r="AT44" i="2"/>
  <c r="AR20" i="1"/>
  <c r="AR33" i="1"/>
  <c r="BB33" i="1" s="1"/>
  <c r="BJ22" i="3"/>
  <c r="AT46" i="3"/>
  <c r="AT42" i="3"/>
  <c r="AS26" i="3"/>
  <c r="BJ23" i="2"/>
  <c r="AT47" i="2"/>
  <c r="BJ19" i="2"/>
  <c r="AT43" i="2"/>
  <c r="BJ23" i="3"/>
  <c r="AT47" i="3"/>
  <c r="BJ19" i="3"/>
  <c r="AT43" i="3"/>
  <c r="BJ21" i="2"/>
  <c r="AR28" i="1"/>
  <c r="AS38" i="3"/>
  <c r="AS74" i="3" s="1"/>
  <c r="C2" i="3"/>
  <c r="C2" i="2"/>
  <c r="AS83" i="3"/>
  <c r="W9" i="5"/>
  <c r="AS78" i="3"/>
  <c r="W4" i="5"/>
  <c r="AR18" i="1"/>
  <c r="BB18" i="1" s="1"/>
  <c r="AR153" i="1"/>
  <c r="AR29" i="1"/>
  <c r="AS71" i="2"/>
  <c r="AS79" i="2"/>
  <c r="E5" i="5"/>
  <c r="AS79" i="3"/>
  <c r="W5" i="5"/>
  <c r="AS38" i="2"/>
  <c r="AS74" i="2" s="1"/>
  <c r="AS78" i="2"/>
  <c r="E4" i="5"/>
  <c r="AR22" i="1"/>
  <c r="BB22" i="1" s="1"/>
  <c r="AR11" i="1"/>
  <c r="AR85" i="1" s="1"/>
  <c r="E11" i="5"/>
  <c r="AS85" i="2"/>
  <c r="E7" i="5"/>
  <c r="AS81" i="2"/>
  <c r="AS85" i="3"/>
  <c r="W11" i="5"/>
  <c r="AS81" i="3"/>
  <c r="W7" i="5"/>
  <c r="AR4" i="1"/>
  <c r="BB4" i="1" s="1"/>
  <c r="AS66" i="2"/>
  <c r="AS83" i="2"/>
  <c r="E9" i="5"/>
  <c r="AS82" i="2"/>
  <c r="E8" i="5"/>
  <c r="AS82" i="3"/>
  <c r="W8" i="5"/>
  <c r="AR10" i="1"/>
  <c r="E10" i="5"/>
  <c r="AS84" i="2"/>
  <c r="E6" i="5"/>
  <c r="AS80" i="2"/>
  <c r="AS84" i="3"/>
  <c r="W10" i="5"/>
  <c r="AS80" i="3"/>
  <c r="W6" i="5"/>
  <c r="AS26" i="2"/>
  <c r="E44" i="5"/>
  <c r="AS12" i="3"/>
  <c r="AS86" i="3" s="1"/>
  <c r="AR7" i="1"/>
  <c r="AS73" i="3"/>
  <c r="AR8" i="1"/>
  <c r="AR17" i="1"/>
  <c r="BB17" i="1" s="1"/>
  <c r="AR21" i="1"/>
  <c r="BJ18" i="3"/>
  <c r="BJ20" i="3"/>
  <c r="BJ24" i="3"/>
  <c r="AR30" i="1"/>
  <c r="BB30" i="1" s="1"/>
  <c r="AR34" i="1"/>
  <c r="BB34" i="1" s="1"/>
  <c r="AS69" i="3"/>
  <c r="AR5" i="1"/>
  <c r="AR9" i="1"/>
  <c r="AR31" i="1"/>
  <c r="BB31" i="1" s="1"/>
  <c r="AS66" i="3"/>
  <c r="AS68" i="3"/>
  <c r="AR6" i="1"/>
  <c r="AR19" i="1"/>
  <c r="BB19" i="1" s="1"/>
  <c r="AR32" i="1"/>
  <c r="BB20" i="1"/>
  <c r="BB28" i="1"/>
  <c r="BB21" i="1"/>
  <c r="AS12" i="2"/>
  <c r="AS86" i="2" s="1"/>
  <c r="AR13" i="1"/>
  <c r="AR25" i="1" l="1"/>
  <c r="BD49" i="8"/>
  <c r="BD46" i="8"/>
  <c r="BU46" i="8" s="1"/>
  <c r="BD47" i="8"/>
  <c r="BU47" i="8" s="1"/>
  <c r="BD48" i="8"/>
  <c r="BU48" i="8" s="1"/>
  <c r="BD50" i="8"/>
  <c r="BU50" i="8" s="1"/>
  <c r="BD45" i="8"/>
  <c r="BU45" i="8" s="1"/>
  <c r="BC42" i="8"/>
  <c r="BD44" i="8"/>
  <c r="BU44" i="8" s="1"/>
  <c r="BD43" i="8"/>
  <c r="BU43" i="8" s="1"/>
  <c r="BD42" i="8"/>
  <c r="BU42" i="8" s="1"/>
  <c r="BD49" i="7"/>
  <c r="BD43" i="7"/>
  <c r="BU43" i="7" s="1"/>
  <c r="BD47" i="7"/>
  <c r="BU47" i="7" s="1"/>
  <c r="BD46" i="7"/>
  <c r="BU46" i="7" s="1"/>
  <c r="BC42" i="7"/>
  <c r="BD48" i="7"/>
  <c r="BU48" i="7" s="1"/>
  <c r="BD44" i="7"/>
  <c r="BU44" i="7" s="1"/>
  <c r="BD42" i="7"/>
  <c r="BU42" i="7" s="1"/>
  <c r="BD50" i="7"/>
  <c r="BU50" i="7" s="1"/>
  <c r="BD45" i="7"/>
  <c r="BU45" i="7" s="1"/>
  <c r="BU138" i="3"/>
  <c r="BD49" i="3"/>
  <c r="AT50" i="2"/>
  <c r="AT50" i="3"/>
  <c r="AC48" i="8"/>
  <c r="AM48" i="8" s="1"/>
  <c r="AC46" i="8"/>
  <c r="AM46" i="8" s="1"/>
  <c r="AC44" i="8"/>
  <c r="AM44" i="8" s="1"/>
  <c r="AC42" i="8"/>
  <c r="AM42" i="8" s="1"/>
  <c r="AC47" i="8"/>
  <c r="AM47" i="8" s="1"/>
  <c r="AC50" i="8"/>
  <c r="AM50" i="8" s="1"/>
  <c r="AC43" i="8"/>
  <c r="AM43" i="8" s="1"/>
  <c r="AC45" i="8"/>
  <c r="AM45" i="8" s="1"/>
  <c r="BT90" i="8"/>
  <c r="BC49" i="8"/>
  <c r="BT123" i="8"/>
  <c r="BT124" i="8"/>
  <c r="BC50" i="8"/>
  <c r="BC44" i="8"/>
  <c r="BT101" i="8"/>
  <c r="BT105" i="8"/>
  <c r="BT121" i="8"/>
  <c r="BT97" i="8"/>
  <c r="BT122" i="8"/>
  <c r="BT91" i="8"/>
  <c r="BC46" i="8"/>
  <c r="BT98" i="8"/>
  <c r="BT126" i="8"/>
  <c r="BT99" i="8"/>
  <c r="BT100" i="8"/>
  <c r="BC45" i="8"/>
  <c r="BC43" i="8"/>
  <c r="BT43" i="8" s="1"/>
  <c r="BC47" i="8"/>
  <c r="BT102" i="8"/>
  <c r="BT103" i="8"/>
  <c r="BT120" i="8"/>
  <c r="BT125" i="8"/>
  <c r="BC48" i="8"/>
  <c r="BT48" i="8" s="1"/>
  <c r="BT71" i="8"/>
  <c r="BT67" i="8"/>
  <c r="BT68" i="8"/>
  <c r="BT69" i="8"/>
  <c r="BT92" i="8"/>
  <c r="BT66" i="8"/>
  <c r="BT70" i="8"/>
  <c r="BT72" i="8"/>
  <c r="BT74" i="8"/>
  <c r="AC46" i="7"/>
  <c r="AM46" i="7" s="1"/>
  <c r="AC48" i="7"/>
  <c r="AM48" i="7" s="1"/>
  <c r="AC42" i="7"/>
  <c r="AM42" i="7" s="1"/>
  <c r="AC44" i="7"/>
  <c r="AM44" i="7" s="1"/>
  <c r="AC47" i="7"/>
  <c r="AM47" i="7" s="1"/>
  <c r="AC50" i="7"/>
  <c r="AM50" i="7" s="1"/>
  <c r="AC43" i="7"/>
  <c r="AM43" i="7" s="1"/>
  <c r="AC45" i="7"/>
  <c r="AM45" i="7" s="1"/>
  <c r="BT92" i="7"/>
  <c r="BT123" i="7"/>
  <c r="BT122" i="7"/>
  <c r="BT120" i="7"/>
  <c r="BC43" i="7"/>
  <c r="BC48" i="7"/>
  <c r="BT100" i="7"/>
  <c r="BT125" i="7"/>
  <c r="BT98" i="7"/>
  <c r="BC46" i="7"/>
  <c r="BC49" i="7"/>
  <c r="BT91" i="7"/>
  <c r="BT97" i="7"/>
  <c r="BT103" i="7"/>
  <c r="BT102" i="7"/>
  <c r="BC45" i="7"/>
  <c r="BT45" i="7" s="1"/>
  <c r="BC47" i="7"/>
  <c r="BT47" i="7" s="1"/>
  <c r="BT90" i="7"/>
  <c r="BT124" i="7"/>
  <c r="BT99" i="7"/>
  <c r="BT101" i="7"/>
  <c r="BT121" i="7"/>
  <c r="BC44" i="7"/>
  <c r="BT105" i="7"/>
  <c r="BT69" i="7"/>
  <c r="BT68" i="7"/>
  <c r="BT72" i="7"/>
  <c r="BT67" i="7"/>
  <c r="BT70" i="7"/>
  <c r="BT66" i="7"/>
  <c r="BT126" i="7"/>
  <c r="BT71" i="7"/>
  <c r="BC50" i="7"/>
  <c r="BT74" i="7"/>
  <c r="BB35" i="1"/>
  <c r="AR133" i="1"/>
  <c r="W12" i="5"/>
  <c r="BB23" i="1"/>
  <c r="AS48" i="1"/>
  <c r="BB11" i="1"/>
  <c r="AR24" i="1"/>
  <c r="AR145" i="1" s="1"/>
  <c r="AR131" i="1"/>
  <c r="AR134" i="1"/>
  <c r="AR132" i="1"/>
  <c r="AR135" i="1"/>
  <c r="AR130" i="1"/>
  <c r="AR136" i="1"/>
  <c r="AC45" i="2"/>
  <c r="AC48" i="2"/>
  <c r="AC44" i="2"/>
  <c r="AC46" i="2"/>
  <c r="AC47" i="2"/>
  <c r="AC43" i="2"/>
  <c r="AC42" i="2"/>
  <c r="AC45" i="3"/>
  <c r="AC46" i="3"/>
  <c r="AC42" i="3"/>
  <c r="AC48" i="3"/>
  <c r="AC44" i="3"/>
  <c r="AC47" i="3"/>
  <c r="AC43" i="3"/>
  <c r="E43" i="5"/>
  <c r="AS14" i="2"/>
  <c r="AS15" i="2" s="1"/>
  <c r="BB32" i="1"/>
  <c r="AR151" i="1"/>
  <c r="AR166" i="1"/>
  <c r="BB29" i="1"/>
  <c r="AR152" i="1"/>
  <c r="AR167" i="1"/>
  <c r="AR168" i="1"/>
  <c r="AS14" i="3"/>
  <c r="AR12" i="1"/>
  <c r="AR137" i="1" s="1"/>
  <c r="E12" i="5"/>
  <c r="AR36" i="1"/>
  <c r="BB36" i="1" s="1"/>
  <c r="BB24" i="1"/>
  <c r="BT48" i="7" l="1"/>
  <c r="BT50" i="7"/>
  <c r="BT42" i="7"/>
  <c r="E61" i="5"/>
  <c r="AS15" i="3"/>
  <c r="AR147" i="1"/>
  <c r="AR146" i="1"/>
  <c r="BT44" i="8"/>
  <c r="BT47" i="8"/>
  <c r="BT43" i="7"/>
  <c r="BT46" i="8"/>
  <c r="BT50" i="8"/>
  <c r="BT44" i="7"/>
  <c r="BT45" i="8"/>
  <c r="BT42" i="8"/>
  <c r="BT46" i="7"/>
  <c r="E90" i="5"/>
  <c r="AR14" i="1"/>
  <c r="E60" i="5"/>
  <c r="AR148" i="1" l="1"/>
  <c r="AR123" i="3"/>
  <c r="AR124" i="3"/>
  <c r="AR125" i="3"/>
  <c r="AR121" i="3"/>
  <c r="AR123" i="2"/>
  <c r="AR124" i="2"/>
  <c r="AR125" i="2"/>
  <c r="AR121" i="2"/>
  <c r="AR140" i="2"/>
  <c r="AR131" i="3"/>
  <c r="AR132" i="3"/>
  <c r="AR133" i="3"/>
  <c r="AR134" i="3"/>
  <c r="AR135" i="3"/>
  <c r="AR136" i="3"/>
  <c r="AR137" i="3"/>
  <c r="AR138" i="3"/>
  <c r="AR97" i="3"/>
  <c r="AR98" i="3"/>
  <c r="AR99" i="3"/>
  <c r="AR100" i="3"/>
  <c r="AR101" i="3"/>
  <c r="AR102" i="3"/>
  <c r="AR103" i="3"/>
  <c r="AR104" i="3"/>
  <c r="AR131" i="2"/>
  <c r="AR132" i="2"/>
  <c r="AR133" i="2"/>
  <c r="AR134" i="2"/>
  <c r="AR135" i="2"/>
  <c r="AR136" i="2"/>
  <c r="AR137" i="2"/>
  <c r="AR138" i="2"/>
  <c r="AR97" i="2"/>
  <c r="AR98" i="2"/>
  <c r="AR99" i="2"/>
  <c r="AR100" i="2"/>
  <c r="AR101" i="2"/>
  <c r="AR102" i="2"/>
  <c r="AR103" i="2"/>
  <c r="AR104" i="2"/>
  <c r="AQ104" i="1" s="1"/>
  <c r="AR54" i="3"/>
  <c r="AR55" i="3"/>
  <c r="AR56" i="3"/>
  <c r="AR57" i="3"/>
  <c r="AR58" i="3"/>
  <c r="AR59" i="3"/>
  <c r="AR60" i="3"/>
  <c r="AR61" i="3"/>
  <c r="AR54" i="2"/>
  <c r="AR55" i="2"/>
  <c r="AR56" i="2"/>
  <c r="AR57" i="2"/>
  <c r="AR58" i="2"/>
  <c r="AR59" i="2"/>
  <c r="AR60" i="2"/>
  <c r="AR61" i="2"/>
  <c r="AR115" i="3"/>
  <c r="BB115" i="3" s="1"/>
  <c r="AR113" i="2"/>
  <c r="BI113" i="2" s="1"/>
  <c r="AR114" i="2"/>
  <c r="BI114" i="2" s="1"/>
  <c r="AR115" i="2"/>
  <c r="AR113" i="3"/>
  <c r="AR114" i="3"/>
  <c r="AR112" i="3"/>
  <c r="AR111" i="3"/>
  <c r="AR110" i="3"/>
  <c r="AR109" i="3"/>
  <c r="AR112" i="2"/>
  <c r="AR111" i="2"/>
  <c r="AR110" i="2"/>
  <c r="AR109" i="2"/>
  <c r="BI109" i="2" s="1"/>
  <c r="AR91" i="3"/>
  <c r="AR90" i="3"/>
  <c r="AR91" i="2"/>
  <c r="AR90" i="2"/>
  <c r="AR30" i="3"/>
  <c r="AR31" i="3"/>
  <c r="AR32" i="3"/>
  <c r="AR33" i="3"/>
  <c r="AR34" i="3"/>
  <c r="AR35" i="3"/>
  <c r="AR36" i="3"/>
  <c r="AR37" i="3"/>
  <c r="AR30" i="2"/>
  <c r="AR31" i="2"/>
  <c r="AQ29" i="1" s="1"/>
  <c r="AR32" i="2"/>
  <c r="AQ30" i="1" s="1"/>
  <c r="AR33" i="2"/>
  <c r="AR34" i="2"/>
  <c r="AR35" i="2"/>
  <c r="AQ33" i="1" s="1"/>
  <c r="AR36" i="2"/>
  <c r="AQ34" i="1" s="1"/>
  <c r="AR37" i="2"/>
  <c r="AR18" i="3"/>
  <c r="AR19" i="3"/>
  <c r="AR20" i="3"/>
  <c r="AR21" i="3"/>
  <c r="AR22" i="3"/>
  <c r="AR23" i="3"/>
  <c r="AR24" i="3"/>
  <c r="AR25" i="3"/>
  <c r="AR18" i="2"/>
  <c r="AR19" i="2"/>
  <c r="AR20" i="2"/>
  <c r="AQ18" i="1" s="1"/>
  <c r="AR21" i="2"/>
  <c r="AR22" i="2"/>
  <c r="AR23" i="2"/>
  <c r="AR24" i="2"/>
  <c r="AR25" i="2"/>
  <c r="AR13" i="3"/>
  <c r="AR4" i="3"/>
  <c r="AR5" i="3"/>
  <c r="AR6" i="3"/>
  <c r="V6" i="5" s="1"/>
  <c r="AR7" i="3"/>
  <c r="AR8" i="3"/>
  <c r="AR9" i="3"/>
  <c r="AR10" i="3"/>
  <c r="V10" i="5" s="1"/>
  <c r="AR11" i="3"/>
  <c r="AR13" i="2"/>
  <c r="AR4" i="2"/>
  <c r="D4" i="5" s="1"/>
  <c r="AR5" i="2"/>
  <c r="AR6" i="2"/>
  <c r="AR7" i="2"/>
  <c r="AR8" i="2"/>
  <c r="D8" i="5" s="1"/>
  <c r="AR9" i="2"/>
  <c r="AR10" i="2"/>
  <c r="AR11" i="2"/>
  <c r="AR39" i="2" l="1"/>
  <c r="BI39" i="2" s="1"/>
  <c r="AR127" i="2"/>
  <c r="AR127" i="3"/>
  <c r="AR38" i="3"/>
  <c r="AR39" i="3"/>
  <c r="BI39" i="3" s="1"/>
  <c r="AS49" i="3"/>
  <c r="BB25" i="3"/>
  <c r="AQ91" i="1"/>
  <c r="AR105" i="3"/>
  <c r="AQ13" i="1"/>
  <c r="AQ115" i="1"/>
  <c r="AQ110" i="1"/>
  <c r="BI110" i="2"/>
  <c r="AR70" i="2"/>
  <c r="AR105" i="2"/>
  <c r="AQ112" i="1"/>
  <c r="BI112" i="2"/>
  <c r="AQ111" i="1"/>
  <c r="BI111" i="2"/>
  <c r="AQ8" i="1"/>
  <c r="V8" i="5"/>
  <c r="AR12" i="3"/>
  <c r="AR14" i="3" s="1"/>
  <c r="V4" i="5"/>
  <c r="AQ21" i="1"/>
  <c r="BB46" i="1" s="1"/>
  <c r="BI23" i="2"/>
  <c r="AS47" i="2"/>
  <c r="AQ17" i="1"/>
  <c r="BB42" i="1" s="1"/>
  <c r="BI19" i="2"/>
  <c r="AS43" i="2"/>
  <c r="AR92" i="2"/>
  <c r="AR72" i="2"/>
  <c r="AR68" i="2"/>
  <c r="AQ20" i="1"/>
  <c r="BB45" i="1" s="1"/>
  <c r="BI22" i="2"/>
  <c r="AS46" i="2"/>
  <c r="AQ16" i="1"/>
  <c r="BI18" i="2"/>
  <c r="AS42" i="2"/>
  <c r="AR26" i="3"/>
  <c r="D44" i="5" s="1"/>
  <c r="AR71" i="2"/>
  <c r="AR67" i="2"/>
  <c r="AR78" i="2"/>
  <c r="AQ7" i="1"/>
  <c r="D7" i="5"/>
  <c r="AR80" i="2"/>
  <c r="D6" i="5"/>
  <c r="AR85" i="3"/>
  <c r="V11" i="5"/>
  <c r="AR79" i="2"/>
  <c r="D5" i="5"/>
  <c r="AQ23" i="1"/>
  <c r="AR48" i="1" s="1"/>
  <c r="AS49" i="2"/>
  <c r="BI21" i="2"/>
  <c r="AS45" i="2"/>
  <c r="AR38" i="2"/>
  <c r="AQ32" i="1"/>
  <c r="AR62" i="2"/>
  <c r="AR63" i="2" s="1"/>
  <c r="AR82" i="2"/>
  <c r="AR85" i="2"/>
  <c r="D11" i="5"/>
  <c r="AR84" i="2"/>
  <c r="D10" i="5"/>
  <c r="AR81" i="3"/>
  <c r="V7" i="5"/>
  <c r="AR83" i="2"/>
  <c r="D9" i="5"/>
  <c r="AR83" i="3"/>
  <c r="V9" i="5"/>
  <c r="AR79" i="3"/>
  <c r="V5" i="5"/>
  <c r="BI24" i="2"/>
  <c r="AS48" i="2"/>
  <c r="BI20" i="2"/>
  <c r="AS44" i="2"/>
  <c r="AQ35" i="1"/>
  <c r="AQ31" i="1"/>
  <c r="AQ28" i="1"/>
  <c r="AR73" i="2"/>
  <c r="AR69" i="2"/>
  <c r="AR66" i="2"/>
  <c r="AQ61" i="1"/>
  <c r="AR139" i="2"/>
  <c r="AR141" i="2" s="1"/>
  <c r="AQ114" i="1"/>
  <c r="BI24" i="3"/>
  <c r="AS48" i="3"/>
  <c r="BI20" i="3"/>
  <c r="AS44" i="3"/>
  <c r="AQ22" i="1"/>
  <c r="BB47" i="1" s="1"/>
  <c r="AR71" i="3"/>
  <c r="AR67" i="3"/>
  <c r="AR82" i="3"/>
  <c r="AR84" i="3"/>
  <c r="AR80" i="3"/>
  <c r="AQ4" i="1"/>
  <c r="BI23" i="3"/>
  <c r="AS47" i="3"/>
  <c r="BI19" i="3"/>
  <c r="AS43" i="3"/>
  <c r="AR70" i="3"/>
  <c r="AR66" i="3"/>
  <c r="AR139" i="3"/>
  <c r="BI21" i="3"/>
  <c r="AS45" i="3"/>
  <c r="BI22" i="3"/>
  <c r="AS46" i="3"/>
  <c r="BI18" i="3"/>
  <c r="AS42" i="3"/>
  <c r="AR72" i="3"/>
  <c r="AR68" i="3"/>
  <c r="AR73" i="3"/>
  <c r="AR69" i="3"/>
  <c r="AR78" i="3"/>
  <c r="BB43" i="1"/>
  <c r="AQ11" i="1"/>
  <c r="AR81" i="2"/>
  <c r="AQ5" i="1"/>
  <c r="AQ9" i="1"/>
  <c r="AR26" i="2"/>
  <c r="AQ19" i="1"/>
  <c r="AR62" i="3"/>
  <c r="AR63" i="3" s="1"/>
  <c r="AR12" i="2"/>
  <c r="AQ90" i="1"/>
  <c r="AQ113" i="1"/>
  <c r="AQ6" i="1"/>
  <c r="AQ10" i="1"/>
  <c r="AR92" i="3"/>
  <c r="AQ109" i="1"/>
  <c r="AR116" i="2"/>
  <c r="AR116" i="3"/>
  <c r="BB41" i="1" l="1"/>
  <c r="AQ25" i="1"/>
  <c r="AQ92" i="1"/>
  <c r="AQ153" i="1"/>
  <c r="AR74" i="2"/>
  <c r="D12" i="5"/>
  <c r="AQ151" i="1"/>
  <c r="D61" i="5"/>
  <c r="AR15" i="3"/>
  <c r="AQ73" i="1"/>
  <c r="AQ85" i="1"/>
  <c r="AQ36" i="1"/>
  <c r="BB48" i="1"/>
  <c r="AQ168" i="1"/>
  <c r="AR142" i="1"/>
  <c r="V12" i="5"/>
  <c r="D43" i="5"/>
  <c r="AS50" i="2"/>
  <c r="AQ135" i="1"/>
  <c r="AQ166" i="1"/>
  <c r="AS50" i="3"/>
  <c r="BB44" i="1"/>
  <c r="AQ24" i="1"/>
  <c r="AQ147" i="1" s="1"/>
  <c r="AQ12" i="1"/>
  <c r="AQ131" i="1"/>
  <c r="AR86" i="2"/>
  <c r="AR14" i="2"/>
  <c r="AR15" i="2" s="1"/>
  <c r="AQ116" i="1"/>
  <c r="AR74" i="3"/>
  <c r="AQ130" i="1"/>
  <c r="AQ167" i="1"/>
  <c r="AR86" i="3"/>
  <c r="AQ134" i="1"/>
  <c r="AQ136" i="1"/>
  <c r="AQ133" i="1"/>
  <c r="AQ152" i="1"/>
  <c r="AQ132" i="1"/>
  <c r="AQ131" i="3"/>
  <c r="AQ132" i="3"/>
  <c r="AQ133" i="3"/>
  <c r="AQ134" i="3"/>
  <c r="AQ135" i="3"/>
  <c r="AQ136" i="3"/>
  <c r="AQ137" i="3"/>
  <c r="AQ138" i="3"/>
  <c r="AQ115" i="3"/>
  <c r="AQ113" i="3"/>
  <c r="AQ114" i="3"/>
  <c r="AQ112" i="3"/>
  <c r="AQ111" i="3"/>
  <c r="AQ110" i="3"/>
  <c r="AQ109" i="3"/>
  <c r="AQ115" i="2"/>
  <c r="BB138" i="3" l="1"/>
  <c r="BF138" i="3"/>
  <c r="AQ146" i="1"/>
  <c r="AQ145" i="1"/>
  <c r="AQ148" i="1" s="1"/>
  <c r="AR141" i="1"/>
  <c r="AR140" i="1"/>
  <c r="D60" i="5"/>
  <c r="BB49" i="1"/>
  <c r="D90" i="5"/>
  <c r="AQ14" i="1"/>
  <c r="AQ137" i="1"/>
  <c r="AQ116" i="3"/>
  <c r="AQ139" i="3"/>
  <c r="AQ97" i="3"/>
  <c r="AQ98" i="3"/>
  <c r="AQ99" i="3"/>
  <c r="AQ100" i="3"/>
  <c r="AQ101" i="3"/>
  <c r="AQ102" i="3"/>
  <c r="AQ103" i="3"/>
  <c r="AQ104" i="3"/>
  <c r="AQ97" i="2"/>
  <c r="AQ98" i="2"/>
  <c r="AQ99" i="2"/>
  <c r="AQ100" i="2"/>
  <c r="AQ101" i="2"/>
  <c r="AQ102" i="2"/>
  <c r="AQ103" i="2"/>
  <c r="AQ104" i="2"/>
  <c r="AP104" i="1" s="1"/>
  <c r="AQ138" i="2"/>
  <c r="AP115" i="1"/>
  <c r="AQ54" i="3"/>
  <c r="AQ55" i="3"/>
  <c r="AQ56" i="3"/>
  <c r="AQ57" i="3"/>
  <c r="AQ58" i="3"/>
  <c r="AQ59" i="3"/>
  <c r="AQ60" i="3"/>
  <c r="AQ61" i="3"/>
  <c r="BF61" i="3" s="1"/>
  <c r="AQ54" i="2"/>
  <c r="AQ55" i="2"/>
  <c r="AQ56" i="2"/>
  <c r="AQ57" i="2"/>
  <c r="AQ58" i="2"/>
  <c r="AQ59" i="2"/>
  <c r="AQ60" i="2"/>
  <c r="AQ61" i="2"/>
  <c r="AQ4" i="3"/>
  <c r="U4" i="5" s="1"/>
  <c r="AQ5" i="3"/>
  <c r="U5" i="5" s="1"/>
  <c r="AQ6" i="3"/>
  <c r="U6" i="5" s="1"/>
  <c r="AQ7" i="3"/>
  <c r="U7" i="5" s="1"/>
  <c r="AQ8" i="3"/>
  <c r="U8" i="5" s="1"/>
  <c r="AQ9" i="3"/>
  <c r="U9" i="5" s="1"/>
  <c r="AQ10" i="3"/>
  <c r="U10" i="5" s="1"/>
  <c r="AQ11" i="3"/>
  <c r="AQ4" i="2"/>
  <c r="C4" i="5" s="1"/>
  <c r="AQ5" i="2"/>
  <c r="C5" i="5" s="1"/>
  <c r="AQ6" i="2"/>
  <c r="C6" i="5" s="1"/>
  <c r="AQ7" i="2"/>
  <c r="C7" i="5" s="1"/>
  <c r="AQ8" i="2"/>
  <c r="C8" i="5" s="1"/>
  <c r="AQ9" i="2"/>
  <c r="C9" i="5" s="1"/>
  <c r="AQ10" i="2"/>
  <c r="C10" i="5" s="1"/>
  <c r="AQ11" i="2"/>
  <c r="C11" i="5" s="1"/>
  <c r="BB11" i="3" l="1"/>
  <c r="BF11" i="3"/>
  <c r="BB104" i="3"/>
  <c r="BF104" i="3"/>
  <c r="AR143" i="1"/>
  <c r="AQ85" i="3"/>
  <c r="U11" i="5"/>
  <c r="U12" i="5" s="1"/>
  <c r="C12" i="5"/>
  <c r="BA104" i="1"/>
  <c r="BE104" i="1"/>
  <c r="AQ62" i="2"/>
  <c r="AQ63" i="2" s="1"/>
  <c r="AQ105" i="3"/>
  <c r="AP11" i="1"/>
  <c r="BE11" i="1" s="1"/>
  <c r="AQ105" i="2"/>
  <c r="AQ12" i="2"/>
  <c r="AQ62" i="3"/>
  <c r="AQ63" i="3" s="1"/>
  <c r="AQ12" i="3"/>
  <c r="AQ85" i="2"/>
  <c r="AP61" i="1"/>
  <c r="AQ90" i="3"/>
  <c r="AQ91" i="3"/>
  <c r="AQ90" i="2"/>
  <c r="AQ91" i="2"/>
  <c r="BA61" i="1" l="1"/>
  <c r="BE61" i="1"/>
  <c r="BA11" i="1"/>
  <c r="AP85" i="1"/>
  <c r="AQ92" i="3"/>
  <c r="AQ111" i="2"/>
  <c r="AQ112" i="2"/>
  <c r="AQ113" i="2"/>
  <c r="AQ114" i="2"/>
  <c r="AQ109" i="2"/>
  <c r="AQ110" i="2"/>
  <c r="AQ123" i="3"/>
  <c r="AQ124" i="3"/>
  <c r="AQ125" i="3"/>
  <c r="AQ126" i="3"/>
  <c r="AQ121" i="3"/>
  <c r="AQ122" i="2"/>
  <c r="AQ123" i="2"/>
  <c r="AQ124" i="2"/>
  <c r="AQ125" i="2"/>
  <c r="AQ126" i="2"/>
  <c r="AQ121" i="2"/>
  <c r="AQ92" i="2"/>
  <c r="AP91" i="1"/>
  <c r="AP90" i="1"/>
  <c r="AQ30" i="3"/>
  <c r="AQ31" i="3"/>
  <c r="AQ32" i="3"/>
  <c r="AQ33" i="3"/>
  <c r="AQ34" i="3"/>
  <c r="AQ35" i="3"/>
  <c r="AQ36" i="3"/>
  <c r="AQ37" i="3"/>
  <c r="AQ30" i="2"/>
  <c r="AQ31" i="2"/>
  <c r="AQ32" i="2"/>
  <c r="AQ33" i="2"/>
  <c r="AQ34" i="2"/>
  <c r="AQ35" i="2"/>
  <c r="AQ36" i="2"/>
  <c r="AQ37" i="2"/>
  <c r="AQ39" i="3" l="1"/>
  <c r="BH39" i="3" s="1"/>
  <c r="AQ39" i="2"/>
  <c r="BH39" i="2" s="1"/>
  <c r="AQ38" i="3"/>
  <c r="AQ38" i="2"/>
  <c r="AQ116" i="2"/>
  <c r="AQ73" i="3"/>
  <c r="AP113" i="1"/>
  <c r="AP110" i="1"/>
  <c r="AP112" i="1"/>
  <c r="AP35" i="1"/>
  <c r="AQ73" i="2"/>
  <c r="AQ127" i="3"/>
  <c r="AQ127" i="2"/>
  <c r="AP109" i="1"/>
  <c r="AP114" i="1"/>
  <c r="AP111" i="1"/>
  <c r="AP92" i="1"/>
  <c r="AP116" i="1" l="1"/>
  <c r="BE35" i="1"/>
  <c r="BA35" i="1"/>
  <c r="AP73" i="1"/>
  <c r="AP34" i="1"/>
  <c r="AP30" i="1"/>
  <c r="AP32" i="1"/>
  <c r="AQ18" i="3"/>
  <c r="AQ19" i="3"/>
  <c r="AQ20" i="3"/>
  <c r="AQ21" i="3"/>
  <c r="AQ22" i="3"/>
  <c r="AQ23" i="3"/>
  <c r="AQ24" i="3"/>
  <c r="AQ25" i="3"/>
  <c r="AQ18" i="2"/>
  <c r="AR42" i="2" s="1"/>
  <c r="AQ19" i="2"/>
  <c r="AQ20" i="2"/>
  <c r="AQ21" i="2"/>
  <c r="AQ22" i="2"/>
  <c r="AQ23" i="2"/>
  <c r="AQ24" i="2"/>
  <c r="AQ25" i="2"/>
  <c r="AR42" i="3" l="1"/>
  <c r="AQ26" i="3"/>
  <c r="C44" i="5" s="1"/>
  <c r="AR49" i="3"/>
  <c r="AQ49" i="3"/>
  <c r="AR49" i="2"/>
  <c r="AQ49" i="2"/>
  <c r="BH23" i="2"/>
  <c r="AR47" i="2"/>
  <c r="BH23" i="3"/>
  <c r="AR47" i="3"/>
  <c r="BH19" i="3"/>
  <c r="AR43" i="3"/>
  <c r="BH22" i="2"/>
  <c r="AR46" i="2"/>
  <c r="BH22" i="3"/>
  <c r="AR46" i="3"/>
  <c r="BH21" i="3"/>
  <c r="AR45" i="3"/>
  <c r="BH19" i="2"/>
  <c r="AR43" i="2"/>
  <c r="BH21" i="2"/>
  <c r="AR45" i="2"/>
  <c r="BH24" i="2"/>
  <c r="AR48" i="2"/>
  <c r="BH20" i="2"/>
  <c r="AR44" i="2"/>
  <c r="BH24" i="3"/>
  <c r="AR48" i="3"/>
  <c r="BH20" i="3"/>
  <c r="AR44" i="3"/>
  <c r="AP23" i="1"/>
  <c r="BA48" i="1" s="1"/>
  <c r="BH18" i="2"/>
  <c r="AQ26" i="2"/>
  <c r="BH18" i="3"/>
  <c r="AR50" i="3"/>
  <c r="AP28" i="1"/>
  <c r="AP31" i="1"/>
  <c r="AP29" i="1"/>
  <c r="AP33" i="1"/>
  <c r="AP16" i="1"/>
  <c r="AP17" i="1"/>
  <c r="AP18" i="1"/>
  <c r="AP19" i="1"/>
  <c r="AP20" i="1"/>
  <c r="AP21" i="1"/>
  <c r="AP22" i="1"/>
  <c r="AP25" i="1" l="1"/>
  <c r="AP24" i="1"/>
  <c r="AR50" i="2"/>
  <c r="C43" i="5"/>
  <c r="AQ48" i="1"/>
  <c r="AP48" i="1"/>
  <c r="BE48" i="1"/>
  <c r="AP36" i="1"/>
  <c r="BA23" i="1"/>
  <c r="AP153" i="1"/>
  <c r="AP151" i="1"/>
  <c r="AP152" i="1"/>
  <c r="AQ66" i="3"/>
  <c r="AQ67" i="3"/>
  <c r="AQ68" i="3"/>
  <c r="AQ69" i="3"/>
  <c r="AQ70" i="3"/>
  <c r="AQ71" i="3"/>
  <c r="AQ72" i="3"/>
  <c r="AQ67" i="2"/>
  <c r="AQ68" i="2"/>
  <c r="AQ69" i="2"/>
  <c r="AQ70" i="2"/>
  <c r="AQ71" i="2"/>
  <c r="AQ72" i="2"/>
  <c r="AQ131" i="2"/>
  <c r="AQ132" i="2"/>
  <c r="AQ133" i="2"/>
  <c r="AQ134" i="2"/>
  <c r="AQ135" i="2"/>
  <c r="AQ136" i="2"/>
  <c r="AQ137" i="2"/>
  <c r="AP147" i="1" l="1"/>
  <c r="C90" i="5"/>
  <c r="AQ139" i="2"/>
  <c r="AQ66" i="2"/>
  <c r="AP145" i="1"/>
  <c r="AP146" i="1"/>
  <c r="AQ74" i="3"/>
  <c r="AQ74" i="2"/>
  <c r="AQ13" i="3"/>
  <c r="AQ78" i="3"/>
  <c r="AQ79" i="3"/>
  <c r="AQ80" i="3"/>
  <c r="AQ81" i="3"/>
  <c r="AQ82" i="3"/>
  <c r="AQ83" i="3"/>
  <c r="AQ84" i="3"/>
  <c r="AQ13" i="2"/>
  <c r="AP7" i="1" l="1"/>
  <c r="AQ81" i="2"/>
  <c r="AP10" i="1"/>
  <c r="AQ84" i="2"/>
  <c r="AP9" i="1"/>
  <c r="AQ83" i="2"/>
  <c r="AP5" i="1"/>
  <c r="AQ79" i="2"/>
  <c r="AP6" i="1"/>
  <c r="AQ80" i="2"/>
  <c r="AP8" i="1"/>
  <c r="AP133" i="1" s="1"/>
  <c r="AQ82" i="2"/>
  <c r="AP4" i="1"/>
  <c r="AQ78" i="2"/>
  <c r="AP148" i="1"/>
  <c r="AP13" i="1"/>
  <c r="W48" i="3"/>
  <c r="V48" i="3"/>
  <c r="U48" i="3"/>
  <c r="BM48" i="3" s="1"/>
  <c r="T48" i="3"/>
  <c r="BL48" i="3" s="1"/>
  <c r="S48" i="3"/>
  <c r="BK48" i="3" s="1"/>
  <c r="R48" i="3"/>
  <c r="BJ48" i="3" s="1"/>
  <c r="Q48" i="3"/>
  <c r="BI48" i="3" s="1"/>
  <c r="P48" i="3"/>
  <c r="O48" i="3"/>
  <c r="W47" i="3"/>
  <c r="V47" i="3"/>
  <c r="U47" i="3"/>
  <c r="BM47" i="3" s="1"/>
  <c r="T47" i="3"/>
  <c r="BL47" i="3" s="1"/>
  <c r="S47" i="3"/>
  <c r="BK47" i="3" s="1"/>
  <c r="R47" i="3"/>
  <c r="BJ47" i="3" s="1"/>
  <c r="Q47" i="3"/>
  <c r="BI47" i="3" s="1"/>
  <c r="P47" i="3"/>
  <c r="O47" i="3"/>
  <c r="W46" i="3"/>
  <c r="V46" i="3"/>
  <c r="U46" i="3"/>
  <c r="BM46" i="3" s="1"/>
  <c r="T46" i="3"/>
  <c r="BL46" i="3" s="1"/>
  <c r="S46" i="3"/>
  <c r="BK46" i="3" s="1"/>
  <c r="R46" i="3"/>
  <c r="BJ46" i="3" s="1"/>
  <c r="Q46" i="3"/>
  <c r="BI46" i="3" s="1"/>
  <c r="P46" i="3"/>
  <c r="O46" i="3"/>
  <c r="W45" i="3"/>
  <c r="V45" i="3"/>
  <c r="U45" i="3"/>
  <c r="BM45" i="3" s="1"/>
  <c r="T45" i="3"/>
  <c r="BL45" i="3" s="1"/>
  <c r="S45" i="3"/>
  <c r="BK45" i="3" s="1"/>
  <c r="R45" i="3"/>
  <c r="BJ45" i="3" s="1"/>
  <c r="Q45" i="3"/>
  <c r="BI45" i="3" s="1"/>
  <c r="P45" i="3"/>
  <c r="O45" i="3"/>
  <c r="W44" i="3"/>
  <c r="V44" i="3"/>
  <c r="U44" i="3"/>
  <c r="BM44" i="3" s="1"/>
  <c r="T44" i="3"/>
  <c r="BL44" i="3" s="1"/>
  <c r="S44" i="3"/>
  <c r="BK44" i="3" s="1"/>
  <c r="R44" i="3"/>
  <c r="BJ44" i="3" s="1"/>
  <c r="Q44" i="3"/>
  <c r="BI44" i="3" s="1"/>
  <c r="P44" i="3"/>
  <c r="O44" i="3"/>
  <c r="W43" i="3"/>
  <c r="V43" i="3"/>
  <c r="U43" i="3"/>
  <c r="BM43" i="3" s="1"/>
  <c r="T43" i="3"/>
  <c r="BL43" i="3" s="1"/>
  <c r="S43" i="3"/>
  <c r="BK43" i="3" s="1"/>
  <c r="R43" i="3"/>
  <c r="BJ43" i="3" s="1"/>
  <c r="Q43" i="3"/>
  <c r="BI43" i="3" s="1"/>
  <c r="P43" i="3"/>
  <c r="O43" i="3"/>
  <c r="W42" i="3"/>
  <c r="V42" i="3"/>
  <c r="T42" i="3"/>
  <c r="BL42" i="3" s="1"/>
  <c r="S42" i="3"/>
  <c r="BK42" i="3" s="1"/>
  <c r="R42" i="3"/>
  <c r="BJ42" i="3" s="1"/>
  <c r="Q42" i="3"/>
  <c r="BI42" i="3" s="1"/>
  <c r="P42" i="3"/>
  <c r="O42" i="3"/>
  <c r="W48" i="2"/>
  <c r="V48" i="2"/>
  <c r="U48" i="2"/>
  <c r="BM48" i="2" s="1"/>
  <c r="T48" i="2"/>
  <c r="BL48" i="2" s="1"/>
  <c r="S48" i="2"/>
  <c r="BK48" i="2" s="1"/>
  <c r="R48" i="2"/>
  <c r="BJ48" i="2" s="1"/>
  <c r="Q48" i="2"/>
  <c r="BI48" i="2" s="1"/>
  <c r="P48" i="2"/>
  <c r="O48" i="2"/>
  <c r="W47" i="2"/>
  <c r="V47" i="2"/>
  <c r="U47" i="2"/>
  <c r="BM47" i="2" s="1"/>
  <c r="T47" i="2"/>
  <c r="BL47" i="2" s="1"/>
  <c r="S47" i="2"/>
  <c r="BK47" i="2" s="1"/>
  <c r="R47" i="2"/>
  <c r="BJ47" i="2" s="1"/>
  <c r="Q47" i="2"/>
  <c r="BI47" i="2" s="1"/>
  <c r="P47" i="2"/>
  <c r="O47" i="2"/>
  <c r="W46" i="2"/>
  <c r="V46" i="2"/>
  <c r="U46" i="2"/>
  <c r="BM46" i="2" s="1"/>
  <c r="T46" i="2"/>
  <c r="BL46" i="2" s="1"/>
  <c r="S46" i="2"/>
  <c r="BK46" i="2" s="1"/>
  <c r="R46" i="2"/>
  <c r="BJ46" i="2" s="1"/>
  <c r="Q46" i="2"/>
  <c r="BI46" i="2" s="1"/>
  <c r="P46" i="2"/>
  <c r="O46" i="2"/>
  <c r="W45" i="2"/>
  <c r="V45" i="2"/>
  <c r="U45" i="2"/>
  <c r="BM45" i="2" s="1"/>
  <c r="T45" i="2"/>
  <c r="BL45" i="2" s="1"/>
  <c r="S45" i="2"/>
  <c r="BK45" i="2" s="1"/>
  <c r="R45" i="2"/>
  <c r="BJ45" i="2" s="1"/>
  <c r="Q45" i="2"/>
  <c r="BI45" i="2" s="1"/>
  <c r="P45" i="2"/>
  <c r="O45" i="2"/>
  <c r="W44" i="2"/>
  <c r="V44" i="2"/>
  <c r="U44" i="2"/>
  <c r="BM44" i="2" s="1"/>
  <c r="T44" i="2"/>
  <c r="BL44" i="2" s="1"/>
  <c r="S44" i="2"/>
  <c r="BK44" i="2" s="1"/>
  <c r="R44" i="2"/>
  <c r="BJ44" i="2" s="1"/>
  <c r="Q44" i="2"/>
  <c r="BI44" i="2" s="1"/>
  <c r="P44" i="2"/>
  <c r="O44" i="2"/>
  <c r="W43" i="2"/>
  <c r="V43" i="2"/>
  <c r="U43" i="2"/>
  <c r="BM43" i="2" s="1"/>
  <c r="T43" i="2"/>
  <c r="BL43" i="2" s="1"/>
  <c r="S43" i="2"/>
  <c r="BK43" i="2" s="1"/>
  <c r="R43" i="2"/>
  <c r="BJ43" i="2" s="1"/>
  <c r="Q43" i="2"/>
  <c r="BI43" i="2" s="1"/>
  <c r="P43" i="2"/>
  <c r="O43" i="2"/>
  <c r="W42" i="2"/>
  <c r="V42" i="2"/>
  <c r="U42" i="2"/>
  <c r="BM42" i="2" s="1"/>
  <c r="T42" i="2"/>
  <c r="BL42" i="2" s="1"/>
  <c r="S42" i="2"/>
  <c r="BK42" i="2" s="1"/>
  <c r="R42" i="2"/>
  <c r="BJ42" i="2" s="1"/>
  <c r="Q42" i="2"/>
  <c r="BI42" i="2" s="1"/>
  <c r="P42" i="2"/>
  <c r="O42" i="2"/>
  <c r="AZ49" i="1"/>
  <c r="AY49" i="1"/>
  <c r="AX49" i="1"/>
  <c r="AW49" i="1"/>
  <c r="AV49" i="1"/>
  <c r="AT49" i="1"/>
  <c r="AS49" i="1"/>
  <c r="AR49" i="1"/>
  <c r="AQ49" i="1"/>
  <c r="AZ47" i="1"/>
  <c r="AY47" i="1"/>
  <c r="AX47" i="1"/>
  <c r="AW47" i="1"/>
  <c r="AV47" i="1"/>
  <c r="AU47" i="1"/>
  <c r="AT47" i="1"/>
  <c r="AS47" i="1"/>
  <c r="AR47" i="1"/>
  <c r="AQ47" i="1"/>
  <c r="AZ46" i="1"/>
  <c r="AY46" i="1"/>
  <c r="AX46" i="1"/>
  <c r="AW46" i="1"/>
  <c r="AV46" i="1"/>
  <c r="AU46" i="1"/>
  <c r="AT46" i="1"/>
  <c r="AS46" i="1"/>
  <c r="AR46" i="1"/>
  <c r="AQ46" i="1"/>
  <c r="AZ45" i="1"/>
  <c r="AY45" i="1"/>
  <c r="AX45" i="1"/>
  <c r="AW45" i="1"/>
  <c r="AV45" i="1"/>
  <c r="AU45" i="1"/>
  <c r="AT45" i="1"/>
  <c r="AS45" i="1"/>
  <c r="AR45" i="1"/>
  <c r="AQ45" i="1"/>
  <c r="AZ44" i="1"/>
  <c r="AY44" i="1"/>
  <c r="AX44" i="1"/>
  <c r="AW44" i="1"/>
  <c r="AV44" i="1"/>
  <c r="AU44" i="1"/>
  <c r="AT44" i="1"/>
  <c r="AS44" i="1"/>
  <c r="AR44" i="1"/>
  <c r="AQ44" i="1"/>
  <c r="AZ43" i="1"/>
  <c r="AY43" i="1"/>
  <c r="AX43" i="1"/>
  <c r="AW43" i="1"/>
  <c r="AV43" i="1"/>
  <c r="AU43" i="1"/>
  <c r="AT43" i="1"/>
  <c r="AS43" i="1"/>
  <c r="AR43" i="1"/>
  <c r="AQ43" i="1"/>
  <c r="AZ42" i="1"/>
  <c r="AY42" i="1"/>
  <c r="AX42" i="1"/>
  <c r="AW42" i="1"/>
  <c r="AV42" i="1"/>
  <c r="AU42" i="1"/>
  <c r="AT42" i="1"/>
  <c r="AS42" i="1"/>
  <c r="AR42" i="1"/>
  <c r="AQ42" i="1"/>
  <c r="AQ41" i="1"/>
  <c r="AR41" i="1"/>
  <c r="AS41" i="1"/>
  <c r="AT41" i="1"/>
  <c r="AV41" i="1"/>
  <c r="AW41" i="1"/>
  <c r="AX41" i="1"/>
  <c r="AY41" i="1"/>
  <c r="AZ41" i="1"/>
  <c r="BR126" i="3"/>
  <c r="BN126" i="3"/>
  <c r="BM126" i="3"/>
  <c r="BJ126" i="3"/>
  <c r="BH126" i="3"/>
  <c r="BR125" i="3"/>
  <c r="BN125" i="3"/>
  <c r="BJ125" i="3"/>
  <c r="BH125" i="3"/>
  <c r="BN124" i="3"/>
  <c r="BH124" i="3"/>
  <c r="BN123" i="3"/>
  <c r="BR122" i="3"/>
  <c r="BQ122" i="3"/>
  <c r="BP122" i="3"/>
  <c r="BN122" i="3"/>
  <c r="BM122" i="3"/>
  <c r="BL122" i="3"/>
  <c r="BK122" i="3"/>
  <c r="BJ122" i="3"/>
  <c r="BI122" i="3"/>
  <c r="BH122" i="3"/>
  <c r="BG122" i="3"/>
  <c r="BN121" i="3"/>
  <c r="BN126" i="2"/>
  <c r="BG126" i="2"/>
  <c r="BN125" i="2"/>
  <c r="BI125" i="2"/>
  <c r="BN124" i="2"/>
  <c r="BN123" i="2"/>
  <c r="BR122" i="2"/>
  <c r="BQ122" i="2"/>
  <c r="BP122" i="2"/>
  <c r="BN122" i="2"/>
  <c r="BM122" i="2"/>
  <c r="BL122" i="2"/>
  <c r="BK122" i="2"/>
  <c r="BJ122" i="2"/>
  <c r="BI122" i="2"/>
  <c r="BH122" i="2"/>
  <c r="BG122" i="2"/>
  <c r="BN121" i="2"/>
  <c r="AP135" i="1" l="1"/>
  <c r="AQ141" i="1"/>
  <c r="AP130" i="1"/>
  <c r="AQ142" i="1"/>
  <c r="AP136" i="1"/>
  <c r="AP142" i="1" s="1"/>
  <c r="AP131" i="1"/>
  <c r="AP134" i="1"/>
  <c r="AP132" i="1"/>
  <c r="AQ140" i="1"/>
  <c r="AP12" i="1"/>
  <c r="AP137" i="1" s="1"/>
  <c r="AQ14" i="2"/>
  <c r="AQ86" i="2"/>
  <c r="AP166" i="1"/>
  <c r="AP167" i="1"/>
  <c r="AQ14" i="3"/>
  <c r="AQ86" i="3"/>
  <c r="AP168" i="1"/>
  <c r="BO91" i="3"/>
  <c r="BN91" i="3"/>
  <c r="BM91" i="3"/>
  <c r="BL91" i="3"/>
  <c r="BK91" i="3"/>
  <c r="BJ91" i="3"/>
  <c r="BI91" i="3"/>
  <c r="BH91" i="3"/>
  <c r="BO90" i="3"/>
  <c r="BN90" i="3"/>
  <c r="BM90" i="3"/>
  <c r="BL90" i="3"/>
  <c r="BK90" i="3"/>
  <c r="BJ90" i="3"/>
  <c r="BI90" i="3"/>
  <c r="BH90" i="3"/>
  <c r="BO91" i="2"/>
  <c r="BN91" i="2"/>
  <c r="BM91" i="2"/>
  <c r="BL91" i="2"/>
  <c r="BK91" i="2"/>
  <c r="BJ91" i="2"/>
  <c r="BI91" i="2"/>
  <c r="BH91" i="2"/>
  <c r="BO90" i="2"/>
  <c r="BN90" i="2"/>
  <c r="BM90" i="2"/>
  <c r="BL90" i="2"/>
  <c r="BK90" i="2"/>
  <c r="BJ90" i="2"/>
  <c r="BI90" i="2"/>
  <c r="BH90" i="2"/>
  <c r="BO103" i="2"/>
  <c r="BN103" i="2"/>
  <c r="BM103" i="2"/>
  <c r="BO102" i="2"/>
  <c r="BN102" i="2"/>
  <c r="BM102" i="2"/>
  <c r="BO101" i="2"/>
  <c r="BN101" i="2"/>
  <c r="BM101" i="2"/>
  <c r="BO100" i="2"/>
  <c r="BN100" i="2"/>
  <c r="BM100" i="2"/>
  <c r="BO99" i="2"/>
  <c r="BN99" i="2"/>
  <c r="BM99" i="2"/>
  <c r="BO98" i="2"/>
  <c r="BN98" i="2"/>
  <c r="BM98" i="2"/>
  <c r="BO97" i="2"/>
  <c r="BN97" i="2"/>
  <c r="BM97" i="2"/>
  <c r="BO103" i="3"/>
  <c r="BN103" i="3"/>
  <c r="BM103" i="3"/>
  <c r="BO102" i="3"/>
  <c r="BN102" i="3"/>
  <c r="BM102" i="3"/>
  <c r="BO101" i="3"/>
  <c r="BN101" i="3"/>
  <c r="BM101" i="3"/>
  <c r="BO100" i="3"/>
  <c r="BN100" i="3"/>
  <c r="BM100" i="3"/>
  <c r="BO99" i="3"/>
  <c r="BN99" i="3"/>
  <c r="BM99" i="3"/>
  <c r="BO98" i="3"/>
  <c r="BN98" i="3"/>
  <c r="BM98" i="3"/>
  <c r="BO97" i="3"/>
  <c r="BN97" i="3"/>
  <c r="BM97" i="3"/>
  <c r="BE116" i="3"/>
  <c r="BE116" i="2"/>
  <c r="BD92" i="1"/>
  <c r="BC92" i="1"/>
  <c r="BB92" i="1"/>
  <c r="BD91" i="1"/>
  <c r="BC91" i="1"/>
  <c r="BB91" i="1"/>
  <c r="BD90" i="1"/>
  <c r="BC90" i="1"/>
  <c r="BO60" i="3"/>
  <c r="BN60" i="3"/>
  <c r="BM60" i="3"/>
  <c r="BL60" i="3"/>
  <c r="BK60" i="3"/>
  <c r="BJ60" i="3"/>
  <c r="BI60" i="3"/>
  <c r="BH60" i="3"/>
  <c r="BO59" i="3"/>
  <c r="BN59" i="3"/>
  <c r="BM59" i="3"/>
  <c r="BL59" i="3"/>
  <c r="BK59" i="3"/>
  <c r="BJ59" i="3"/>
  <c r="BI59" i="3"/>
  <c r="BH59" i="3"/>
  <c r="BO58" i="3"/>
  <c r="BN58" i="3"/>
  <c r="BM58" i="3"/>
  <c r="BL58" i="3"/>
  <c r="BK58" i="3"/>
  <c r="BJ58" i="3"/>
  <c r="BI58" i="3"/>
  <c r="BH58" i="3"/>
  <c r="BO57" i="3"/>
  <c r="BN57" i="3"/>
  <c r="BM57" i="3"/>
  <c r="BL57" i="3"/>
  <c r="BK57" i="3"/>
  <c r="BJ57" i="3"/>
  <c r="BI57" i="3"/>
  <c r="BH57" i="3"/>
  <c r="BO56" i="3"/>
  <c r="BN56" i="3"/>
  <c r="BM56" i="3"/>
  <c r="BL56" i="3"/>
  <c r="BK56" i="3"/>
  <c r="BJ56" i="3"/>
  <c r="BI56" i="3"/>
  <c r="BH56" i="3"/>
  <c r="BO55" i="3"/>
  <c r="BN55" i="3"/>
  <c r="BM55" i="3"/>
  <c r="BL55" i="3"/>
  <c r="BK55" i="3"/>
  <c r="BJ55" i="3"/>
  <c r="BI55" i="3"/>
  <c r="BH55" i="3"/>
  <c r="BO54" i="3"/>
  <c r="BN54" i="3"/>
  <c r="BM54" i="3"/>
  <c r="BL54" i="3"/>
  <c r="BK54" i="3"/>
  <c r="BJ54" i="3"/>
  <c r="BI54" i="3"/>
  <c r="BH54" i="3"/>
  <c r="BO60" i="2"/>
  <c r="BN60" i="2"/>
  <c r="BM60" i="2"/>
  <c r="BL60" i="2"/>
  <c r="BK60" i="2"/>
  <c r="BJ60" i="2"/>
  <c r="BI60" i="2"/>
  <c r="BH60" i="2"/>
  <c r="BO59" i="2"/>
  <c r="BN59" i="2"/>
  <c r="BM59" i="2"/>
  <c r="BL59" i="2"/>
  <c r="BK59" i="2"/>
  <c r="BJ59" i="2"/>
  <c r="BI59" i="2"/>
  <c r="BH59" i="2"/>
  <c r="BO58" i="2"/>
  <c r="BN58" i="2"/>
  <c r="BM58" i="2"/>
  <c r="BL58" i="2"/>
  <c r="BK58" i="2"/>
  <c r="BJ58" i="2"/>
  <c r="BI58" i="2"/>
  <c r="BH58" i="2"/>
  <c r="BO57" i="2"/>
  <c r="BN57" i="2"/>
  <c r="BM57" i="2"/>
  <c r="BL57" i="2"/>
  <c r="BK57" i="2"/>
  <c r="BJ57" i="2"/>
  <c r="BI57" i="2"/>
  <c r="BH57" i="2"/>
  <c r="BO56" i="2"/>
  <c r="BN56" i="2"/>
  <c r="BM56" i="2"/>
  <c r="BL56" i="2"/>
  <c r="BK56" i="2"/>
  <c r="BJ56" i="2"/>
  <c r="BI56" i="2"/>
  <c r="BH56" i="2"/>
  <c r="BO55" i="2"/>
  <c r="BN55" i="2"/>
  <c r="BM55" i="2"/>
  <c r="BL55" i="2"/>
  <c r="BK55" i="2"/>
  <c r="BJ55" i="2"/>
  <c r="BI55" i="2"/>
  <c r="BH55" i="2"/>
  <c r="BO54" i="2"/>
  <c r="BN54" i="2"/>
  <c r="BM54" i="2"/>
  <c r="BL54" i="2"/>
  <c r="BK54" i="2"/>
  <c r="BJ54" i="2"/>
  <c r="BI54" i="2"/>
  <c r="BH54" i="2"/>
  <c r="C60" i="5" l="1"/>
  <c r="AQ15" i="2"/>
  <c r="C61" i="5"/>
  <c r="AQ15" i="3"/>
  <c r="AP14" i="1"/>
  <c r="AQ143" i="1"/>
  <c r="AP140" i="1"/>
  <c r="AP141" i="1"/>
  <c r="BO36" i="3"/>
  <c r="BN36" i="3"/>
  <c r="BM36" i="3"/>
  <c r="BL36" i="3"/>
  <c r="BK36" i="3"/>
  <c r="BJ36" i="3"/>
  <c r="BI36" i="3"/>
  <c r="BH36" i="3"/>
  <c r="BO35" i="3"/>
  <c r="BN35" i="3"/>
  <c r="BM35" i="3"/>
  <c r="BL35" i="3"/>
  <c r="BK35" i="3"/>
  <c r="BJ35" i="3"/>
  <c r="BI35" i="3"/>
  <c r="BH35" i="3"/>
  <c r="BO34" i="3"/>
  <c r="BN34" i="3"/>
  <c r="BM34" i="3"/>
  <c r="BL34" i="3"/>
  <c r="BK34" i="3"/>
  <c r="BJ34" i="3"/>
  <c r="BI34" i="3"/>
  <c r="BH34" i="3"/>
  <c r="BO33" i="3"/>
  <c r="BN33" i="3"/>
  <c r="BM33" i="3"/>
  <c r="BL33" i="3"/>
  <c r="BK33" i="3"/>
  <c r="BJ33" i="3"/>
  <c r="BI33" i="3"/>
  <c r="BH33" i="3"/>
  <c r="BO32" i="3"/>
  <c r="BN32" i="3"/>
  <c r="BM32" i="3"/>
  <c r="BL32" i="3"/>
  <c r="BK32" i="3"/>
  <c r="BJ32" i="3"/>
  <c r="BI32" i="3"/>
  <c r="BH32" i="3"/>
  <c r="BO31" i="3"/>
  <c r="BN31" i="3"/>
  <c r="BM31" i="3"/>
  <c r="BL31" i="3"/>
  <c r="BK31" i="3"/>
  <c r="BJ31" i="3"/>
  <c r="BI31" i="3"/>
  <c r="BH31" i="3"/>
  <c r="BO30" i="3"/>
  <c r="BN30" i="3"/>
  <c r="BM30" i="3"/>
  <c r="BL30" i="3"/>
  <c r="BK30" i="3"/>
  <c r="BJ30" i="3"/>
  <c r="BI30" i="3"/>
  <c r="BH30" i="3"/>
  <c r="BW17" i="3"/>
  <c r="BO36" i="2"/>
  <c r="BN36" i="2"/>
  <c r="BM36" i="2"/>
  <c r="BL36" i="2"/>
  <c r="BK36" i="2"/>
  <c r="BJ36" i="2"/>
  <c r="BI36" i="2"/>
  <c r="BH36" i="2"/>
  <c r="BO35" i="2"/>
  <c r="BN35" i="2"/>
  <c r="BM35" i="2"/>
  <c r="BL35" i="2"/>
  <c r="BK35" i="2"/>
  <c r="BJ35" i="2"/>
  <c r="BI35" i="2"/>
  <c r="BH35" i="2"/>
  <c r="BO34" i="2"/>
  <c r="BN34" i="2"/>
  <c r="BM34" i="2"/>
  <c r="BL34" i="2"/>
  <c r="BK34" i="2"/>
  <c r="BJ34" i="2"/>
  <c r="BI34" i="2"/>
  <c r="BH34" i="2"/>
  <c r="BO33" i="2"/>
  <c r="BN33" i="2"/>
  <c r="BM33" i="2"/>
  <c r="BL33" i="2"/>
  <c r="BK33" i="2"/>
  <c r="BJ33" i="2"/>
  <c r="BI33" i="2"/>
  <c r="BH33" i="2"/>
  <c r="BO32" i="2"/>
  <c r="BN32" i="2"/>
  <c r="BM32" i="2"/>
  <c r="BL32" i="2"/>
  <c r="BK32" i="2"/>
  <c r="BJ32" i="2"/>
  <c r="BI32" i="2"/>
  <c r="BH32" i="2"/>
  <c r="BO31" i="2"/>
  <c r="BN31" i="2"/>
  <c r="BM31" i="2"/>
  <c r="BL31" i="2"/>
  <c r="BK31" i="2"/>
  <c r="BJ31" i="2"/>
  <c r="BI31" i="2"/>
  <c r="BH31" i="2"/>
  <c r="BO30" i="2"/>
  <c r="BN30" i="2"/>
  <c r="BM30" i="2"/>
  <c r="BL30" i="2"/>
  <c r="BK30" i="2"/>
  <c r="BJ30" i="2"/>
  <c r="BI30" i="2"/>
  <c r="BH30" i="2"/>
  <c r="BW17" i="2"/>
  <c r="BD36" i="1"/>
  <c r="BC36" i="1"/>
  <c r="BD34" i="1"/>
  <c r="BC34" i="1"/>
  <c r="BD33" i="1"/>
  <c r="BC33" i="1"/>
  <c r="BD32" i="1"/>
  <c r="BC32" i="1"/>
  <c r="BD31" i="1"/>
  <c r="BC31" i="1"/>
  <c r="BD30" i="1"/>
  <c r="BC30" i="1"/>
  <c r="BD29" i="1"/>
  <c r="BC29" i="1"/>
  <c r="BD28" i="1"/>
  <c r="BC43" i="1" l="1"/>
  <c r="BC45" i="1"/>
  <c r="BC47" i="1"/>
  <c r="BC42" i="1"/>
  <c r="BC44" i="1"/>
  <c r="BC46" i="1"/>
  <c r="BC49" i="1"/>
  <c r="AP143" i="1"/>
  <c r="BV15" i="1"/>
  <c r="BQ10" i="2"/>
  <c r="BO10" i="2"/>
  <c r="BN10" i="2"/>
  <c r="BM10" i="2"/>
  <c r="BL10" i="2"/>
  <c r="BK10" i="2"/>
  <c r="BJ10" i="2"/>
  <c r="BI10" i="2"/>
  <c r="BH10" i="2"/>
  <c r="BQ9" i="2"/>
  <c r="BO9" i="2"/>
  <c r="BN9" i="2"/>
  <c r="BM9" i="2"/>
  <c r="BL9" i="2"/>
  <c r="BK9" i="2"/>
  <c r="BJ9" i="2"/>
  <c r="BI9" i="2"/>
  <c r="BH9" i="2"/>
  <c r="BQ8" i="2"/>
  <c r="BO8" i="2"/>
  <c r="BN8" i="2"/>
  <c r="BM8" i="2"/>
  <c r="BL8" i="2"/>
  <c r="BK8" i="2"/>
  <c r="BJ8" i="2"/>
  <c r="BI8" i="2"/>
  <c r="BH8" i="2"/>
  <c r="BQ7" i="2"/>
  <c r="BO7" i="2"/>
  <c r="BN7" i="2"/>
  <c r="BM7" i="2"/>
  <c r="BL7" i="2"/>
  <c r="BK7" i="2"/>
  <c r="BJ7" i="2"/>
  <c r="BI7" i="2"/>
  <c r="BH7" i="2"/>
  <c r="BQ6" i="2"/>
  <c r="BO6" i="2"/>
  <c r="BN6" i="2"/>
  <c r="BM6" i="2"/>
  <c r="BL6" i="2"/>
  <c r="BK6" i="2"/>
  <c r="BJ6" i="2"/>
  <c r="BI6" i="2"/>
  <c r="BH6" i="2"/>
  <c r="BQ5" i="2"/>
  <c r="BO5" i="2"/>
  <c r="BN5" i="2"/>
  <c r="BM5" i="2"/>
  <c r="BL5" i="2"/>
  <c r="BK5" i="2"/>
  <c r="BJ5" i="2"/>
  <c r="BI5" i="2"/>
  <c r="BH5" i="2"/>
  <c r="BQ4" i="2"/>
  <c r="BO4" i="2"/>
  <c r="BN4" i="2"/>
  <c r="BM4" i="2"/>
  <c r="BL4" i="2"/>
  <c r="BK4" i="2"/>
  <c r="BJ4" i="2"/>
  <c r="BI4" i="2"/>
  <c r="BH4" i="2"/>
  <c r="BC113" i="3" l="1"/>
  <c r="BC61" i="3"/>
  <c r="BC115" i="3"/>
  <c r="BC111" i="3"/>
  <c r="BC110" i="3"/>
  <c r="BC112" i="3"/>
  <c r="BB61" i="3"/>
  <c r="BE61" i="3"/>
  <c r="BC114" i="3"/>
  <c r="BD61" i="3"/>
  <c r="AA45" i="3"/>
  <c r="BC35" i="3"/>
  <c r="BC47" i="3" s="1"/>
  <c r="BC31" i="3"/>
  <c r="BC43" i="3" s="1"/>
  <c r="BC25" i="3"/>
  <c r="BC21" i="3"/>
  <c r="BT21" i="3" s="1"/>
  <c r="AA46" i="3"/>
  <c r="AA42" i="3"/>
  <c r="AA48" i="3"/>
  <c r="AA44" i="3"/>
  <c r="BC38" i="3"/>
  <c r="BC50" i="3" s="1"/>
  <c r="BC34" i="3"/>
  <c r="BC46" i="3" s="1"/>
  <c r="BC30" i="3"/>
  <c r="BC24" i="3"/>
  <c r="BT24" i="3" s="1"/>
  <c r="BC20" i="3"/>
  <c r="BT20" i="3" s="1"/>
  <c r="AA47" i="3"/>
  <c r="AA43" i="3"/>
  <c r="BC37" i="3"/>
  <c r="BC49" i="3" s="1"/>
  <c r="BC33" i="3"/>
  <c r="BC45" i="3" s="1"/>
  <c r="BC23" i="3"/>
  <c r="BT23" i="3" s="1"/>
  <c r="BC19" i="3"/>
  <c r="BT19" i="3" s="1"/>
  <c r="BC36" i="3"/>
  <c r="BC48" i="3" s="1"/>
  <c r="BC32" i="3"/>
  <c r="BC44" i="3" s="1"/>
  <c r="BC26" i="3"/>
  <c r="BC22" i="3"/>
  <c r="BT22" i="3" s="1"/>
  <c r="BC18" i="3"/>
  <c r="BT18" i="3" s="1"/>
  <c r="BB37" i="3"/>
  <c r="BB49" i="3" s="1"/>
  <c r="BF37" i="3"/>
  <c r="BF49" i="3"/>
  <c r="AA122" i="3"/>
  <c r="BC125" i="3"/>
  <c r="BD124" i="3"/>
  <c r="BD123" i="3"/>
  <c r="BE122" i="3"/>
  <c r="BV122" i="3" s="1"/>
  <c r="BE121" i="3"/>
  <c r="BC127" i="3"/>
  <c r="BD125" i="3"/>
  <c r="BF122" i="3"/>
  <c r="BE127" i="3"/>
  <c r="BE126" i="3"/>
  <c r="BC124" i="3"/>
  <c r="BC123" i="3"/>
  <c r="BD122" i="3"/>
  <c r="BU122" i="3" s="1"/>
  <c r="BC126" i="3"/>
  <c r="BE124" i="3"/>
  <c r="BB122" i="3"/>
  <c r="BS122" i="3" s="1"/>
  <c r="BD127" i="3"/>
  <c r="BD126" i="3"/>
  <c r="BU126" i="3" s="1"/>
  <c r="BE125" i="3"/>
  <c r="BC122" i="3"/>
  <c r="BT122" i="3" s="1"/>
  <c r="BC121" i="3"/>
  <c r="BE123" i="3"/>
  <c r="AA90" i="3"/>
  <c r="BC103" i="3"/>
  <c r="BC102" i="3"/>
  <c r="BC101" i="3"/>
  <c r="BC100" i="3"/>
  <c r="BC99" i="3"/>
  <c r="BC98" i="3"/>
  <c r="BC97" i="3"/>
  <c r="BE92" i="3"/>
  <c r="BE91" i="3"/>
  <c r="BE90" i="3"/>
  <c r="BE139" i="3"/>
  <c r="BE137" i="3"/>
  <c r="BE136" i="3"/>
  <c r="BE135" i="3"/>
  <c r="BE134" i="3"/>
  <c r="BE133" i="3"/>
  <c r="BE132" i="3"/>
  <c r="BE131" i="3"/>
  <c r="BD92" i="3"/>
  <c r="BD91" i="3"/>
  <c r="BU91" i="3" s="1"/>
  <c r="BD90" i="3"/>
  <c r="BU90" i="3" s="1"/>
  <c r="BD139" i="3"/>
  <c r="BD137" i="3"/>
  <c r="BD136" i="3"/>
  <c r="BD135" i="3"/>
  <c r="BD134" i="3"/>
  <c r="BD133" i="3"/>
  <c r="BD132" i="3"/>
  <c r="BD131" i="3"/>
  <c r="BE103" i="3"/>
  <c r="BE102" i="3"/>
  <c r="BE101" i="3"/>
  <c r="BE100" i="3"/>
  <c r="BE99" i="3"/>
  <c r="BE98" i="3"/>
  <c r="BE97" i="3"/>
  <c r="AA91" i="3"/>
  <c r="BC91" i="3"/>
  <c r="BT91" i="3" s="1"/>
  <c r="BD101" i="3"/>
  <c r="BU101" i="3" s="1"/>
  <c r="BD97" i="3"/>
  <c r="BU97" i="3" s="1"/>
  <c r="BD62" i="3"/>
  <c r="BD60" i="3"/>
  <c r="BU60" i="3" s="1"/>
  <c r="BD59" i="3"/>
  <c r="BU59" i="3" s="1"/>
  <c r="BD58" i="3"/>
  <c r="BU58" i="3" s="1"/>
  <c r="BD57" i="3"/>
  <c r="BU57" i="3" s="1"/>
  <c r="BD56" i="3"/>
  <c r="BU56" i="3" s="1"/>
  <c r="BD55" i="3"/>
  <c r="BU55" i="3" s="1"/>
  <c r="BD54" i="3"/>
  <c r="BU54" i="3" s="1"/>
  <c r="AA60" i="3"/>
  <c r="AA56" i="3"/>
  <c r="BD100" i="3"/>
  <c r="BU100" i="3" s="1"/>
  <c r="BE59" i="3"/>
  <c r="BE56" i="3"/>
  <c r="BE54" i="3"/>
  <c r="BD102" i="3"/>
  <c r="BU102" i="3" s="1"/>
  <c r="BD98" i="3"/>
  <c r="BU98" i="3" s="1"/>
  <c r="BC62" i="3"/>
  <c r="BC60" i="3"/>
  <c r="BT60" i="3" s="1"/>
  <c r="BC59" i="3"/>
  <c r="BT59" i="3" s="1"/>
  <c r="BC58" i="3"/>
  <c r="BT58" i="3" s="1"/>
  <c r="BC57" i="3"/>
  <c r="BT57" i="3" s="1"/>
  <c r="BC56" i="3"/>
  <c r="BT56" i="3" s="1"/>
  <c r="BC55" i="3"/>
  <c r="BT55" i="3" s="1"/>
  <c r="BC54" i="3"/>
  <c r="BT54" i="3" s="1"/>
  <c r="AA59" i="3"/>
  <c r="AA55" i="3"/>
  <c r="BE62" i="3"/>
  <c r="BE58" i="3"/>
  <c r="BC92" i="3"/>
  <c r="BC90" i="3"/>
  <c r="BT90" i="3" s="1"/>
  <c r="BC139" i="3"/>
  <c r="BC137" i="3"/>
  <c r="BC136" i="3"/>
  <c r="BC135" i="3"/>
  <c r="BC134" i="3"/>
  <c r="BC133" i="3"/>
  <c r="BC132" i="3"/>
  <c r="BC131" i="3"/>
  <c r="BD103" i="3"/>
  <c r="BU103" i="3" s="1"/>
  <c r="BD99" i="3"/>
  <c r="BU99" i="3" s="1"/>
  <c r="AA58" i="3"/>
  <c r="AA54" i="3"/>
  <c r="BE60" i="3"/>
  <c r="BE57" i="3"/>
  <c r="BE55" i="3"/>
  <c r="AA57" i="3"/>
  <c r="BE38" i="3"/>
  <c r="BE35" i="3"/>
  <c r="BD32" i="3"/>
  <c r="BD44" i="3" s="1"/>
  <c r="BU44" i="3" s="1"/>
  <c r="BD30" i="3"/>
  <c r="BD42" i="3" s="1"/>
  <c r="BU42" i="3" s="1"/>
  <c r="AA34" i="3"/>
  <c r="AA30" i="3"/>
  <c r="BE32" i="3"/>
  <c r="BE30" i="3"/>
  <c r="AA31" i="3"/>
  <c r="BD38" i="3"/>
  <c r="BD50" i="3" s="1"/>
  <c r="BD35" i="3"/>
  <c r="BD47" i="3" s="1"/>
  <c r="BU47" i="3" s="1"/>
  <c r="BE33" i="3"/>
  <c r="BE31" i="3"/>
  <c r="AA33" i="3"/>
  <c r="AA35" i="3"/>
  <c r="BE36" i="3"/>
  <c r="BE34" i="3"/>
  <c r="BD33" i="3"/>
  <c r="BD45" i="3" s="1"/>
  <c r="BU45" i="3" s="1"/>
  <c r="BD31" i="3"/>
  <c r="BD43" i="3" s="1"/>
  <c r="BU43" i="3" s="1"/>
  <c r="AA36" i="3"/>
  <c r="AA32" i="3"/>
  <c r="BD36" i="3"/>
  <c r="BD48" i="3" s="1"/>
  <c r="BU48" i="3" s="1"/>
  <c r="BD34" i="3"/>
  <c r="BD46" i="3" s="1"/>
  <c r="BU46" i="3" s="1"/>
  <c r="AA13" i="3"/>
  <c r="AA10" i="3"/>
  <c r="AA9" i="3"/>
  <c r="AA8" i="3"/>
  <c r="AA7" i="3"/>
  <c r="AA6" i="3"/>
  <c r="AA5" i="3"/>
  <c r="AA4" i="3"/>
  <c r="BE13" i="3"/>
  <c r="BD13" i="3"/>
  <c r="BU13" i="3" s="1"/>
  <c r="BC13" i="3"/>
  <c r="BT13" i="3" s="1"/>
  <c r="BE12" i="3"/>
  <c r="BD12" i="3"/>
  <c r="BC12" i="3"/>
  <c r="BE10" i="3"/>
  <c r="BD10" i="3"/>
  <c r="BU10" i="3" s="1"/>
  <c r="BC10" i="3"/>
  <c r="BT10" i="3" s="1"/>
  <c r="BE9" i="3"/>
  <c r="BD9" i="3"/>
  <c r="BU9" i="3" s="1"/>
  <c r="BC9" i="3"/>
  <c r="BT9" i="3" s="1"/>
  <c r="BE8" i="3"/>
  <c r="BD8" i="3"/>
  <c r="BU8" i="3" s="1"/>
  <c r="BC8" i="3"/>
  <c r="BT8" i="3" s="1"/>
  <c r="BE7" i="3"/>
  <c r="BD7" i="3"/>
  <c r="BU7" i="3" s="1"/>
  <c r="BC7" i="3"/>
  <c r="BT7" i="3" s="1"/>
  <c r="BE6" i="3"/>
  <c r="BD6" i="3"/>
  <c r="BU6" i="3" s="1"/>
  <c r="BC6" i="3"/>
  <c r="BT6" i="3" s="1"/>
  <c r="BE5" i="3"/>
  <c r="BD5" i="3"/>
  <c r="BU5" i="3" s="1"/>
  <c r="BC5" i="3"/>
  <c r="BT5" i="3" s="1"/>
  <c r="BE4" i="3"/>
  <c r="BC4" i="3"/>
  <c r="BT4" i="3" s="1"/>
  <c r="BO13" i="3"/>
  <c r="BN13" i="3"/>
  <c r="BM13" i="3"/>
  <c r="BL13" i="3"/>
  <c r="BK13" i="3"/>
  <c r="BJ13" i="3"/>
  <c r="BI13" i="3"/>
  <c r="BH13" i="3"/>
  <c r="BO10" i="3"/>
  <c r="BN10" i="3"/>
  <c r="BM10" i="3"/>
  <c r="BL10" i="3"/>
  <c r="BK10" i="3"/>
  <c r="BJ10" i="3"/>
  <c r="BI10" i="3"/>
  <c r="BH10" i="3"/>
  <c r="BO9" i="3"/>
  <c r="BN9" i="3"/>
  <c r="BM9" i="3"/>
  <c r="BL9" i="3"/>
  <c r="BK9" i="3"/>
  <c r="BJ9" i="3"/>
  <c r="BI9" i="3"/>
  <c r="BH9" i="3"/>
  <c r="BO8" i="3"/>
  <c r="BN8" i="3"/>
  <c r="BM8" i="3"/>
  <c r="BL8" i="3"/>
  <c r="BK8" i="3"/>
  <c r="BJ8" i="3"/>
  <c r="BI8" i="3"/>
  <c r="BH8" i="3"/>
  <c r="BO7" i="3"/>
  <c r="BN7" i="3"/>
  <c r="BM7" i="3"/>
  <c r="BL7" i="3"/>
  <c r="BK7" i="3"/>
  <c r="BJ7" i="3"/>
  <c r="BI7" i="3"/>
  <c r="BH7" i="3"/>
  <c r="BO6" i="3"/>
  <c r="BN6" i="3"/>
  <c r="BM6" i="3"/>
  <c r="BL6" i="3"/>
  <c r="BK6" i="3"/>
  <c r="BJ6" i="3"/>
  <c r="BI6" i="3"/>
  <c r="BH6" i="3"/>
  <c r="BO5" i="3"/>
  <c r="BN5" i="3"/>
  <c r="BM5" i="3"/>
  <c r="BL5" i="3"/>
  <c r="BK5" i="3"/>
  <c r="BJ5" i="3"/>
  <c r="BI5" i="3"/>
  <c r="BH5" i="3"/>
  <c r="AP91" i="2"/>
  <c r="BG91" i="2" s="1"/>
  <c r="AP90" i="2"/>
  <c r="AP90" i="3"/>
  <c r="BG90" i="3" s="1"/>
  <c r="AP91" i="3"/>
  <c r="BG91" i="3" s="1"/>
  <c r="AP30" i="3"/>
  <c r="AP31" i="3"/>
  <c r="AP32" i="3"/>
  <c r="AP33" i="3"/>
  <c r="AP34" i="3"/>
  <c r="AP35" i="3"/>
  <c r="AP36" i="3"/>
  <c r="AP30" i="2"/>
  <c r="AP31" i="2"/>
  <c r="AP32" i="2"/>
  <c r="AP33" i="2"/>
  <c r="AP34" i="2"/>
  <c r="AP35" i="2"/>
  <c r="AP36" i="2"/>
  <c r="AP18" i="2"/>
  <c r="AQ42" i="2" s="1"/>
  <c r="BH42" i="2" s="1"/>
  <c r="AP19" i="2"/>
  <c r="AQ43" i="2" s="1"/>
  <c r="BH43" i="2" s="1"/>
  <c r="AP20" i="2"/>
  <c r="AP21" i="2"/>
  <c r="AQ45" i="2" s="1"/>
  <c r="BH45" i="2" s="1"/>
  <c r="AP22" i="2"/>
  <c r="AQ46" i="2" s="1"/>
  <c r="BH46" i="2" s="1"/>
  <c r="AP23" i="2"/>
  <c r="AQ47" i="2" s="1"/>
  <c r="BH47" i="2" s="1"/>
  <c r="AP24" i="2"/>
  <c r="AP18" i="3"/>
  <c r="AP19" i="3"/>
  <c r="AP20" i="3"/>
  <c r="BB20" i="3" s="1"/>
  <c r="BS20" i="3" s="1"/>
  <c r="AP21" i="3"/>
  <c r="AP22" i="3"/>
  <c r="AP23" i="3"/>
  <c r="AP24" i="3"/>
  <c r="AP39" i="3" l="1"/>
  <c r="BG39" i="3" s="1"/>
  <c r="AP39" i="2"/>
  <c r="BG39" i="2" s="1"/>
  <c r="BC42" i="3"/>
  <c r="BT42" i="3" s="1"/>
  <c r="BC39" i="3"/>
  <c r="BT39" i="3" s="1"/>
  <c r="BF73" i="3"/>
  <c r="BF85" i="3"/>
  <c r="BE39" i="3"/>
  <c r="BD39" i="3"/>
  <c r="BC73" i="3"/>
  <c r="BC85" i="3"/>
  <c r="BD73" i="3"/>
  <c r="BD85" i="3"/>
  <c r="BE73" i="3"/>
  <c r="BE85" i="3"/>
  <c r="AA39" i="3"/>
  <c r="BB73" i="3"/>
  <c r="BB85" i="3"/>
  <c r="BC116" i="3"/>
  <c r="BT43" i="3"/>
  <c r="BT31" i="3"/>
  <c r="BT48" i="3"/>
  <c r="BT36" i="3"/>
  <c r="BT47" i="3"/>
  <c r="BT35" i="3"/>
  <c r="BT32" i="3"/>
  <c r="BT44" i="3"/>
  <c r="BT33" i="3"/>
  <c r="BT45" i="3"/>
  <c r="BT30" i="3"/>
  <c r="BT46" i="3"/>
  <c r="BT34" i="3"/>
  <c r="BG33" i="3"/>
  <c r="BG36" i="3"/>
  <c r="BG32" i="3"/>
  <c r="BG36" i="2"/>
  <c r="BG32" i="2"/>
  <c r="BG35" i="3"/>
  <c r="BG31" i="3"/>
  <c r="BG35" i="2"/>
  <c r="BG31" i="2"/>
  <c r="BG34" i="3"/>
  <c r="BG30" i="3"/>
  <c r="AO90" i="1"/>
  <c r="BE90" i="1" s="1"/>
  <c r="BF90" i="3"/>
  <c r="BW90" i="3" s="1"/>
  <c r="BE70" i="3"/>
  <c r="BE68" i="3"/>
  <c r="BG24" i="3"/>
  <c r="AQ48" i="3"/>
  <c r="BH48" i="3" s="1"/>
  <c r="BB30" i="3"/>
  <c r="BG23" i="3"/>
  <c r="AQ47" i="3"/>
  <c r="BH47" i="3" s="1"/>
  <c r="BB19" i="3"/>
  <c r="BS19" i="3" s="1"/>
  <c r="AQ43" i="3"/>
  <c r="BH43" i="3" s="1"/>
  <c r="BE80" i="3"/>
  <c r="BE84" i="3"/>
  <c r="BG22" i="3"/>
  <c r="AQ46" i="3"/>
  <c r="BH46" i="3" s="1"/>
  <c r="BG18" i="3"/>
  <c r="AQ42" i="3"/>
  <c r="BH42" i="3" s="1"/>
  <c r="AP92" i="3"/>
  <c r="BB92" i="3" s="1"/>
  <c r="BF32" i="3"/>
  <c r="BE72" i="3"/>
  <c r="BF20" i="3"/>
  <c r="AQ44" i="3"/>
  <c r="BH44" i="3" s="1"/>
  <c r="BG21" i="3"/>
  <c r="AQ45" i="3"/>
  <c r="BH45" i="3" s="1"/>
  <c r="BB33" i="3"/>
  <c r="BG24" i="2"/>
  <c r="AQ48" i="2"/>
  <c r="BH48" i="2" s="1"/>
  <c r="BG20" i="2"/>
  <c r="AQ44" i="2"/>
  <c r="BH44" i="2" s="1"/>
  <c r="BE71" i="3"/>
  <c r="BD78" i="3"/>
  <c r="BU78" i="3" s="1"/>
  <c r="BE79" i="3"/>
  <c r="BE83" i="3"/>
  <c r="BE67" i="3"/>
  <c r="BE82" i="3"/>
  <c r="BB35" i="3"/>
  <c r="BD72" i="3"/>
  <c r="BE78" i="3"/>
  <c r="BF19" i="3"/>
  <c r="BF30" i="3"/>
  <c r="BC74" i="3"/>
  <c r="BC69" i="3"/>
  <c r="BT69" i="3" s="1"/>
  <c r="BE69" i="3"/>
  <c r="BB36" i="3"/>
  <c r="BF21" i="3"/>
  <c r="BB31" i="3"/>
  <c r="BF33" i="3"/>
  <c r="BE74" i="3"/>
  <c r="BC67" i="3"/>
  <c r="BT67" i="3" s="1"/>
  <c r="BC71" i="3"/>
  <c r="BT71" i="3" s="1"/>
  <c r="BD69" i="3"/>
  <c r="BD74" i="3"/>
  <c r="BB91" i="3"/>
  <c r="BS91" i="3" s="1"/>
  <c r="BD68" i="3"/>
  <c r="BE81" i="3"/>
  <c r="BE86" i="3"/>
  <c r="BB22" i="3"/>
  <c r="BS22" i="3" s="1"/>
  <c r="BF35" i="3"/>
  <c r="BF18" i="3"/>
  <c r="BC66" i="3"/>
  <c r="BT66" i="3" s="1"/>
  <c r="BB34" i="3"/>
  <c r="BF36" i="3"/>
  <c r="BE66" i="3"/>
  <c r="BB24" i="3"/>
  <c r="BS24" i="3" s="1"/>
  <c r="BF31" i="3"/>
  <c r="BC68" i="3"/>
  <c r="BT68" i="3" s="1"/>
  <c r="BC72" i="3"/>
  <c r="BT72" i="3" s="1"/>
  <c r="BD66" i="3"/>
  <c r="BD70" i="3"/>
  <c r="BF91" i="3"/>
  <c r="BW91" i="3" s="1"/>
  <c r="BB18" i="3"/>
  <c r="BS18" i="3" s="1"/>
  <c r="BF22" i="3"/>
  <c r="BC70" i="3"/>
  <c r="BT70" i="3" s="1"/>
  <c r="AO18" i="1"/>
  <c r="BG20" i="3"/>
  <c r="AP26" i="3"/>
  <c r="BG19" i="3"/>
  <c r="BC78" i="3"/>
  <c r="BT78" i="3" s="1"/>
  <c r="BB23" i="3"/>
  <c r="BS23" i="3" s="1"/>
  <c r="BF23" i="3"/>
  <c r="BB32" i="3"/>
  <c r="BF24" i="3"/>
  <c r="BB21" i="3"/>
  <c r="BS21" i="3" s="1"/>
  <c r="BF34" i="3"/>
  <c r="BD67" i="3"/>
  <c r="BD71" i="3"/>
  <c r="BB90" i="3"/>
  <c r="BS90" i="3" s="1"/>
  <c r="AO19" i="1"/>
  <c r="AP44" i="1" s="1"/>
  <c r="BG21" i="2"/>
  <c r="AO21" i="1"/>
  <c r="AP46" i="1" s="1"/>
  <c r="BG23" i="2"/>
  <c r="AO17" i="1"/>
  <c r="AP42" i="1" s="1"/>
  <c r="BG19" i="2"/>
  <c r="AO32" i="1"/>
  <c r="BG34" i="2"/>
  <c r="AO28" i="1"/>
  <c r="BG30" i="2"/>
  <c r="AO30" i="1"/>
  <c r="AO91" i="1"/>
  <c r="AO20" i="1"/>
  <c r="AP45" i="1" s="1"/>
  <c r="BG22" i="2"/>
  <c r="AO16" i="1"/>
  <c r="AO25" i="1" s="1"/>
  <c r="BG18" i="2"/>
  <c r="AO31" i="1"/>
  <c r="BG33" i="2"/>
  <c r="AO34" i="1"/>
  <c r="AP92" i="2"/>
  <c r="BG90" i="2"/>
  <c r="BD14" i="3"/>
  <c r="BC81" i="3"/>
  <c r="BT81" i="3" s="1"/>
  <c r="BC86" i="3"/>
  <c r="BD81" i="3"/>
  <c r="BU81" i="3" s="1"/>
  <c r="BC84" i="3"/>
  <c r="BT84" i="3" s="1"/>
  <c r="BC79" i="3"/>
  <c r="BT79" i="3" s="1"/>
  <c r="BD80" i="3"/>
  <c r="BU80" i="3" s="1"/>
  <c r="BC83" i="3"/>
  <c r="BT83" i="3" s="1"/>
  <c r="BD84" i="3"/>
  <c r="BU84" i="3" s="1"/>
  <c r="BD82" i="3"/>
  <c r="BU82" i="3" s="1"/>
  <c r="BC80" i="3"/>
  <c r="BT80" i="3" s="1"/>
  <c r="BD86" i="3"/>
  <c r="BD79" i="3"/>
  <c r="BU79" i="3" s="1"/>
  <c r="BC82" i="3"/>
  <c r="BT82" i="3" s="1"/>
  <c r="BD83" i="3"/>
  <c r="BU83" i="3" s="1"/>
  <c r="BE14" i="3"/>
  <c r="AO29" i="1"/>
  <c r="AO33" i="1"/>
  <c r="AO22" i="1"/>
  <c r="AP47" i="1" s="1"/>
  <c r="AP26" i="2"/>
  <c r="B43" i="5" s="1"/>
  <c r="AP38" i="2"/>
  <c r="AP38" i="3"/>
  <c r="BC14" i="3"/>
  <c r="AP123" i="2"/>
  <c r="AP124" i="2"/>
  <c r="AP125" i="2"/>
  <c r="BG125" i="2" s="1"/>
  <c r="AP121" i="2"/>
  <c r="BD116" i="1"/>
  <c r="BC116" i="1"/>
  <c r="BB116" i="1"/>
  <c r="AZ116" i="1"/>
  <c r="AY116" i="1"/>
  <c r="AX116" i="1"/>
  <c r="AW116" i="1"/>
  <c r="AV116" i="1"/>
  <c r="AR116" i="1"/>
  <c r="AP111" i="2"/>
  <c r="AP112" i="2"/>
  <c r="AP113" i="2"/>
  <c r="AP114" i="2"/>
  <c r="AP109" i="2"/>
  <c r="AP110" i="2"/>
  <c r="AP111" i="3"/>
  <c r="AP112" i="3"/>
  <c r="AP113" i="3"/>
  <c r="AP114" i="3"/>
  <c r="AP109" i="3"/>
  <c r="AP110" i="3"/>
  <c r="AZ125" i="1"/>
  <c r="AY125" i="1"/>
  <c r="AX125" i="1"/>
  <c r="AW125" i="1"/>
  <c r="AV125" i="1"/>
  <c r="AU125" i="1"/>
  <c r="AT125" i="1"/>
  <c r="AS125" i="1"/>
  <c r="AR125" i="1"/>
  <c r="AQ125" i="1"/>
  <c r="AP125" i="1"/>
  <c r="AZ124" i="1"/>
  <c r="AY124" i="1"/>
  <c r="AX124" i="1"/>
  <c r="AW124" i="1"/>
  <c r="AV124" i="1"/>
  <c r="AU124" i="1"/>
  <c r="AT124" i="1"/>
  <c r="AS124" i="1"/>
  <c r="AR124" i="1"/>
  <c r="AQ124" i="1"/>
  <c r="AP124" i="1"/>
  <c r="AZ123" i="1"/>
  <c r="AY123" i="1"/>
  <c r="AX123" i="1"/>
  <c r="AW123" i="1"/>
  <c r="AV123" i="1"/>
  <c r="AU123" i="1"/>
  <c r="AT123" i="1"/>
  <c r="AS123" i="1"/>
  <c r="AR123" i="1"/>
  <c r="AQ123" i="1"/>
  <c r="AP123" i="1"/>
  <c r="AZ122" i="1"/>
  <c r="AY122" i="1"/>
  <c r="AX122" i="1"/>
  <c r="AW122" i="1"/>
  <c r="AV122" i="1"/>
  <c r="AU122" i="1"/>
  <c r="AT122" i="1"/>
  <c r="AS122" i="1"/>
  <c r="AR122" i="1"/>
  <c r="AQ122" i="1"/>
  <c r="AP122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Z120" i="1"/>
  <c r="AY120" i="1"/>
  <c r="AX120" i="1"/>
  <c r="AW120" i="1"/>
  <c r="AV120" i="1"/>
  <c r="AU120" i="1"/>
  <c r="AT120" i="1"/>
  <c r="AS120" i="1"/>
  <c r="AR120" i="1"/>
  <c r="AQ120" i="1"/>
  <c r="AP120" i="1"/>
  <c r="AP123" i="3"/>
  <c r="AP124" i="3"/>
  <c r="AP125" i="3"/>
  <c r="AP126" i="3"/>
  <c r="AP121" i="3"/>
  <c r="BB39" i="3" l="1"/>
  <c r="BS39" i="3" s="1"/>
  <c r="BF39" i="3"/>
  <c r="BW39" i="3" s="1"/>
  <c r="AQ50" i="3"/>
  <c r="B44" i="5"/>
  <c r="BA90" i="1"/>
  <c r="BW30" i="3"/>
  <c r="BW36" i="3"/>
  <c r="BW33" i="3"/>
  <c r="BW32" i="3"/>
  <c r="BS30" i="3"/>
  <c r="BS35" i="3"/>
  <c r="BW34" i="3"/>
  <c r="BW31" i="3"/>
  <c r="BS34" i="3"/>
  <c r="BW35" i="3"/>
  <c r="BS31" i="3"/>
  <c r="BS36" i="3"/>
  <c r="BS33" i="3"/>
  <c r="BF92" i="3"/>
  <c r="AJ8" i="5" s="1"/>
  <c r="AO153" i="1"/>
  <c r="AP41" i="1"/>
  <c r="BE18" i="1"/>
  <c r="AP43" i="1"/>
  <c r="AQ50" i="2"/>
  <c r="BA18" i="1"/>
  <c r="BF123" i="3"/>
  <c r="BB123" i="3"/>
  <c r="AO125" i="1"/>
  <c r="BE125" i="1" s="1"/>
  <c r="BG126" i="3"/>
  <c r="BF126" i="3"/>
  <c r="BB126" i="3"/>
  <c r="BF110" i="3"/>
  <c r="BB110" i="3"/>
  <c r="BF26" i="3"/>
  <c r="AJ7" i="5" s="1"/>
  <c r="BB26" i="3"/>
  <c r="BF125" i="3"/>
  <c r="BB125" i="3"/>
  <c r="BF109" i="3"/>
  <c r="BB109" i="3"/>
  <c r="BF111" i="3"/>
  <c r="BB111" i="3"/>
  <c r="BF38" i="3"/>
  <c r="BB38" i="3"/>
  <c r="BF121" i="3"/>
  <c r="BB121" i="3"/>
  <c r="BF112" i="3"/>
  <c r="BB112" i="3"/>
  <c r="BG124" i="3"/>
  <c r="BB124" i="3"/>
  <c r="BF124" i="3"/>
  <c r="AO123" i="1"/>
  <c r="BA123" i="1" s="1"/>
  <c r="BB114" i="3"/>
  <c r="BF114" i="3"/>
  <c r="AO114" i="1"/>
  <c r="BA114" i="1" s="1"/>
  <c r="BF113" i="3"/>
  <c r="BB113" i="3"/>
  <c r="BS32" i="3"/>
  <c r="BA29" i="1"/>
  <c r="BE29" i="1"/>
  <c r="BE121" i="1"/>
  <c r="BA121" i="1"/>
  <c r="BD122" i="1"/>
  <c r="BD123" i="1"/>
  <c r="BC124" i="1"/>
  <c r="BB125" i="1"/>
  <c r="AO110" i="1"/>
  <c r="AO112" i="1"/>
  <c r="BE34" i="1"/>
  <c r="BA34" i="1"/>
  <c r="BE16" i="1"/>
  <c r="BA16" i="1"/>
  <c r="BE30" i="1"/>
  <c r="BA30" i="1"/>
  <c r="BE32" i="1"/>
  <c r="BA32" i="1"/>
  <c r="BA21" i="1"/>
  <c r="BE21" i="1"/>
  <c r="BB120" i="1"/>
  <c r="BB121" i="1"/>
  <c r="BD124" i="1"/>
  <c r="BC125" i="1"/>
  <c r="AO113" i="1"/>
  <c r="BC122" i="1"/>
  <c r="BC123" i="1"/>
  <c r="BB124" i="1"/>
  <c r="AP116" i="2"/>
  <c r="BE22" i="1"/>
  <c r="BA22" i="1"/>
  <c r="AO36" i="1"/>
  <c r="BE91" i="1"/>
  <c r="BA91" i="1"/>
  <c r="BD120" i="1"/>
  <c r="BD121" i="1"/>
  <c r="AO124" i="1"/>
  <c r="AQ126" i="1"/>
  <c r="AU126" i="1"/>
  <c r="BC120" i="1"/>
  <c r="AY126" i="1"/>
  <c r="BC121" i="1"/>
  <c r="BB122" i="1"/>
  <c r="BB123" i="1"/>
  <c r="BD125" i="1"/>
  <c r="AO109" i="1"/>
  <c r="AO111" i="1"/>
  <c r="BE33" i="1"/>
  <c r="BA33" i="1"/>
  <c r="AO24" i="1"/>
  <c r="B90" i="5" s="1"/>
  <c r="BE31" i="1"/>
  <c r="BA31" i="1"/>
  <c r="BA20" i="1"/>
  <c r="BE20" i="1"/>
  <c r="BA28" i="1"/>
  <c r="BE28" i="1"/>
  <c r="BA17" i="1"/>
  <c r="BE17" i="1"/>
  <c r="BE19" i="1"/>
  <c r="BA19" i="1"/>
  <c r="AO92" i="1"/>
  <c r="AO145" i="1"/>
  <c r="BE145" i="1" s="1"/>
  <c r="AO152" i="1"/>
  <c r="AO151" i="1"/>
  <c r="AP127" i="2"/>
  <c r="AO120" i="1"/>
  <c r="AO122" i="1"/>
  <c r="AP116" i="3"/>
  <c r="AZ126" i="1"/>
  <c r="AP126" i="1"/>
  <c r="AT126" i="1"/>
  <c r="AX126" i="1"/>
  <c r="AV126" i="1"/>
  <c r="AW126" i="1"/>
  <c r="AR126" i="1"/>
  <c r="AS126" i="1"/>
  <c r="AP127" i="3"/>
  <c r="AZ60" i="1"/>
  <c r="AY60" i="1"/>
  <c r="AX60" i="1"/>
  <c r="AW60" i="1"/>
  <c r="AU60" i="1"/>
  <c r="AT60" i="1"/>
  <c r="AS60" i="1"/>
  <c r="AR60" i="1"/>
  <c r="AQ60" i="1"/>
  <c r="AP60" i="1"/>
  <c r="AZ59" i="1"/>
  <c r="AY59" i="1"/>
  <c r="AX59" i="1"/>
  <c r="AW59" i="1"/>
  <c r="AU59" i="1"/>
  <c r="AT59" i="1"/>
  <c r="AS59" i="1"/>
  <c r="AR59" i="1"/>
  <c r="AQ59" i="1"/>
  <c r="AP59" i="1"/>
  <c r="AZ58" i="1"/>
  <c r="AY58" i="1"/>
  <c r="AX58" i="1"/>
  <c r="AW58" i="1"/>
  <c r="AU58" i="1"/>
  <c r="AT58" i="1"/>
  <c r="AS58" i="1"/>
  <c r="AR58" i="1"/>
  <c r="AQ58" i="1"/>
  <c r="AP58" i="1"/>
  <c r="AZ57" i="1"/>
  <c r="AY57" i="1"/>
  <c r="AX57" i="1"/>
  <c r="AW57" i="1"/>
  <c r="AU57" i="1"/>
  <c r="AT57" i="1"/>
  <c r="AS57" i="1"/>
  <c r="AR57" i="1"/>
  <c r="AQ57" i="1"/>
  <c r="AP57" i="1"/>
  <c r="AZ56" i="1"/>
  <c r="AY56" i="1"/>
  <c r="AX56" i="1"/>
  <c r="AW56" i="1"/>
  <c r="AU56" i="1"/>
  <c r="AT56" i="1"/>
  <c r="AS56" i="1"/>
  <c r="AR56" i="1"/>
  <c r="AQ56" i="1"/>
  <c r="AP56" i="1"/>
  <c r="AZ55" i="1"/>
  <c r="AY55" i="1"/>
  <c r="AX55" i="1"/>
  <c r="AW55" i="1"/>
  <c r="AU55" i="1"/>
  <c r="AT55" i="1"/>
  <c r="AS55" i="1"/>
  <c r="AR55" i="1"/>
  <c r="AQ55" i="1"/>
  <c r="AP55" i="1"/>
  <c r="AZ54" i="1"/>
  <c r="AY54" i="1"/>
  <c r="AX54" i="1"/>
  <c r="AW54" i="1"/>
  <c r="AU54" i="1"/>
  <c r="AT54" i="1"/>
  <c r="AS54" i="1"/>
  <c r="AR54" i="1"/>
  <c r="AQ54" i="1"/>
  <c r="AP54" i="1"/>
  <c r="AP54" i="3"/>
  <c r="AP55" i="3"/>
  <c r="AP56" i="3"/>
  <c r="AP57" i="3"/>
  <c r="AP58" i="3"/>
  <c r="AP59" i="3"/>
  <c r="AP60" i="3"/>
  <c r="AP54" i="2"/>
  <c r="BG54" i="2" s="1"/>
  <c r="AP55" i="2"/>
  <c r="BG55" i="2" s="1"/>
  <c r="AP56" i="2"/>
  <c r="AP57" i="2"/>
  <c r="AP58" i="2"/>
  <c r="BG58" i="2" s="1"/>
  <c r="AP59" i="2"/>
  <c r="AP60" i="2"/>
  <c r="AP131" i="3"/>
  <c r="AP132" i="3"/>
  <c r="AP133" i="3"/>
  <c r="AP134" i="3"/>
  <c r="AP135" i="3"/>
  <c r="AP136" i="3"/>
  <c r="AP137" i="3"/>
  <c r="AP131" i="2"/>
  <c r="AP132" i="2"/>
  <c r="AP133" i="2"/>
  <c r="AP134" i="2"/>
  <c r="AP135" i="2"/>
  <c r="AP136" i="2"/>
  <c r="AP137" i="2"/>
  <c r="AZ103" i="1"/>
  <c r="AY103" i="1"/>
  <c r="AX103" i="1"/>
  <c r="AW103" i="1"/>
  <c r="AV103" i="1"/>
  <c r="AU103" i="1"/>
  <c r="AT103" i="1"/>
  <c r="AS103" i="1"/>
  <c r="AR103" i="1"/>
  <c r="AQ103" i="1"/>
  <c r="AP103" i="1"/>
  <c r="AZ102" i="1"/>
  <c r="AY102" i="1"/>
  <c r="AX102" i="1"/>
  <c r="AW102" i="1"/>
  <c r="AV102" i="1"/>
  <c r="AU102" i="1"/>
  <c r="AT102" i="1"/>
  <c r="AS102" i="1"/>
  <c r="AR102" i="1"/>
  <c r="AQ102" i="1"/>
  <c r="AP102" i="1"/>
  <c r="AZ101" i="1"/>
  <c r="AY101" i="1"/>
  <c r="AX101" i="1"/>
  <c r="AW101" i="1"/>
  <c r="AV101" i="1"/>
  <c r="AU101" i="1"/>
  <c r="AT101" i="1"/>
  <c r="AS101" i="1"/>
  <c r="AR101" i="1"/>
  <c r="AQ101" i="1"/>
  <c r="AP101" i="1"/>
  <c r="AZ100" i="1"/>
  <c r="AY100" i="1"/>
  <c r="AX100" i="1"/>
  <c r="AW100" i="1"/>
  <c r="AV100" i="1"/>
  <c r="AU100" i="1"/>
  <c r="AT100" i="1"/>
  <c r="AS100" i="1"/>
  <c r="AR100" i="1"/>
  <c r="AQ100" i="1"/>
  <c r="AP100" i="1"/>
  <c r="AZ99" i="1"/>
  <c r="AY99" i="1"/>
  <c r="AX99" i="1"/>
  <c r="AW99" i="1"/>
  <c r="AV99" i="1"/>
  <c r="AU99" i="1"/>
  <c r="AT99" i="1"/>
  <c r="AS99" i="1"/>
  <c r="AR99" i="1"/>
  <c r="AQ99" i="1"/>
  <c r="AP99" i="1"/>
  <c r="AZ98" i="1"/>
  <c r="AY98" i="1"/>
  <c r="AX98" i="1"/>
  <c r="AW98" i="1"/>
  <c r="AV98" i="1"/>
  <c r="AU98" i="1"/>
  <c r="AT98" i="1"/>
  <c r="AS98" i="1"/>
  <c r="AR98" i="1"/>
  <c r="AQ98" i="1"/>
  <c r="AP98" i="1"/>
  <c r="AZ97" i="1"/>
  <c r="AY97" i="1"/>
  <c r="AX97" i="1"/>
  <c r="AW97" i="1"/>
  <c r="AV97" i="1"/>
  <c r="AU97" i="1"/>
  <c r="AT97" i="1"/>
  <c r="AS97" i="1"/>
  <c r="AR97" i="1"/>
  <c r="AQ97" i="1"/>
  <c r="AP97" i="1"/>
  <c r="AP97" i="3"/>
  <c r="AP98" i="3"/>
  <c r="AP99" i="3"/>
  <c r="AP100" i="3"/>
  <c r="AP101" i="3"/>
  <c r="AP102" i="3"/>
  <c r="AP103" i="3"/>
  <c r="BC105" i="3"/>
  <c r="AP97" i="2"/>
  <c r="AP98" i="2"/>
  <c r="AP99" i="2"/>
  <c r="AP100" i="2"/>
  <c r="AP101" i="2"/>
  <c r="AP102" i="2"/>
  <c r="AP103" i="2"/>
  <c r="BE129" i="1"/>
  <c r="BE119" i="1"/>
  <c r="BE108" i="1"/>
  <c r="BE96" i="1"/>
  <c r="BE89" i="1"/>
  <c r="BE77" i="1"/>
  <c r="BE65" i="1"/>
  <c r="BE53" i="1"/>
  <c r="BE40" i="1"/>
  <c r="BE27" i="1"/>
  <c r="BE15" i="1"/>
  <c r="BD14" i="1"/>
  <c r="BC14" i="1"/>
  <c r="BB14" i="1"/>
  <c r="BD13" i="1"/>
  <c r="BC13" i="1"/>
  <c r="BB13" i="1"/>
  <c r="BD12" i="1"/>
  <c r="BC12" i="1"/>
  <c r="BB12" i="1"/>
  <c r="BD10" i="1"/>
  <c r="BC10" i="1"/>
  <c r="BB10" i="1"/>
  <c r="BD9" i="1"/>
  <c r="BC9" i="1"/>
  <c r="BB9" i="1"/>
  <c r="BD8" i="1"/>
  <c r="BC8" i="1"/>
  <c r="BB8" i="1"/>
  <c r="BD7" i="1"/>
  <c r="BC7" i="1"/>
  <c r="BB7" i="1"/>
  <c r="BD6" i="1"/>
  <c r="BC6" i="1"/>
  <c r="BB6" i="1"/>
  <c r="BD5" i="1"/>
  <c r="BC5" i="1"/>
  <c r="BB5" i="1"/>
  <c r="BD4" i="1"/>
  <c r="AP13" i="3"/>
  <c r="AP13" i="2"/>
  <c r="AP4" i="2"/>
  <c r="AP5" i="2"/>
  <c r="B5" i="5" s="1"/>
  <c r="AP6" i="2"/>
  <c r="AP7" i="2"/>
  <c r="AP8" i="2"/>
  <c r="AP9" i="2"/>
  <c r="B9" i="5" s="1"/>
  <c r="AP10" i="2"/>
  <c r="BE3" i="1"/>
  <c r="AP4" i="3"/>
  <c r="T4" i="5" s="1"/>
  <c r="AP5" i="3"/>
  <c r="T5" i="5" s="1"/>
  <c r="AP6" i="3"/>
  <c r="T6" i="5" s="1"/>
  <c r="AP7" i="3"/>
  <c r="T7" i="5" s="1"/>
  <c r="AP8" i="3"/>
  <c r="T8" i="5" s="1"/>
  <c r="AP9" i="3"/>
  <c r="T9" i="5" s="1"/>
  <c r="AP10" i="3"/>
  <c r="T10" i="5" s="1"/>
  <c r="BB55" i="1" l="1"/>
  <c r="AU66" i="1"/>
  <c r="AU163" i="1"/>
  <c r="AU158" i="1"/>
  <c r="AU78" i="1"/>
  <c r="AU68" i="1"/>
  <c r="AU80" i="1"/>
  <c r="AU161" i="1"/>
  <c r="AU70" i="1"/>
  <c r="AU156" i="1"/>
  <c r="AU82" i="1"/>
  <c r="AU72" i="1"/>
  <c r="AU84" i="1"/>
  <c r="AU67" i="1"/>
  <c r="AU162" i="1"/>
  <c r="AU157" i="1"/>
  <c r="AU79" i="1"/>
  <c r="AU69" i="1"/>
  <c r="AU81" i="1"/>
  <c r="AU71" i="1"/>
  <c r="AU83" i="1"/>
  <c r="BB54" i="1"/>
  <c r="AR105" i="1"/>
  <c r="AV105" i="1"/>
  <c r="AZ105" i="1"/>
  <c r="AW105" i="1"/>
  <c r="AX105" i="1"/>
  <c r="AQ105" i="1"/>
  <c r="AU105" i="1"/>
  <c r="AY105" i="1"/>
  <c r="AT162" i="1"/>
  <c r="AT157" i="1"/>
  <c r="AT163" i="1"/>
  <c r="AT158" i="1"/>
  <c r="AT161" i="1"/>
  <c r="AT156" i="1"/>
  <c r="AT105" i="1"/>
  <c r="AT84" i="1"/>
  <c r="AT72" i="1"/>
  <c r="AT83" i="1"/>
  <c r="AT71" i="1"/>
  <c r="AT69" i="1"/>
  <c r="AT81" i="1"/>
  <c r="AT80" i="1"/>
  <c r="AT68" i="1"/>
  <c r="AT79" i="1"/>
  <c r="AT67" i="1"/>
  <c r="AT78" i="1"/>
  <c r="AT66" i="1"/>
  <c r="AT82" i="1"/>
  <c r="AT70" i="1"/>
  <c r="AS105" i="1"/>
  <c r="AS157" i="1"/>
  <c r="AS79" i="1"/>
  <c r="AS162" i="1"/>
  <c r="AS67" i="1"/>
  <c r="AS83" i="1"/>
  <c r="AS71" i="1"/>
  <c r="AS81" i="1"/>
  <c r="AS69" i="1"/>
  <c r="AS80" i="1"/>
  <c r="AS68" i="1"/>
  <c r="AS84" i="1"/>
  <c r="AS72" i="1"/>
  <c r="AS158" i="1"/>
  <c r="AS78" i="1"/>
  <c r="AS66" i="1"/>
  <c r="AS163" i="1"/>
  <c r="AS156" i="1"/>
  <c r="AS82" i="1"/>
  <c r="AS70" i="1"/>
  <c r="AS161" i="1"/>
  <c r="T12" i="5"/>
  <c r="BG8" i="2"/>
  <c r="B8" i="5"/>
  <c r="BG4" i="2"/>
  <c r="B4" i="5"/>
  <c r="BG7" i="2"/>
  <c r="B7" i="5"/>
  <c r="BG10" i="2"/>
  <c r="B10" i="5"/>
  <c r="BG6" i="2"/>
  <c r="B6" i="5"/>
  <c r="AR162" i="1"/>
  <c r="AR157" i="1"/>
  <c r="AR163" i="1"/>
  <c r="AR158" i="1"/>
  <c r="AR161" i="1"/>
  <c r="AR156" i="1"/>
  <c r="BE105" i="3"/>
  <c r="BD105" i="3"/>
  <c r="AR69" i="1"/>
  <c r="AR81" i="1"/>
  <c r="AR68" i="1"/>
  <c r="AR80" i="1"/>
  <c r="AR72" i="1"/>
  <c r="AR84" i="1"/>
  <c r="AR67" i="1"/>
  <c r="AR79" i="1"/>
  <c r="AR71" i="1"/>
  <c r="AR83" i="1"/>
  <c r="AR66" i="1"/>
  <c r="AR62" i="1"/>
  <c r="AR78" i="1"/>
  <c r="AR70" i="1"/>
  <c r="AR82" i="1"/>
  <c r="AP62" i="1"/>
  <c r="AQ162" i="1"/>
  <c r="AQ157" i="1"/>
  <c r="AQ163" i="1"/>
  <c r="AQ62" i="1"/>
  <c r="AQ158" i="1"/>
  <c r="AQ161" i="1"/>
  <c r="AQ156" i="1"/>
  <c r="AQ67" i="1"/>
  <c r="AQ79" i="1"/>
  <c r="AQ71" i="1"/>
  <c r="AQ83" i="1"/>
  <c r="AQ66" i="1"/>
  <c r="AQ78" i="1"/>
  <c r="AQ70" i="1"/>
  <c r="AQ82" i="1"/>
  <c r="AQ69" i="1"/>
  <c r="AQ81" i="1"/>
  <c r="AQ80" i="1"/>
  <c r="AQ68" i="1"/>
  <c r="AQ72" i="1"/>
  <c r="AQ84" i="1"/>
  <c r="AP105" i="1"/>
  <c r="AP161" i="1"/>
  <c r="AP70" i="1"/>
  <c r="AP156" i="1"/>
  <c r="AP82" i="1"/>
  <c r="AP68" i="1"/>
  <c r="AP80" i="1"/>
  <c r="AP72" i="1"/>
  <c r="AP84" i="1"/>
  <c r="AP163" i="1"/>
  <c r="AP66" i="1"/>
  <c r="AP158" i="1"/>
  <c r="AP78" i="1"/>
  <c r="AP69" i="1"/>
  <c r="AP81" i="1"/>
  <c r="AP162" i="1"/>
  <c r="AP67" i="1"/>
  <c r="AP79" i="1"/>
  <c r="AP157" i="1"/>
  <c r="AP71" i="1"/>
  <c r="AP83" i="1"/>
  <c r="BE123" i="1"/>
  <c r="AO147" i="1"/>
  <c r="BE147" i="1" s="1"/>
  <c r="AP49" i="1"/>
  <c r="BE114" i="1"/>
  <c r="BA125" i="1"/>
  <c r="BB100" i="3"/>
  <c r="BF100" i="3"/>
  <c r="BF99" i="3"/>
  <c r="BB99" i="3"/>
  <c r="BF136" i="3"/>
  <c r="BB136" i="3"/>
  <c r="BF132" i="3"/>
  <c r="BB132" i="3"/>
  <c r="AP69" i="3"/>
  <c r="BG57" i="3"/>
  <c r="BB57" i="3"/>
  <c r="BF57" i="3"/>
  <c r="BB127" i="3"/>
  <c r="BF102" i="3"/>
  <c r="BB102" i="3"/>
  <c r="BF98" i="3"/>
  <c r="BB98" i="3"/>
  <c r="BB135" i="3"/>
  <c r="BF135" i="3"/>
  <c r="AP139" i="3"/>
  <c r="BF139" i="3" s="1"/>
  <c r="BB131" i="3"/>
  <c r="BF131" i="3"/>
  <c r="AP72" i="3"/>
  <c r="BG60" i="3"/>
  <c r="BF60" i="3"/>
  <c r="BB60" i="3"/>
  <c r="AP68" i="3"/>
  <c r="BG56" i="3"/>
  <c r="BF56" i="3"/>
  <c r="BB56" i="3"/>
  <c r="BF127" i="3"/>
  <c r="AO116" i="1"/>
  <c r="BB116" i="3"/>
  <c r="AO4" i="1"/>
  <c r="AO168" i="1" s="1"/>
  <c r="BG4" i="3"/>
  <c r="BF103" i="3"/>
  <c r="BB103" i="3"/>
  <c r="BF101" i="3"/>
  <c r="BB101" i="3"/>
  <c r="BF97" i="3"/>
  <c r="BB97" i="3"/>
  <c r="BF134" i="3"/>
  <c r="BB134" i="3"/>
  <c r="AP71" i="3"/>
  <c r="BG59" i="3"/>
  <c r="BB59" i="3"/>
  <c r="BF59" i="3"/>
  <c r="AP67" i="3"/>
  <c r="BG55" i="3"/>
  <c r="BB55" i="3"/>
  <c r="BF55" i="3"/>
  <c r="AO146" i="1"/>
  <c r="BE146" i="1" s="1"/>
  <c r="BF116" i="3"/>
  <c r="BB137" i="3"/>
  <c r="BF137" i="3"/>
  <c r="BB133" i="3"/>
  <c r="BF133" i="3"/>
  <c r="AP70" i="3"/>
  <c r="BG58" i="3"/>
  <c r="BF58" i="3"/>
  <c r="BB58" i="3"/>
  <c r="AP66" i="3"/>
  <c r="BG54" i="3"/>
  <c r="BF54" i="3"/>
  <c r="BB54" i="3"/>
  <c r="AO97" i="1"/>
  <c r="BD100" i="1"/>
  <c r="BC101" i="1"/>
  <c r="AO126" i="1"/>
  <c r="BE122" i="1"/>
  <c r="BA122" i="1"/>
  <c r="BE92" i="1"/>
  <c r="F7" i="4" s="1"/>
  <c r="H7" i="4" s="1"/>
  <c r="BA92" i="1"/>
  <c r="BB97" i="1"/>
  <c r="BD99" i="1"/>
  <c r="BC100" i="1"/>
  <c r="BB101" i="1"/>
  <c r="BD103" i="1"/>
  <c r="AP69" i="2"/>
  <c r="BG57" i="2"/>
  <c r="AU62" i="1"/>
  <c r="BC54" i="1"/>
  <c r="BC78" i="1" s="1"/>
  <c r="AY62" i="1"/>
  <c r="BD57" i="1"/>
  <c r="BD69" i="1" s="1"/>
  <c r="BC58" i="1"/>
  <c r="BC82" i="1" s="1"/>
  <c r="BB59" i="1"/>
  <c r="BE111" i="1"/>
  <c r="BA111" i="1"/>
  <c r="BE36" i="1"/>
  <c r="BA36" i="1"/>
  <c r="BA113" i="1"/>
  <c r="BE113" i="1"/>
  <c r="BE110" i="1"/>
  <c r="BA110" i="1"/>
  <c r="AP79" i="2"/>
  <c r="BG5" i="2"/>
  <c r="AO101" i="1"/>
  <c r="BC97" i="1"/>
  <c r="BB102" i="1"/>
  <c r="AT62" i="1"/>
  <c r="BD58" i="1"/>
  <c r="BD70" i="1" s="1"/>
  <c r="AO99" i="1"/>
  <c r="BD98" i="1"/>
  <c r="BC99" i="1"/>
  <c r="BB100" i="1"/>
  <c r="BD102" i="1"/>
  <c r="BC103" i="1"/>
  <c r="AP72" i="2"/>
  <c r="BG60" i="2"/>
  <c r="AP68" i="2"/>
  <c r="BG56" i="2"/>
  <c r="AZ62" i="1"/>
  <c r="BD56" i="1"/>
  <c r="BD68" i="1" s="1"/>
  <c r="BC57" i="1"/>
  <c r="BC81" i="1" s="1"/>
  <c r="BB58" i="1"/>
  <c r="BD60" i="1"/>
  <c r="BD72" i="1" s="1"/>
  <c r="BE120" i="1"/>
  <c r="BA120" i="1"/>
  <c r="BE109" i="1"/>
  <c r="BA109" i="1"/>
  <c r="BE124" i="1"/>
  <c r="BA124" i="1"/>
  <c r="AP83" i="2"/>
  <c r="BG9" i="2"/>
  <c r="BB98" i="1"/>
  <c r="AX62" i="1"/>
  <c r="BD54" i="1"/>
  <c r="BD66" i="1" s="1"/>
  <c r="BC55" i="1"/>
  <c r="BC79" i="1" s="1"/>
  <c r="BB56" i="1"/>
  <c r="BC59" i="1"/>
  <c r="BC83" i="1" s="1"/>
  <c r="BB60" i="1"/>
  <c r="AO9" i="1"/>
  <c r="BA9" i="1" s="1"/>
  <c r="AO102" i="1"/>
  <c r="AO98" i="1"/>
  <c r="AO103" i="1"/>
  <c r="BD97" i="1"/>
  <c r="BC98" i="1"/>
  <c r="BB99" i="1"/>
  <c r="BD101" i="1"/>
  <c r="BC102" i="1"/>
  <c r="BB103" i="1"/>
  <c r="AP71" i="2"/>
  <c r="BG59" i="2"/>
  <c r="AS62" i="1"/>
  <c r="AW62" i="1"/>
  <c r="BD55" i="1"/>
  <c r="BD67" i="1" s="1"/>
  <c r="BC56" i="1"/>
  <c r="BC80" i="1" s="1"/>
  <c r="BB57" i="1"/>
  <c r="BD59" i="1"/>
  <c r="BD71" i="1" s="1"/>
  <c r="BC60" i="1"/>
  <c r="BC84" i="1" s="1"/>
  <c r="BB126" i="1"/>
  <c r="BD126" i="1"/>
  <c r="BE24" i="1"/>
  <c r="BA24" i="1"/>
  <c r="BC126" i="1"/>
  <c r="BA112" i="1"/>
  <c r="BE112" i="1"/>
  <c r="BF8" i="3"/>
  <c r="BB8" i="3"/>
  <c r="BG8" i="3"/>
  <c r="AP82" i="3"/>
  <c r="AO8" i="1"/>
  <c r="BA8" i="1" s="1"/>
  <c r="AP82" i="2"/>
  <c r="AO6" i="1"/>
  <c r="BF6" i="3"/>
  <c r="BB6" i="3"/>
  <c r="AP80" i="3"/>
  <c r="BG6" i="3"/>
  <c r="AP84" i="2"/>
  <c r="AP80" i="2"/>
  <c r="BG13" i="3"/>
  <c r="BF13" i="3"/>
  <c r="BW13" i="3" s="1"/>
  <c r="BB13" i="3"/>
  <c r="BS13" i="3" s="1"/>
  <c r="AP139" i="2"/>
  <c r="AO55" i="1"/>
  <c r="AP67" i="2"/>
  <c r="AP12" i="3"/>
  <c r="AP14" i="3" s="1"/>
  <c r="BB4" i="3"/>
  <c r="AP78" i="3"/>
  <c r="BF4" i="3"/>
  <c r="AP78" i="2"/>
  <c r="BG7" i="3"/>
  <c r="AP81" i="3"/>
  <c r="BF7" i="3"/>
  <c r="BB7" i="3"/>
  <c r="AO7" i="1"/>
  <c r="BE7" i="1" s="1"/>
  <c r="AP81" i="2"/>
  <c r="AO100" i="1"/>
  <c r="AO10" i="1"/>
  <c r="BE10" i="1" s="1"/>
  <c r="BF10" i="3"/>
  <c r="BB10" i="3"/>
  <c r="AP84" i="3"/>
  <c r="BG10" i="3"/>
  <c r="AP83" i="3"/>
  <c r="BG9" i="3"/>
  <c r="BF9" i="3"/>
  <c r="BB9" i="3"/>
  <c r="AO5" i="1"/>
  <c r="BE5" i="1" s="1"/>
  <c r="AP79" i="3"/>
  <c r="BG5" i="3"/>
  <c r="BF5" i="3"/>
  <c r="BB5" i="3"/>
  <c r="AP105" i="3"/>
  <c r="AO58" i="1"/>
  <c r="AP70" i="2"/>
  <c r="AO54" i="1"/>
  <c r="AP66" i="2"/>
  <c r="AO59" i="1"/>
  <c r="BA10" i="1"/>
  <c r="BA5" i="1"/>
  <c r="AP105" i="2"/>
  <c r="AO57" i="1"/>
  <c r="AO60" i="1"/>
  <c r="AO56" i="1"/>
  <c r="AP62" i="2"/>
  <c r="AP63" i="2" s="1"/>
  <c r="AP62" i="3"/>
  <c r="AP63" i="3" s="1"/>
  <c r="AO13" i="1"/>
  <c r="AP12" i="2"/>
  <c r="B61" i="5" l="1"/>
  <c r="AP15" i="3"/>
  <c r="AU74" i="1"/>
  <c r="C10" i="4" s="1"/>
  <c r="AU86" i="1"/>
  <c r="C11" i="4" s="1"/>
  <c r="E11" i="4" s="1"/>
  <c r="AT86" i="1"/>
  <c r="AT74" i="1"/>
  <c r="BB84" i="1"/>
  <c r="BB82" i="1"/>
  <c r="BB78" i="1"/>
  <c r="BB79" i="1"/>
  <c r="BB81" i="1"/>
  <c r="BB83" i="1"/>
  <c r="AS86" i="1"/>
  <c r="AS74" i="1"/>
  <c r="B12" i="5"/>
  <c r="AR74" i="1"/>
  <c r="AR86" i="1"/>
  <c r="BE9" i="1"/>
  <c r="AQ74" i="1"/>
  <c r="AQ86" i="1"/>
  <c r="BE4" i="1"/>
  <c r="AO148" i="1"/>
  <c r="BE148" i="1" s="1"/>
  <c r="AP74" i="1"/>
  <c r="AP86" i="1"/>
  <c r="BF78" i="3"/>
  <c r="AO158" i="1"/>
  <c r="BA4" i="1"/>
  <c r="BS54" i="3"/>
  <c r="BB66" i="3"/>
  <c r="BS66" i="3" s="1"/>
  <c r="BS58" i="3"/>
  <c r="BB70" i="3"/>
  <c r="BS70" i="3" s="1"/>
  <c r="BW56" i="3"/>
  <c r="BF68" i="3"/>
  <c r="BW60" i="3"/>
  <c r="BF72" i="3"/>
  <c r="BW57" i="3"/>
  <c r="BF69" i="3"/>
  <c r="BW54" i="3"/>
  <c r="BF66" i="3"/>
  <c r="BW58" i="3"/>
  <c r="BF70" i="3"/>
  <c r="BW55" i="3"/>
  <c r="BF67" i="3"/>
  <c r="BW59" i="3"/>
  <c r="BF71" i="3"/>
  <c r="BS57" i="3"/>
  <c r="BB69" i="3"/>
  <c r="BS69" i="3" s="1"/>
  <c r="BB105" i="3"/>
  <c r="BF105" i="3"/>
  <c r="BE116" i="1"/>
  <c r="BS55" i="3"/>
  <c r="BB67" i="3"/>
  <c r="BS67" i="3" s="1"/>
  <c r="BS59" i="3"/>
  <c r="BB71" i="3"/>
  <c r="BS71" i="3" s="1"/>
  <c r="BB139" i="3"/>
  <c r="AP74" i="3"/>
  <c r="BB62" i="3"/>
  <c r="BF62" i="3"/>
  <c r="BD82" i="1"/>
  <c r="BD83" i="1"/>
  <c r="BS56" i="3"/>
  <c r="BB68" i="3"/>
  <c r="BS68" i="3" s="1"/>
  <c r="BS60" i="3"/>
  <c r="BB72" i="3"/>
  <c r="BS72" i="3" s="1"/>
  <c r="BC68" i="1"/>
  <c r="BB68" i="1"/>
  <c r="BA126" i="1"/>
  <c r="BE99" i="1"/>
  <c r="BA99" i="1"/>
  <c r="BA101" i="1"/>
  <c r="BE101" i="1"/>
  <c r="BB105" i="1"/>
  <c r="BE97" i="1"/>
  <c r="BA97" i="1"/>
  <c r="AP74" i="2"/>
  <c r="BE54" i="1"/>
  <c r="BA54" i="1"/>
  <c r="BA55" i="1"/>
  <c r="BA79" i="1" s="1"/>
  <c r="BE55" i="1"/>
  <c r="BE79" i="1" s="1"/>
  <c r="BE98" i="1"/>
  <c r="BA98" i="1"/>
  <c r="BD81" i="1"/>
  <c r="BC70" i="1"/>
  <c r="BC62" i="1"/>
  <c r="BD79" i="1"/>
  <c r="BE56" i="1"/>
  <c r="BA56" i="1"/>
  <c r="BB80" i="1"/>
  <c r="BB69" i="1"/>
  <c r="BC67" i="1"/>
  <c r="BD62" i="1"/>
  <c r="BD84" i="1"/>
  <c r="BC69" i="1"/>
  <c r="BC105" i="1"/>
  <c r="BB71" i="1"/>
  <c r="BE126" i="1"/>
  <c r="BD80" i="1"/>
  <c r="AO69" i="1"/>
  <c r="BA57" i="1"/>
  <c r="BE57" i="1"/>
  <c r="BE81" i="1" s="1"/>
  <c r="BD105" i="1"/>
  <c r="BC71" i="1"/>
  <c r="BB62" i="1"/>
  <c r="AO72" i="1"/>
  <c r="BE60" i="1"/>
  <c r="BE84" i="1" s="1"/>
  <c r="BA60" i="1"/>
  <c r="AO105" i="1"/>
  <c r="AO71" i="1"/>
  <c r="BE59" i="1"/>
  <c r="BA59" i="1"/>
  <c r="BA83" i="1" s="1"/>
  <c r="BE58" i="1"/>
  <c r="BA58" i="1"/>
  <c r="BA82" i="1" s="1"/>
  <c r="BA100" i="1"/>
  <c r="BE100" i="1"/>
  <c r="BC72" i="1"/>
  <c r="BE103" i="1"/>
  <c r="BA103" i="1"/>
  <c r="BE102" i="1"/>
  <c r="BA102" i="1"/>
  <c r="BB72" i="1"/>
  <c r="BA116" i="1"/>
  <c r="BB70" i="1"/>
  <c r="BB66" i="1"/>
  <c r="BD78" i="1"/>
  <c r="BB67" i="1"/>
  <c r="BC66" i="1"/>
  <c r="BW7" i="3"/>
  <c r="BF81" i="3"/>
  <c r="BW6" i="3"/>
  <c r="BF80" i="3"/>
  <c r="BW8" i="3"/>
  <c r="BF82" i="3"/>
  <c r="BS10" i="3"/>
  <c r="BB84" i="3"/>
  <c r="BS84" i="3" s="1"/>
  <c r="BW10" i="3"/>
  <c r="BF84" i="3"/>
  <c r="BS4" i="3"/>
  <c r="BB78" i="3"/>
  <c r="BS78" i="3" s="1"/>
  <c r="BW9" i="3"/>
  <c r="BF83" i="3"/>
  <c r="BS5" i="3"/>
  <c r="BB79" i="3"/>
  <c r="BS79" i="3" s="1"/>
  <c r="BW5" i="3"/>
  <c r="BF79" i="3"/>
  <c r="BS9" i="3"/>
  <c r="BB83" i="3"/>
  <c r="BS83" i="3" s="1"/>
  <c r="BS7" i="3"/>
  <c r="BB81" i="3"/>
  <c r="BS81" i="3" s="1"/>
  <c r="BS6" i="3"/>
  <c r="BB80" i="3"/>
  <c r="BS80" i="3" s="1"/>
  <c r="BS8" i="3"/>
  <c r="BB82" i="3"/>
  <c r="BS82" i="3" s="1"/>
  <c r="AO66" i="1"/>
  <c r="AO163" i="1"/>
  <c r="AO81" i="1"/>
  <c r="AO80" i="1"/>
  <c r="AP14" i="2"/>
  <c r="AP86" i="2"/>
  <c r="BA6" i="1"/>
  <c r="AO84" i="1"/>
  <c r="AO67" i="1"/>
  <c r="AO162" i="1"/>
  <c r="AO83" i="1"/>
  <c r="BE8" i="1"/>
  <c r="AO156" i="1"/>
  <c r="AO166" i="1"/>
  <c r="AO82" i="1"/>
  <c r="AO62" i="1"/>
  <c r="AO68" i="1"/>
  <c r="AO167" i="1"/>
  <c r="AO79" i="1"/>
  <c r="AO157" i="1"/>
  <c r="AO12" i="1"/>
  <c r="BA7" i="1"/>
  <c r="BE6" i="1"/>
  <c r="AO161" i="1"/>
  <c r="AO70" i="1"/>
  <c r="AP86" i="3"/>
  <c r="BF12" i="3"/>
  <c r="BB12" i="3"/>
  <c r="AO78" i="1"/>
  <c r="BE13" i="1"/>
  <c r="BA13" i="1"/>
  <c r="B60" i="5" l="1"/>
  <c r="AP15" i="2"/>
  <c r="E10" i="4"/>
  <c r="AO130" i="1"/>
  <c r="AO14" i="1"/>
  <c r="BE133" i="1"/>
  <c r="BE135" i="1"/>
  <c r="BE134" i="1"/>
  <c r="BE131" i="1"/>
  <c r="BE136" i="1"/>
  <c r="BE130" i="1"/>
  <c r="BE83" i="1"/>
  <c r="BE132" i="1"/>
  <c r="BE78" i="1"/>
  <c r="BA78" i="1"/>
  <c r="BF74" i="3"/>
  <c r="AJ11" i="5" s="1"/>
  <c r="BB74" i="3"/>
  <c r="BA71" i="1"/>
  <c r="BD74" i="1"/>
  <c r="BD86" i="1"/>
  <c r="AO132" i="1"/>
  <c r="BA70" i="1"/>
  <c r="BE71" i="1"/>
  <c r="BE72" i="1"/>
  <c r="BE69" i="1"/>
  <c r="BE67" i="1"/>
  <c r="BA66" i="1"/>
  <c r="BA72" i="1"/>
  <c r="BC74" i="1"/>
  <c r="BC86" i="1"/>
  <c r="BA84" i="1"/>
  <c r="BE70" i="1"/>
  <c r="BA69" i="1"/>
  <c r="BA68" i="1"/>
  <c r="BA67" i="1"/>
  <c r="BE66" i="1"/>
  <c r="BE14" i="1"/>
  <c r="AO74" i="1"/>
  <c r="BE62" i="1"/>
  <c r="BA62" i="1"/>
  <c r="BE105" i="1"/>
  <c r="BA105" i="1"/>
  <c r="BB74" i="1"/>
  <c r="BB86" i="1"/>
  <c r="BE68" i="1"/>
  <c r="BE80" i="1"/>
  <c r="BA81" i="1"/>
  <c r="BB86" i="3"/>
  <c r="BA80" i="1"/>
  <c r="BF14" i="3"/>
  <c r="AJ4" i="5" s="1"/>
  <c r="BF86" i="3"/>
  <c r="AJ10" i="5" s="1"/>
  <c r="BE82" i="1"/>
  <c r="BB14" i="3"/>
  <c r="AO137" i="1"/>
  <c r="AO86" i="1"/>
  <c r="AO134" i="1"/>
  <c r="AO136" i="1"/>
  <c r="AO142" i="1" s="1"/>
  <c r="BE142" i="1" s="1"/>
  <c r="AO133" i="1"/>
  <c r="AO135" i="1"/>
  <c r="BA12" i="1"/>
  <c r="BE12" i="1"/>
  <c r="AO131" i="1"/>
  <c r="F4" i="4" l="1"/>
  <c r="F12" i="4" s="1"/>
  <c r="AJ12" i="5"/>
  <c r="BE137" i="1"/>
  <c r="BA14" i="1"/>
  <c r="AO141" i="1"/>
  <c r="BE141" i="1" s="1"/>
  <c r="BA74" i="1"/>
  <c r="BE74" i="1"/>
  <c r="F10" i="4" s="1"/>
  <c r="BA86" i="1"/>
  <c r="BE86" i="1"/>
  <c r="F11" i="4" s="1"/>
  <c r="H11" i="4" s="1"/>
  <c r="AO140" i="1"/>
  <c r="BE140" i="1" s="1"/>
  <c r="BH4" i="3"/>
  <c r="BI4" i="3"/>
  <c r="BJ4" i="3"/>
  <c r="BK4" i="3"/>
  <c r="BL4" i="3"/>
  <c r="BM4" i="3"/>
  <c r="BN4" i="3"/>
  <c r="BO4" i="3"/>
  <c r="H4" i="4" l="1"/>
  <c r="H10" i="4"/>
  <c r="I10" i="4"/>
  <c r="H12" i="4"/>
  <c r="AK10" i="5"/>
  <c r="AK11" i="5"/>
  <c r="AO143" i="1"/>
  <c r="BE143" i="1" s="1"/>
  <c r="Z123" i="3"/>
  <c r="BR123" i="3" s="1"/>
  <c r="Z124" i="3"/>
  <c r="BR124" i="3" s="1"/>
  <c r="Z121" i="3"/>
  <c r="BR121" i="3" s="1"/>
  <c r="Z123" i="2"/>
  <c r="Z124" i="2"/>
  <c r="Z125" i="2"/>
  <c r="Z126" i="2"/>
  <c r="Z121" i="2"/>
  <c r="Z131" i="2"/>
  <c r="BR131" i="2" s="1"/>
  <c r="Z132" i="2"/>
  <c r="BR132" i="2" s="1"/>
  <c r="Z133" i="2"/>
  <c r="BR133" i="2" s="1"/>
  <c r="Z134" i="2"/>
  <c r="BR134" i="2" s="1"/>
  <c r="Z135" i="2"/>
  <c r="BR135" i="2" s="1"/>
  <c r="Z136" i="2"/>
  <c r="BR136" i="2" s="1"/>
  <c r="Z137" i="2"/>
  <c r="BR137" i="2" s="1"/>
  <c r="Z131" i="3"/>
  <c r="BR131" i="3" s="1"/>
  <c r="Z132" i="3"/>
  <c r="BR132" i="3" s="1"/>
  <c r="Z133" i="3"/>
  <c r="BR133" i="3" s="1"/>
  <c r="Z134" i="3"/>
  <c r="BR134" i="3" s="1"/>
  <c r="Z135" i="3"/>
  <c r="BR135" i="3" s="1"/>
  <c r="Z136" i="3"/>
  <c r="BR136" i="3" s="1"/>
  <c r="Z137" i="3"/>
  <c r="BR137" i="3" s="1"/>
  <c r="Z97" i="3"/>
  <c r="BR97" i="3" s="1"/>
  <c r="Z98" i="3"/>
  <c r="BR98" i="3" s="1"/>
  <c r="Z99" i="3"/>
  <c r="BR99" i="3" s="1"/>
  <c r="Z100" i="3"/>
  <c r="BR100" i="3" s="1"/>
  <c r="Z101" i="3"/>
  <c r="BR101" i="3" s="1"/>
  <c r="Z102" i="3"/>
  <c r="BR102" i="3" s="1"/>
  <c r="Z103" i="3"/>
  <c r="BR103" i="3" s="1"/>
  <c r="Z97" i="2"/>
  <c r="Z98" i="2"/>
  <c r="Z99" i="2"/>
  <c r="Z100" i="2"/>
  <c r="Z101" i="2"/>
  <c r="Z102" i="2"/>
  <c r="Z103" i="2"/>
  <c r="Z91" i="3"/>
  <c r="BR91" i="3" s="1"/>
  <c r="Z90" i="3"/>
  <c r="BR90" i="3" s="1"/>
  <c r="Z91" i="2"/>
  <c r="Z90" i="2"/>
  <c r="Z54" i="3"/>
  <c r="BR54" i="3" s="1"/>
  <c r="Z55" i="3"/>
  <c r="BR55" i="3" s="1"/>
  <c r="Z56" i="3"/>
  <c r="BR56" i="3" s="1"/>
  <c r="Z57" i="3"/>
  <c r="BR57" i="3" s="1"/>
  <c r="Z58" i="3"/>
  <c r="BR58" i="3" s="1"/>
  <c r="Z59" i="3"/>
  <c r="BR59" i="3" s="1"/>
  <c r="Z60" i="3"/>
  <c r="BR60" i="3" s="1"/>
  <c r="Z54" i="2"/>
  <c r="Z55" i="2"/>
  <c r="Z56" i="2"/>
  <c r="Z57" i="2"/>
  <c r="Z58" i="2"/>
  <c r="Z59" i="2"/>
  <c r="Z60" i="2"/>
  <c r="Z13" i="3"/>
  <c r="BR13" i="3" s="1"/>
  <c r="Z4" i="3"/>
  <c r="Z5" i="3"/>
  <c r="Z6" i="3"/>
  <c r="Z7" i="3"/>
  <c r="Z8" i="3"/>
  <c r="Z9" i="3"/>
  <c r="Z10" i="3"/>
  <c r="Z13" i="2"/>
  <c r="Z4" i="2"/>
  <c r="Z5" i="2"/>
  <c r="Y5" i="9" s="1"/>
  <c r="Z6" i="2"/>
  <c r="Y6" i="9" s="1"/>
  <c r="Z7" i="2"/>
  <c r="Y7" i="9" s="1"/>
  <c r="Z8" i="2"/>
  <c r="Y8" i="9" s="1"/>
  <c r="Z9" i="2"/>
  <c r="Z10" i="2"/>
  <c r="Y10" i="9" s="1"/>
  <c r="Z30" i="3"/>
  <c r="Z31" i="3"/>
  <c r="Z32" i="3"/>
  <c r="Z33" i="3"/>
  <c r="Z34" i="3"/>
  <c r="Z35" i="3"/>
  <c r="Z36" i="3"/>
  <c r="Z30" i="2"/>
  <c r="Z31" i="2"/>
  <c r="Y29" i="9" s="1"/>
  <c r="Z32" i="2"/>
  <c r="Z33" i="2"/>
  <c r="Z34" i="2"/>
  <c r="Z35" i="2"/>
  <c r="Y33" i="9" s="1"/>
  <c r="Z36" i="2"/>
  <c r="Z18" i="3"/>
  <c r="Z19" i="3"/>
  <c r="Z20" i="3"/>
  <c r="Z21" i="3"/>
  <c r="Z22" i="3"/>
  <c r="Z23" i="3"/>
  <c r="Z24" i="3"/>
  <c r="Z18" i="2"/>
  <c r="Z19" i="2"/>
  <c r="Z20" i="2"/>
  <c r="Z21" i="2"/>
  <c r="Y19" i="9" s="1"/>
  <c r="Z22" i="2"/>
  <c r="Z23" i="2"/>
  <c r="Z24" i="2"/>
  <c r="Z111" i="3"/>
  <c r="Z112" i="3"/>
  <c r="Z113" i="3"/>
  <c r="Z114" i="3"/>
  <c r="Z109" i="3"/>
  <c r="Z110" i="3"/>
  <c r="Z112" i="2"/>
  <c r="Y110" i="9" s="1"/>
  <c r="AD110" i="9" s="1"/>
  <c r="Z111" i="2"/>
  <c r="Z113" i="2"/>
  <c r="Z114" i="2"/>
  <c r="Z109" i="2"/>
  <c r="Z110" i="2"/>
  <c r="Y108" i="9" s="1"/>
  <c r="AD108" i="9" s="1"/>
  <c r="Y111" i="9" l="1"/>
  <c r="AD111" i="9" s="1"/>
  <c r="Z39" i="3"/>
  <c r="Z39" i="2"/>
  <c r="Y9" i="9"/>
  <c r="BQ9" i="9" s="1"/>
  <c r="Y109" i="9"/>
  <c r="AD109" i="9" s="1"/>
  <c r="Y22" i="9"/>
  <c r="Y18" i="9"/>
  <c r="BA42" i="9" s="1"/>
  <c r="BR42" i="9" s="1"/>
  <c r="Y32" i="9"/>
  <c r="BQ32" i="9" s="1"/>
  <c r="Y28" i="9"/>
  <c r="Y107" i="9"/>
  <c r="Y20" i="9"/>
  <c r="BA44" i="9" s="1"/>
  <c r="BR44" i="9" s="1"/>
  <c r="Y16" i="9"/>
  <c r="BA40" i="9" s="1"/>
  <c r="BR40" i="9" s="1"/>
  <c r="Y34" i="9"/>
  <c r="Y30" i="9"/>
  <c r="BQ30" i="9" s="1"/>
  <c r="Y21" i="9"/>
  <c r="BA45" i="9" s="1"/>
  <c r="BR45" i="9" s="1"/>
  <c r="Y17" i="9"/>
  <c r="BA41" i="9" s="1"/>
  <c r="BR41" i="9" s="1"/>
  <c r="Y31" i="9"/>
  <c r="BQ31" i="9" s="1"/>
  <c r="Y112" i="9"/>
  <c r="AD112" i="9" s="1"/>
  <c r="AO42" i="9"/>
  <c r="BF42" i="9" s="1"/>
  <c r="BE42" i="9"/>
  <c r="BV42" i="9" s="1"/>
  <c r="BR56" i="2"/>
  <c r="Y54" i="9"/>
  <c r="Y78" i="9" s="1"/>
  <c r="BQ78" i="9" s="1"/>
  <c r="BR97" i="2"/>
  <c r="Y95" i="9"/>
  <c r="AD107" i="9"/>
  <c r="AO45" i="9"/>
  <c r="BF45" i="9" s="1"/>
  <c r="BE45" i="9"/>
  <c r="BV45" i="9" s="1"/>
  <c r="BQ5" i="9"/>
  <c r="BR59" i="2"/>
  <c r="Y57" i="9"/>
  <c r="Y81" i="9" s="1"/>
  <c r="BQ81" i="9" s="1"/>
  <c r="BR55" i="2"/>
  <c r="Y53" i="9"/>
  <c r="BR100" i="2"/>
  <c r="Y98" i="9"/>
  <c r="BQ98" i="9" s="1"/>
  <c r="BR124" i="2"/>
  <c r="Y121" i="9"/>
  <c r="BQ121" i="9" s="1"/>
  <c r="BQ6" i="9"/>
  <c r="BR60" i="2"/>
  <c r="Y58" i="9"/>
  <c r="Y82" i="9" s="1"/>
  <c r="BQ82" i="9" s="1"/>
  <c r="BR101" i="2"/>
  <c r="Y99" i="9"/>
  <c r="BQ99" i="9" s="1"/>
  <c r="BR125" i="2"/>
  <c r="Y122" i="9"/>
  <c r="BQ122" i="9" s="1"/>
  <c r="BE44" i="9"/>
  <c r="BV44" i="9" s="1"/>
  <c r="AO40" i="9"/>
  <c r="BF40" i="9" s="1"/>
  <c r="BQ8" i="9"/>
  <c r="BR4" i="2"/>
  <c r="Y4" i="9"/>
  <c r="BR58" i="2"/>
  <c r="Y56" i="9"/>
  <c r="Y80" i="9" s="1"/>
  <c r="BQ80" i="9" s="1"/>
  <c r="BR54" i="2"/>
  <c r="Y52" i="9"/>
  <c r="BR90" i="2"/>
  <c r="Y88" i="9"/>
  <c r="BR103" i="2"/>
  <c r="Y101" i="9"/>
  <c r="BQ101" i="9" s="1"/>
  <c r="BR99" i="2"/>
  <c r="Y97" i="9"/>
  <c r="BQ97" i="9" s="1"/>
  <c r="BR121" i="2"/>
  <c r="Y118" i="9"/>
  <c r="BR123" i="2"/>
  <c r="Y120" i="9"/>
  <c r="BQ120" i="9" s="1"/>
  <c r="BQ10" i="9"/>
  <c r="AO43" i="9"/>
  <c r="BF43" i="9" s="1"/>
  <c r="BA43" i="9"/>
  <c r="BR43" i="9" s="1"/>
  <c r="BE43" i="9"/>
  <c r="BV43" i="9" s="1"/>
  <c r="BQ33" i="9"/>
  <c r="BQ29" i="9"/>
  <c r="BQ7" i="9"/>
  <c r="BR13" i="2"/>
  <c r="Y13" i="9"/>
  <c r="BQ13" i="9" s="1"/>
  <c r="BR57" i="2"/>
  <c r="Y55" i="9"/>
  <c r="Y79" i="9" s="1"/>
  <c r="BQ79" i="9" s="1"/>
  <c r="BR91" i="2"/>
  <c r="Y89" i="9"/>
  <c r="BQ89" i="9" s="1"/>
  <c r="BR102" i="2"/>
  <c r="Y100" i="9"/>
  <c r="BQ100" i="9" s="1"/>
  <c r="BR98" i="2"/>
  <c r="Y96" i="9"/>
  <c r="BQ96" i="9" s="1"/>
  <c r="BR126" i="2"/>
  <c r="Y123" i="9"/>
  <c r="BF46" i="3"/>
  <c r="BW46" i="3" s="1"/>
  <c r="BB46" i="3"/>
  <c r="BS46" i="3" s="1"/>
  <c r="BF48" i="3"/>
  <c r="BW48" i="3" s="1"/>
  <c r="BB48" i="3"/>
  <c r="BS48" i="3" s="1"/>
  <c r="BF44" i="3"/>
  <c r="BW44" i="3" s="1"/>
  <c r="BB44" i="3"/>
  <c r="BS44" i="3" s="1"/>
  <c r="BF42" i="3"/>
  <c r="BW42" i="3" s="1"/>
  <c r="BB42" i="3"/>
  <c r="BS42" i="3" s="1"/>
  <c r="BF45" i="3"/>
  <c r="BW45" i="3" s="1"/>
  <c r="BB45" i="3"/>
  <c r="BS45" i="3" s="1"/>
  <c r="BF47" i="3"/>
  <c r="BW47" i="3" s="1"/>
  <c r="BB47" i="3"/>
  <c r="BS47" i="3" s="1"/>
  <c r="BF43" i="3"/>
  <c r="BW43" i="3" s="1"/>
  <c r="BB43" i="3"/>
  <c r="BS43" i="3" s="1"/>
  <c r="AP44" i="2"/>
  <c r="BG44" i="2" s="1"/>
  <c r="AP43" i="3"/>
  <c r="BG43" i="3" s="1"/>
  <c r="BR30" i="2"/>
  <c r="AP43" i="2"/>
  <c r="BG43" i="2" s="1"/>
  <c r="AP42" i="3"/>
  <c r="BG42" i="3" s="1"/>
  <c r="BR33" i="2"/>
  <c r="BR32" i="3"/>
  <c r="AP46" i="2"/>
  <c r="BG46" i="2" s="1"/>
  <c r="AP42" i="2"/>
  <c r="BG42" i="2" s="1"/>
  <c r="AP45" i="3"/>
  <c r="BG45" i="3" s="1"/>
  <c r="BR36" i="2"/>
  <c r="BR32" i="2"/>
  <c r="BR35" i="3"/>
  <c r="BR31" i="3"/>
  <c r="AP48" i="2"/>
  <c r="BG48" i="2" s="1"/>
  <c r="AP47" i="3"/>
  <c r="BG47" i="3" s="1"/>
  <c r="BR34" i="2"/>
  <c r="BR33" i="3"/>
  <c r="AP47" i="2"/>
  <c r="BG47" i="2" s="1"/>
  <c r="AP46" i="3"/>
  <c r="BG46" i="3" s="1"/>
  <c r="BR36" i="3"/>
  <c r="AP45" i="2"/>
  <c r="BG45" i="2" s="1"/>
  <c r="AP48" i="3"/>
  <c r="BG48" i="3" s="1"/>
  <c r="AP44" i="3"/>
  <c r="BG44" i="3" s="1"/>
  <c r="BR35" i="2"/>
  <c r="BR31" i="2"/>
  <c r="BR34" i="3"/>
  <c r="BR30" i="3"/>
  <c r="BR10" i="2"/>
  <c r="BR9" i="2"/>
  <c r="BR8" i="2"/>
  <c r="BR6" i="2"/>
  <c r="BR5" i="2"/>
  <c r="BR7" i="2"/>
  <c r="BR6" i="3"/>
  <c r="BR9" i="3"/>
  <c r="BR5" i="3"/>
  <c r="M17" i="5"/>
  <c r="BR8" i="3"/>
  <c r="AE17" i="5"/>
  <c r="BR4" i="3"/>
  <c r="BR10" i="3"/>
  <c r="AE16" i="5"/>
  <c r="BR7" i="3"/>
  <c r="AO44" i="9" l="1"/>
  <c r="BF44" i="9" s="1"/>
  <c r="AO41" i="9"/>
  <c r="BF41" i="9" s="1"/>
  <c r="Y151" i="9"/>
  <c r="BE41" i="9"/>
  <c r="BV41" i="9" s="1"/>
  <c r="BE40" i="9"/>
  <c r="BV40" i="9" s="1"/>
  <c r="Y165" i="9"/>
  <c r="Y24" i="9"/>
  <c r="AO48" i="9" s="1"/>
  <c r="BF48" i="9" s="1"/>
  <c r="BA46" i="9"/>
  <c r="BR46" i="9" s="1"/>
  <c r="AO46" i="9"/>
  <c r="BF46" i="9" s="1"/>
  <c r="Y150" i="9"/>
  <c r="Y164" i="9"/>
  <c r="BE46" i="9"/>
  <c r="BV46" i="9" s="1"/>
  <c r="Y155" i="9"/>
  <c r="Y149" i="9"/>
  <c r="Y36" i="9"/>
  <c r="BQ36" i="9" s="1"/>
  <c r="BQ28" i="9"/>
  <c r="BQ34" i="9"/>
  <c r="Y114" i="9"/>
  <c r="AD114" i="9" s="1"/>
  <c r="Y124" i="9"/>
  <c r="BQ124" i="9" s="1"/>
  <c r="BQ118" i="9"/>
  <c r="Y60" i="9"/>
  <c r="BQ52" i="9"/>
  <c r="Y161" i="9"/>
  <c r="Y64" i="9"/>
  <c r="BQ64" i="9" s="1"/>
  <c r="Y12" i="9"/>
  <c r="BQ4" i="9"/>
  <c r="Y76" i="9"/>
  <c r="BQ76" i="9" s="1"/>
  <c r="Y156" i="9"/>
  <c r="Y166" i="9"/>
  <c r="BQ57" i="9"/>
  <c r="Y69" i="9"/>
  <c r="BQ69" i="9" s="1"/>
  <c r="Y103" i="9"/>
  <c r="BQ103" i="9" s="1"/>
  <c r="BQ95" i="9"/>
  <c r="Y66" i="9"/>
  <c r="BQ66" i="9" s="1"/>
  <c r="BQ54" i="9"/>
  <c r="BQ123" i="9"/>
  <c r="BQ55" i="9"/>
  <c r="Y67" i="9"/>
  <c r="BQ67" i="9" s="1"/>
  <c r="Y90" i="9"/>
  <c r="BQ90" i="9" s="1"/>
  <c r="BQ88" i="9"/>
  <c r="BQ56" i="9"/>
  <c r="Y68" i="9"/>
  <c r="BQ68" i="9" s="1"/>
  <c r="Y159" i="9"/>
  <c r="Y154" i="9"/>
  <c r="BQ58" i="9"/>
  <c r="Y70" i="9"/>
  <c r="BQ70" i="9" s="1"/>
  <c r="Y160" i="9"/>
  <c r="Y65" i="9"/>
  <c r="BQ65" i="9" s="1"/>
  <c r="BQ53" i="9"/>
  <c r="Y77" i="9"/>
  <c r="BQ77" i="9" s="1"/>
  <c r="M15" i="5"/>
  <c r="AE15" i="5"/>
  <c r="M16" i="5"/>
  <c r="G31" i="1"/>
  <c r="BE48" i="9" l="1"/>
  <c r="BV48" i="9" s="1"/>
  <c r="Y143" i="9"/>
  <c r="BE49" i="9"/>
  <c r="BA48" i="9"/>
  <c r="BR48" i="9" s="1"/>
  <c r="Y145" i="9"/>
  <c r="Y144" i="9"/>
  <c r="Y135" i="9"/>
  <c r="Y128" i="9"/>
  <c r="Y134" i="9"/>
  <c r="Y140" i="9" s="1"/>
  <c r="Y132" i="9"/>
  <c r="Y131" i="9"/>
  <c r="Y133" i="9"/>
  <c r="Y130" i="9"/>
  <c r="Y14" i="9"/>
  <c r="BQ14" i="9" s="1"/>
  <c r="Y129" i="9"/>
  <c r="BQ12" i="9"/>
  <c r="Y84" i="9"/>
  <c r="BQ84" i="9" s="1"/>
  <c r="BQ60" i="9"/>
  <c r="Y72" i="9"/>
  <c r="BQ72" i="9" s="1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BK131" i="3" s="1"/>
  <c r="T131" i="3"/>
  <c r="BL131" i="3" s="1"/>
  <c r="U131" i="3"/>
  <c r="V131" i="3"/>
  <c r="BN131" i="3" s="1"/>
  <c r="W131" i="3"/>
  <c r="BO131" i="3" s="1"/>
  <c r="X131" i="3"/>
  <c r="BP131" i="3" s="1"/>
  <c r="Y131" i="3"/>
  <c r="BQ131" i="3" s="1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BK132" i="3" s="1"/>
  <c r="T132" i="3"/>
  <c r="BL132" i="3" s="1"/>
  <c r="U132" i="3"/>
  <c r="V132" i="3"/>
  <c r="BN132" i="3" s="1"/>
  <c r="W132" i="3"/>
  <c r="BO132" i="3" s="1"/>
  <c r="X132" i="3"/>
  <c r="BP132" i="3" s="1"/>
  <c r="Y132" i="3"/>
  <c r="BQ132" i="3" s="1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BK133" i="3" s="1"/>
  <c r="T133" i="3"/>
  <c r="U133" i="3"/>
  <c r="V133" i="3"/>
  <c r="BN133" i="3" s="1"/>
  <c r="W133" i="3"/>
  <c r="BO133" i="3" s="1"/>
  <c r="X133" i="3"/>
  <c r="Y133" i="3"/>
  <c r="BQ133" i="3" s="1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BK134" i="3" s="1"/>
  <c r="T134" i="3"/>
  <c r="BL134" i="3" s="1"/>
  <c r="U134" i="3"/>
  <c r="BU134" i="3" s="1"/>
  <c r="V134" i="3"/>
  <c r="BN134" i="3" s="1"/>
  <c r="W134" i="3"/>
  <c r="BO134" i="3" s="1"/>
  <c r="X134" i="3"/>
  <c r="BP134" i="3" s="1"/>
  <c r="Y134" i="3"/>
  <c r="BQ134" i="3" s="1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BK135" i="3" s="1"/>
  <c r="T135" i="3"/>
  <c r="BL135" i="3" s="1"/>
  <c r="U135" i="3"/>
  <c r="V135" i="3"/>
  <c r="W135" i="3"/>
  <c r="BO135" i="3" s="1"/>
  <c r="X135" i="3"/>
  <c r="BP135" i="3" s="1"/>
  <c r="Y135" i="3"/>
  <c r="BQ135" i="3" s="1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BK136" i="3" s="1"/>
  <c r="T136" i="3"/>
  <c r="BL136" i="3" s="1"/>
  <c r="U136" i="3"/>
  <c r="V136" i="3"/>
  <c r="BN136" i="3" s="1"/>
  <c r="W136" i="3"/>
  <c r="X136" i="3"/>
  <c r="BP136" i="3" s="1"/>
  <c r="Y136" i="3"/>
  <c r="BQ136" i="3" s="1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BK137" i="3" s="1"/>
  <c r="T137" i="3"/>
  <c r="U137" i="3"/>
  <c r="V137" i="3"/>
  <c r="BN137" i="3" s="1"/>
  <c r="W137" i="3"/>
  <c r="BO137" i="3" s="1"/>
  <c r="X137" i="3"/>
  <c r="Y137" i="3"/>
  <c r="BQ137" i="3" s="1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BG131" i="2" s="1"/>
  <c r="P131" i="2"/>
  <c r="BH131" i="2" s="1"/>
  <c r="Q131" i="2"/>
  <c r="BI131" i="2" s="1"/>
  <c r="R131" i="2"/>
  <c r="BJ131" i="2" s="1"/>
  <c r="S131" i="2"/>
  <c r="BK131" i="2" s="1"/>
  <c r="T131" i="2"/>
  <c r="BL131" i="2" s="1"/>
  <c r="U131" i="2"/>
  <c r="BM131" i="2" s="1"/>
  <c r="V131" i="2"/>
  <c r="BN131" i="2" s="1"/>
  <c r="W131" i="2"/>
  <c r="BO131" i="2" s="1"/>
  <c r="X131" i="2"/>
  <c r="BP131" i="2" s="1"/>
  <c r="Y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BG132" i="2" s="1"/>
  <c r="P132" i="2"/>
  <c r="BH132" i="2" s="1"/>
  <c r="Q132" i="2"/>
  <c r="BI132" i="2" s="1"/>
  <c r="R132" i="2"/>
  <c r="BJ132" i="2" s="1"/>
  <c r="S132" i="2"/>
  <c r="BK132" i="2" s="1"/>
  <c r="T132" i="2"/>
  <c r="BL132" i="2" s="1"/>
  <c r="U132" i="2"/>
  <c r="BM132" i="2" s="1"/>
  <c r="V132" i="2"/>
  <c r="W132" i="2"/>
  <c r="BO132" i="2" s="1"/>
  <c r="X132" i="2"/>
  <c r="BP132" i="2" s="1"/>
  <c r="Y132" i="2"/>
  <c r="BQ132" i="2" s="1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BH133" i="2" s="1"/>
  <c r="Q133" i="2"/>
  <c r="BI133" i="2" s="1"/>
  <c r="R133" i="2"/>
  <c r="BJ133" i="2" s="1"/>
  <c r="S133" i="2"/>
  <c r="T133" i="2"/>
  <c r="BL133" i="2" s="1"/>
  <c r="U133" i="2"/>
  <c r="BM133" i="2" s="1"/>
  <c r="V133" i="2"/>
  <c r="BN133" i="2" s="1"/>
  <c r="W133" i="2"/>
  <c r="BO133" i="2" s="1"/>
  <c r="X133" i="2"/>
  <c r="BP133" i="2" s="1"/>
  <c r="Y133" i="2"/>
  <c r="BQ133" i="2" s="1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BG134" i="2" s="1"/>
  <c r="P134" i="2"/>
  <c r="BH134" i="2" s="1"/>
  <c r="Q134" i="2"/>
  <c r="BI134" i="2" s="1"/>
  <c r="R134" i="2"/>
  <c r="BJ134" i="2" s="1"/>
  <c r="S134" i="2"/>
  <c r="BK134" i="2" s="1"/>
  <c r="T134" i="2"/>
  <c r="U134" i="2"/>
  <c r="BM134" i="2" s="1"/>
  <c r="V134" i="2"/>
  <c r="BN134" i="2" s="1"/>
  <c r="W134" i="2"/>
  <c r="BO134" i="2" s="1"/>
  <c r="X134" i="2"/>
  <c r="BP134" i="2" s="1"/>
  <c r="Y134" i="2"/>
  <c r="BQ134" i="2" s="1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BG135" i="2" s="1"/>
  <c r="P135" i="2"/>
  <c r="BH135" i="2" s="1"/>
  <c r="Q135" i="2"/>
  <c r="BI135" i="2" s="1"/>
  <c r="R135" i="2"/>
  <c r="BJ135" i="2" s="1"/>
  <c r="S135" i="2"/>
  <c r="BK135" i="2" s="1"/>
  <c r="T135" i="2"/>
  <c r="BL135" i="2" s="1"/>
  <c r="U135" i="2"/>
  <c r="BM135" i="2" s="1"/>
  <c r="V135" i="2"/>
  <c r="BN135" i="2" s="1"/>
  <c r="W135" i="2"/>
  <c r="BO135" i="2" s="1"/>
  <c r="X135" i="2"/>
  <c r="BP135" i="2" s="1"/>
  <c r="Y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BH136" i="2" s="1"/>
  <c r="Q136" i="2"/>
  <c r="BI136" i="2" s="1"/>
  <c r="R136" i="2"/>
  <c r="S136" i="2"/>
  <c r="BK136" i="2" s="1"/>
  <c r="T136" i="2"/>
  <c r="BL136" i="2" s="1"/>
  <c r="U136" i="2"/>
  <c r="BM136" i="2" s="1"/>
  <c r="V136" i="2"/>
  <c r="W136" i="2"/>
  <c r="BO136" i="2" s="1"/>
  <c r="X136" i="2"/>
  <c r="BP136" i="2" s="1"/>
  <c r="Y136" i="2"/>
  <c r="BQ136" i="2" s="1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BH137" i="2" s="1"/>
  <c r="Q137" i="2"/>
  <c r="BI137" i="2" s="1"/>
  <c r="R137" i="2"/>
  <c r="BJ137" i="2" s="1"/>
  <c r="S137" i="2"/>
  <c r="BK137" i="2" s="1"/>
  <c r="T137" i="2"/>
  <c r="BL137" i="2" s="1"/>
  <c r="U137" i="2"/>
  <c r="BM137" i="2" s="1"/>
  <c r="V137" i="2"/>
  <c r="BN137" i="2" s="1"/>
  <c r="W137" i="2"/>
  <c r="X137" i="2"/>
  <c r="BP137" i="2" s="1"/>
  <c r="Y137" i="2"/>
  <c r="BQ137" i="2" s="1"/>
  <c r="Z139" i="2"/>
  <c r="BR139" i="2" s="1"/>
  <c r="AF130" i="2"/>
  <c r="Z139" i="3"/>
  <c r="BR139" i="3" s="1"/>
  <c r="AF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BH97" i="3" s="1"/>
  <c r="Q97" i="3"/>
  <c r="BI97" i="3" s="1"/>
  <c r="R97" i="3"/>
  <c r="S97" i="3"/>
  <c r="BK97" i="3" s="1"/>
  <c r="T97" i="3"/>
  <c r="BL97" i="3" s="1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BH98" i="3" s="1"/>
  <c r="Q98" i="3"/>
  <c r="BI98" i="3" s="1"/>
  <c r="R98" i="3"/>
  <c r="S98" i="3"/>
  <c r="BK98" i="3" s="1"/>
  <c r="T98" i="3"/>
  <c r="BL98" i="3" s="1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BH99" i="3" s="1"/>
  <c r="Q99" i="3"/>
  <c r="BI99" i="3" s="1"/>
  <c r="R99" i="3"/>
  <c r="S99" i="3"/>
  <c r="BK99" i="3" s="1"/>
  <c r="T99" i="3"/>
  <c r="BL99" i="3" s="1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BH100" i="3" s="1"/>
  <c r="Q100" i="3"/>
  <c r="BI100" i="3" s="1"/>
  <c r="R100" i="3"/>
  <c r="S100" i="3"/>
  <c r="BK100" i="3" s="1"/>
  <c r="T100" i="3"/>
  <c r="BL100" i="3" s="1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BH101" i="3" s="1"/>
  <c r="Q101" i="3"/>
  <c r="BI101" i="3" s="1"/>
  <c r="R101" i="3"/>
  <c r="S101" i="3"/>
  <c r="BK101" i="3" s="1"/>
  <c r="T101" i="3"/>
  <c r="BL101" i="3" s="1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BH102" i="3" s="1"/>
  <c r="Q102" i="3"/>
  <c r="BI102" i="3" s="1"/>
  <c r="R102" i="3"/>
  <c r="S102" i="3"/>
  <c r="BK102" i="3" s="1"/>
  <c r="T102" i="3"/>
  <c r="BL102" i="3" s="1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BH103" i="3" s="1"/>
  <c r="Q103" i="3"/>
  <c r="BI103" i="3" s="1"/>
  <c r="R103" i="3"/>
  <c r="S103" i="3"/>
  <c r="BK103" i="3" s="1"/>
  <c r="T103" i="3"/>
  <c r="BL103" i="3" s="1"/>
  <c r="C97" i="2"/>
  <c r="D97" i="2"/>
  <c r="E97" i="2"/>
  <c r="F97" i="2"/>
  <c r="E95" i="9" s="1"/>
  <c r="G97" i="2"/>
  <c r="H97" i="2"/>
  <c r="I97" i="2"/>
  <c r="J97" i="2"/>
  <c r="I95" i="9" s="1"/>
  <c r="K97" i="2"/>
  <c r="L97" i="2"/>
  <c r="M97" i="2"/>
  <c r="N97" i="2"/>
  <c r="M95" i="9" s="1"/>
  <c r="O97" i="2"/>
  <c r="P97" i="2"/>
  <c r="Q97" i="2"/>
  <c r="R97" i="2"/>
  <c r="S97" i="2"/>
  <c r="T97" i="2"/>
  <c r="C98" i="2"/>
  <c r="D98" i="2"/>
  <c r="C96" i="9" s="1"/>
  <c r="E98" i="2"/>
  <c r="F98" i="2"/>
  <c r="G98" i="2"/>
  <c r="H98" i="2"/>
  <c r="G96" i="9" s="1"/>
  <c r="I98" i="2"/>
  <c r="J98" i="2"/>
  <c r="K98" i="2"/>
  <c r="L98" i="2"/>
  <c r="K96" i="9" s="1"/>
  <c r="M98" i="2"/>
  <c r="N98" i="2"/>
  <c r="O98" i="2"/>
  <c r="P98" i="2"/>
  <c r="Q98" i="2"/>
  <c r="R98" i="2"/>
  <c r="S98" i="2"/>
  <c r="T98" i="2"/>
  <c r="C99" i="2"/>
  <c r="D99" i="2"/>
  <c r="E99" i="2"/>
  <c r="F99" i="2"/>
  <c r="E97" i="9" s="1"/>
  <c r="G99" i="2"/>
  <c r="H99" i="2"/>
  <c r="I99" i="2"/>
  <c r="J99" i="2"/>
  <c r="I97" i="9" s="1"/>
  <c r="K99" i="2"/>
  <c r="L99" i="2"/>
  <c r="M99" i="2"/>
  <c r="N99" i="2"/>
  <c r="M97" i="9" s="1"/>
  <c r="O99" i="2"/>
  <c r="P99" i="2"/>
  <c r="Q99" i="2"/>
  <c r="R99" i="2"/>
  <c r="S99" i="2"/>
  <c r="T99" i="2"/>
  <c r="C100" i="2"/>
  <c r="D100" i="2"/>
  <c r="C98" i="9" s="1"/>
  <c r="E100" i="2"/>
  <c r="F100" i="2"/>
  <c r="G100" i="2"/>
  <c r="H100" i="2"/>
  <c r="G98" i="9" s="1"/>
  <c r="I100" i="2"/>
  <c r="J100" i="2"/>
  <c r="K100" i="2"/>
  <c r="L100" i="2"/>
  <c r="K98" i="9" s="1"/>
  <c r="M100" i="2"/>
  <c r="N100" i="2"/>
  <c r="O100" i="2"/>
  <c r="P100" i="2"/>
  <c r="Q100" i="2"/>
  <c r="R100" i="2"/>
  <c r="S100" i="2"/>
  <c r="T100" i="2"/>
  <c r="C101" i="2"/>
  <c r="D101" i="2"/>
  <c r="E101" i="2"/>
  <c r="F101" i="2"/>
  <c r="E99" i="9" s="1"/>
  <c r="G101" i="2"/>
  <c r="H101" i="2"/>
  <c r="I101" i="2"/>
  <c r="J101" i="2"/>
  <c r="I99" i="9" s="1"/>
  <c r="K101" i="2"/>
  <c r="L101" i="2"/>
  <c r="M101" i="2"/>
  <c r="N101" i="2"/>
  <c r="M99" i="9" s="1"/>
  <c r="O101" i="2"/>
  <c r="P101" i="2"/>
  <c r="Q101" i="2"/>
  <c r="R101" i="2"/>
  <c r="S101" i="2"/>
  <c r="T101" i="2"/>
  <c r="C102" i="2"/>
  <c r="D102" i="2"/>
  <c r="C100" i="9" s="1"/>
  <c r="E102" i="2"/>
  <c r="F102" i="2"/>
  <c r="G102" i="2"/>
  <c r="H102" i="2"/>
  <c r="G100" i="9" s="1"/>
  <c r="I102" i="2"/>
  <c r="J102" i="2"/>
  <c r="K102" i="2"/>
  <c r="L102" i="2"/>
  <c r="K100" i="9" s="1"/>
  <c r="M102" i="2"/>
  <c r="N102" i="2"/>
  <c r="O102" i="2"/>
  <c r="P102" i="2"/>
  <c r="Q102" i="2"/>
  <c r="R102" i="2"/>
  <c r="S102" i="2"/>
  <c r="T102" i="2"/>
  <c r="C103" i="2"/>
  <c r="D103" i="2"/>
  <c r="E103" i="2"/>
  <c r="F103" i="2"/>
  <c r="E101" i="9" s="1"/>
  <c r="G103" i="2"/>
  <c r="H103" i="2"/>
  <c r="I103" i="2"/>
  <c r="J103" i="2"/>
  <c r="I101" i="9" s="1"/>
  <c r="K103" i="2"/>
  <c r="L103" i="2"/>
  <c r="M103" i="2"/>
  <c r="N103" i="2"/>
  <c r="M101" i="9" s="1"/>
  <c r="O103" i="2"/>
  <c r="P103" i="2"/>
  <c r="Q103" i="2"/>
  <c r="R103" i="2"/>
  <c r="S103" i="2"/>
  <c r="T103" i="2"/>
  <c r="M123" i="2"/>
  <c r="M124" i="2"/>
  <c r="M125" i="2"/>
  <c r="L122" i="9" s="1"/>
  <c r="M121" i="2"/>
  <c r="M123" i="3"/>
  <c r="M124" i="3"/>
  <c r="M121" i="3"/>
  <c r="M109" i="3"/>
  <c r="M110" i="3"/>
  <c r="M111" i="3"/>
  <c r="M112" i="3"/>
  <c r="M113" i="3"/>
  <c r="M114" i="3"/>
  <c r="M109" i="2"/>
  <c r="L107" i="9" s="1"/>
  <c r="M110" i="2"/>
  <c r="M111" i="2"/>
  <c r="M112" i="2"/>
  <c r="M113" i="2"/>
  <c r="L111" i="9" s="1"/>
  <c r="M114" i="2"/>
  <c r="L123" i="2"/>
  <c r="L124" i="2"/>
  <c r="L125" i="2"/>
  <c r="K122" i="9" s="1"/>
  <c r="L126" i="2"/>
  <c r="L121" i="2"/>
  <c r="L126" i="3"/>
  <c r="L123" i="3"/>
  <c r="L124" i="3"/>
  <c r="L121" i="3"/>
  <c r="L109" i="3"/>
  <c r="L110" i="3"/>
  <c r="L111" i="3"/>
  <c r="L112" i="3"/>
  <c r="L113" i="3"/>
  <c r="L114" i="3"/>
  <c r="L109" i="2"/>
  <c r="L110" i="2"/>
  <c r="L111" i="2"/>
  <c r="L112" i="2"/>
  <c r="K110" i="9" s="1"/>
  <c r="L113" i="2"/>
  <c r="L114" i="2"/>
  <c r="K123" i="2"/>
  <c r="K124" i="2"/>
  <c r="K125" i="2"/>
  <c r="K126" i="2"/>
  <c r="K121" i="2"/>
  <c r="K123" i="3"/>
  <c r="K124" i="3"/>
  <c r="K125" i="3"/>
  <c r="K126" i="3"/>
  <c r="K121" i="3"/>
  <c r="K109" i="3"/>
  <c r="K110" i="3"/>
  <c r="K111" i="3"/>
  <c r="K112" i="3"/>
  <c r="K113" i="3"/>
  <c r="K114" i="3"/>
  <c r="K109" i="2"/>
  <c r="K110" i="2"/>
  <c r="J108" i="9" s="1"/>
  <c r="AH108" i="9" s="1"/>
  <c r="AM108" i="9" s="1"/>
  <c r="K111" i="2"/>
  <c r="K112" i="2"/>
  <c r="K113" i="2"/>
  <c r="K114" i="2"/>
  <c r="J112" i="9" s="1"/>
  <c r="AH112" i="9" s="1"/>
  <c r="AM112" i="9" s="1"/>
  <c r="J123" i="2"/>
  <c r="J124" i="2"/>
  <c r="J125" i="2"/>
  <c r="J126" i="2"/>
  <c r="I123" i="9" s="1"/>
  <c r="J121" i="2"/>
  <c r="J123" i="3"/>
  <c r="J124" i="3"/>
  <c r="J125" i="3"/>
  <c r="J121" i="3"/>
  <c r="J109" i="3"/>
  <c r="J110" i="3"/>
  <c r="J111" i="3"/>
  <c r="J112" i="3"/>
  <c r="J113" i="3"/>
  <c r="J114" i="3"/>
  <c r="J109" i="2"/>
  <c r="I107" i="9" s="1"/>
  <c r="J110" i="2"/>
  <c r="J111" i="2"/>
  <c r="J112" i="2"/>
  <c r="J113" i="2"/>
  <c r="I111" i="9" s="1"/>
  <c r="J114" i="2"/>
  <c r="I123" i="2"/>
  <c r="I124" i="2"/>
  <c r="I125" i="2"/>
  <c r="I126" i="2"/>
  <c r="H123" i="9" s="1"/>
  <c r="I121" i="2"/>
  <c r="I123" i="3"/>
  <c r="I124" i="3"/>
  <c r="I125" i="3"/>
  <c r="I121" i="3"/>
  <c r="I109" i="3"/>
  <c r="I110" i="3"/>
  <c r="I111" i="3"/>
  <c r="I112" i="3"/>
  <c r="I113" i="3"/>
  <c r="I114" i="3"/>
  <c r="I109" i="2"/>
  <c r="I110" i="2"/>
  <c r="I111" i="2"/>
  <c r="I112" i="2"/>
  <c r="H110" i="9" s="1"/>
  <c r="I113" i="2"/>
  <c r="I114" i="2"/>
  <c r="H123" i="2"/>
  <c r="H124" i="2"/>
  <c r="H125" i="2"/>
  <c r="H126" i="2"/>
  <c r="G123" i="9" s="1"/>
  <c r="H121" i="2"/>
  <c r="H121" i="3"/>
  <c r="H122" i="3"/>
  <c r="G119" i="9" s="1"/>
  <c r="H123" i="3"/>
  <c r="H124" i="3"/>
  <c r="H125" i="3"/>
  <c r="H109" i="3"/>
  <c r="H110" i="3"/>
  <c r="H111" i="3"/>
  <c r="H112" i="3"/>
  <c r="H113" i="3"/>
  <c r="H114" i="3"/>
  <c r="H109" i="2"/>
  <c r="H110" i="2"/>
  <c r="G108" i="9" s="1"/>
  <c r="H111" i="2"/>
  <c r="H112" i="2"/>
  <c r="H113" i="2"/>
  <c r="H114" i="2"/>
  <c r="G112" i="9" s="1"/>
  <c r="G121" i="3"/>
  <c r="G122" i="3"/>
  <c r="G123" i="3"/>
  <c r="G124" i="3"/>
  <c r="G125" i="3"/>
  <c r="G126" i="3"/>
  <c r="G121" i="2"/>
  <c r="G122" i="2"/>
  <c r="F119" i="9" s="1"/>
  <c r="G123" i="2"/>
  <c r="G124" i="2"/>
  <c r="G125" i="2"/>
  <c r="G126" i="2"/>
  <c r="F123" i="9" s="1"/>
  <c r="G109" i="3"/>
  <c r="G110" i="3"/>
  <c r="G111" i="3"/>
  <c r="G112" i="3"/>
  <c r="G113" i="3"/>
  <c r="G114" i="3"/>
  <c r="G109" i="2"/>
  <c r="G110" i="2"/>
  <c r="F108" i="9" s="1"/>
  <c r="G111" i="2"/>
  <c r="G112" i="2"/>
  <c r="G113" i="2"/>
  <c r="G114" i="2"/>
  <c r="F112" i="9" s="1"/>
  <c r="F121" i="3"/>
  <c r="F122" i="3"/>
  <c r="F123" i="3"/>
  <c r="F124" i="3"/>
  <c r="F125" i="3"/>
  <c r="F126" i="3"/>
  <c r="F121" i="2"/>
  <c r="F122" i="2"/>
  <c r="E119" i="9" s="1"/>
  <c r="F123" i="2"/>
  <c r="F124" i="2"/>
  <c r="F125" i="2"/>
  <c r="F126" i="2"/>
  <c r="E123" i="9" s="1"/>
  <c r="F109" i="3"/>
  <c r="F110" i="3"/>
  <c r="F111" i="3"/>
  <c r="F112" i="3"/>
  <c r="F113" i="3"/>
  <c r="F114" i="3"/>
  <c r="F109" i="2"/>
  <c r="F110" i="2"/>
  <c r="E108" i="9" s="1"/>
  <c r="F111" i="2"/>
  <c r="F112" i="2"/>
  <c r="F113" i="2"/>
  <c r="F114" i="2"/>
  <c r="E112" i="9" s="1"/>
  <c r="E121" i="3"/>
  <c r="E122" i="3"/>
  <c r="E123" i="3"/>
  <c r="E124" i="3"/>
  <c r="E125" i="3"/>
  <c r="E121" i="2"/>
  <c r="E122" i="2"/>
  <c r="E123" i="2"/>
  <c r="E124" i="2"/>
  <c r="E125" i="2"/>
  <c r="E109" i="3"/>
  <c r="E110" i="3"/>
  <c r="E111" i="3"/>
  <c r="E112" i="3"/>
  <c r="E113" i="3"/>
  <c r="E114" i="3"/>
  <c r="E109" i="2"/>
  <c r="E110" i="2"/>
  <c r="E111" i="2"/>
  <c r="E112" i="2"/>
  <c r="D110" i="9" s="1"/>
  <c r="AF110" i="9" s="1"/>
  <c r="E113" i="2"/>
  <c r="E114" i="2"/>
  <c r="D121" i="3"/>
  <c r="D122" i="3"/>
  <c r="D123" i="3"/>
  <c r="D124" i="3"/>
  <c r="D125" i="3"/>
  <c r="D121" i="2"/>
  <c r="D122" i="2"/>
  <c r="D123" i="2"/>
  <c r="D124" i="2"/>
  <c r="C121" i="9" s="1"/>
  <c r="D125" i="2"/>
  <c r="D126" i="2"/>
  <c r="C123" i="9" s="1"/>
  <c r="D109" i="3"/>
  <c r="D110" i="3"/>
  <c r="D111" i="3"/>
  <c r="D112" i="3"/>
  <c r="D113" i="3"/>
  <c r="D114" i="3"/>
  <c r="D109" i="2"/>
  <c r="C107" i="9" s="1"/>
  <c r="D110" i="2"/>
  <c r="D111" i="2"/>
  <c r="D112" i="2"/>
  <c r="D113" i="2"/>
  <c r="C111" i="9" s="1"/>
  <c r="D114" i="2"/>
  <c r="C121" i="3"/>
  <c r="C122" i="3"/>
  <c r="C123" i="3"/>
  <c r="C124" i="3"/>
  <c r="C125" i="3"/>
  <c r="C121" i="2"/>
  <c r="B118" i="9" s="1"/>
  <c r="C122" i="2"/>
  <c r="C123" i="2"/>
  <c r="C124" i="2"/>
  <c r="C125" i="2"/>
  <c r="B122" i="9" s="1"/>
  <c r="C109" i="3"/>
  <c r="C110" i="3"/>
  <c r="C111" i="3"/>
  <c r="C112" i="3"/>
  <c r="C113" i="3"/>
  <c r="C114" i="3"/>
  <c r="C109" i="2"/>
  <c r="C110" i="2"/>
  <c r="C111" i="2"/>
  <c r="B109" i="9" s="1"/>
  <c r="C112" i="2"/>
  <c r="C113" i="2"/>
  <c r="C114" i="2"/>
  <c r="U123" i="3"/>
  <c r="BU123" i="3" s="1"/>
  <c r="U124" i="3"/>
  <c r="BU124" i="3" s="1"/>
  <c r="U125" i="3"/>
  <c r="BU125" i="3" s="1"/>
  <c r="U121" i="3"/>
  <c r="U123" i="2"/>
  <c r="U124" i="2"/>
  <c r="U125" i="2"/>
  <c r="U126" i="2"/>
  <c r="U121" i="2"/>
  <c r="T123" i="2"/>
  <c r="T124" i="2"/>
  <c r="T125" i="2"/>
  <c r="T126" i="2"/>
  <c r="T121" i="2"/>
  <c r="T123" i="3"/>
  <c r="BL123" i="3" s="1"/>
  <c r="T124" i="3"/>
  <c r="BL124" i="3" s="1"/>
  <c r="T125" i="3"/>
  <c r="BL125" i="3" s="1"/>
  <c r="T126" i="3"/>
  <c r="BL126" i="3" s="1"/>
  <c r="T121" i="3"/>
  <c r="BL121" i="3" s="1"/>
  <c r="S123" i="3"/>
  <c r="BK123" i="3" s="1"/>
  <c r="S124" i="3"/>
  <c r="BK124" i="3" s="1"/>
  <c r="S125" i="3"/>
  <c r="S126" i="3"/>
  <c r="S121" i="3"/>
  <c r="BK121" i="3" s="1"/>
  <c r="S126" i="2"/>
  <c r="S125" i="2"/>
  <c r="S124" i="2"/>
  <c r="S123" i="2"/>
  <c r="S121" i="2"/>
  <c r="S109" i="3"/>
  <c r="S110" i="3"/>
  <c r="S111" i="3"/>
  <c r="S112" i="3"/>
  <c r="S113" i="3"/>
  <c r="S114" i="3"/>
  <c r="R123" i="2"/>
  <c r="R124" i="2"/>
  <c r="R125" i="2"/>
  <c r="R126" i="2"/>
  <c r="R121" i="2"/>
  <c r="R123" i="3"/>
  <c r="R124" i="3"/>
  <c r="R121" i="3"/>
  <c r="R109" i="3"/>
  <c r="R110" i="3"/>
  <c r="R111" i="3"/>
  <c r="R112" i="3"/>
  <c r="R113" i="3"/>
  <c r="R114" i="3"/>
  <c r="R109" i="2"/>
  <c r="R110" i="2"/>
  <c r="R111" i="2"/>
  <c r="R112" i="2"/>
  <c r="R113" i="2"/>
  <c r="R114" i="2"/>
  <c r="Q123" i="3"/>
  <c r="BI123" i="3" s="1"/>
  <c r="Q124" i="3"/>
  <c r="Q125" i="3"/>
  <c r="Q126" i="3"/>
  <c r="Q121" i="3"/>
  <c r="BI121" i="3" s="1"/>
  <c r="Q126" i="2"/>
  <c r="Q123" i="2"/>
  <c r="Q124" i="2"/>
  <c r="Q121" i="2"/>
  <c r="Q109" i="3"/>
  <c r="Q110" i="3"/>
  <c r="Q111" i="3"/>
  <c r="Q112" i="3"/>
  <c r="Q113" i="3"/>
  <c r="Q114" i="3"/>
  <c r="P123" i="2"/>
  <c r="P124" i="2"/>
  <c r="P125" i="2"/>
  <c r="O122" i="9" s="1"/>
  <c r="P126" i="2"/>
  <c r="O123" i="9" s="1"/>
  <c r="P121" i="2"/>
  <c r="P123" i="3"/>
  <c r="BH123" i="3" s="1"/>
  <c r="P121" i="3"/>
  <c r="BH121" i="3" s="1"/>
  <c r="P109" i="3"/>
  <c r="BH109" i="3" s="1"/>
  <c r="P110" i="3"/>
  <c r="BH110" i="3" s="1"/>
  <c r="P111" i="3"/>
  <c r="BH111" i="3" s="1"/>
  <c r="P112" i="3"/>
  <c r="BH112" i="3" s="1"/>
  <c r="P113" i="3"/>
  <c r="BH113" i="3" s="1"/>
  <c r="P114" i="3"/>
  <c r="BH114" i="3" s="1"/>
  <c r="P109" i="2"/>
  <c r="P110" i="2"/>
  <c r="P111" i="2"/>
  <c r="P112" i="2"/>
  <c r="P113" i="2"/>
  <c r="P114" i="2"/>
  <c r="O125" i="3"/>
  <c r="O123" i="3"/>
  <c r="O121" i="3"/>
  <c r="O123" i="2"/>
  <c r="O124" i="2"/>
  <c r="N121" i="9" s="1"/>
  <c r="O121" i="2"/>
  <c r="O109" i="3"/>
  <c r="O110" i="3"/>
  <c r="O111" i="3"/>
  <c r="O112" i="3"/>
  <c r="O113" i="3"/>
  <c r="O114" i="3"/>
  <c r="O109" i="2"/>
  <c r="O110" i="2"/>
  <c r="O111" i="2"/>
  <c r="O112" i="2"/>
  <c r="O113" i="2"/>
  <c r="O114" i="2"/>
  <c r="N123" i="3"/>
  <c r="N124" i="3"/>
  <c r="N121" i="3"/>
  <c r="N123" i="2"/>
  <c r="N124" i="2"/>
  <c r="N125" i="2"/>
  <c r="M122" i="9" s="1"/>
  <c r="N126" i="2"/>
  <c r="M123" i="9" s="1"/>
  <c r="N121" i="2"/>
  <c r="N109" i="3"/>
  <c r="N110" i="3"/>
  <c r="N111" i="3"/>
  <c r="N112" i="3"/>
  <c r="N113" i="3"/>
  <c r="N114" i="3"/>
  <c r="N109" i="2"/>
  <c r="N110" i="2"/>
  <c r="N111" i="2"/>
  <c r="N112" i="2"/>
  <c r="N113" i="2"/>
  <c r="N114" i="2"/>
  <c r="C118" i="3" l="1"/>
  <c r="C112" i="9"/>
  <c r="C108" i="9"/>
  <c r="E109" i="9"/>
  <c r="E120" i="9"/>
  <c r="F109" i="9"/>
  <c r="F120" i="9"/>
  <c r="G109" i="9"/>
  <c r="AG109" i="9" s="1"/>
  <c r="AL109" i="9" s="1"/>
  <c r="H111" i="9"/>
  <c r="H107" i="9"/>
  <c r="I112" i="9"/>
  <c r="I108" i="9"/>
  <c r="J109" i="9"/>
  <c r="AH109" i="9" s="1"/>
  <c r="AM109" i="9" s="1"/>
  <c r="K111" i="9"/>
  <c r="K107" i="9"/>
  <c r="L112" i="9"/>
  <c r="L108" i="9"/>
  <c r="J101" i="9"/>
  <c r="F101" i="9"/>
  <c r="B101" i="9"/>
  <c r="L100" i="9"/>
  <c r="H100" i="9"/>
  <c r="D100" i="9"/>
  <c r="J99" i="9"/>
  <c r="F99" i="9"/>
  <c r="B99" i="9"/>
  <c r="L98" i="9"/>
  <c r="H98" i="9"/>
  <c r="D98" i="9"/>
  <c r="J97" i="9"/>
  <c r="F97" i="9"/>
  <c r="B97" i="9"/>
  <c r="L96" i="9"/>
  <c r="H96" i="9"/>
  <c r="D96" i="9"/>
  <c r="J95" i="9"/>
  <c r="F95" i="9"/>
  <c r="B95" i="9"/>
  <c r="Y146" i="9"/>
  <c r="AG123" i="9"/>
  <c r="BT136" i="3"/>
  <c r="BM136" i="3"/>
  <c r="BU136" i="3"/>
  <c r="BM132" i="3"/>
  <c r="BU132" i="3"/>
  <c r="BM137" i="3"/>
  <c r="BU137" i="3"/>
  <c r="BM133" i="3"/>
  <c r="BU133" i="3"/>
  <c r="AA131" i="3"/>
  <c r="BW131" i="3" s="1"/>
  <c r="BM121" i="3"/>
  <c r="BU121" i="3"/>
  <c r="L110" i="9"/>
  <c r="L101" i="9"/>
  <c r="H101" i="9"/>
  <c r="AH101" i="9" s="1"/>
  <c r="AM101" i="9" s="1"/>
  <c r="D101" i="9"/>
  <c r="J100" i="9"/>
  <c r="F100" i="9"/>
  <c r="B100" i="9"/>
  <c r="AF100" i="9" s="1"/>
  <c r="L99" i="9"/>
  <c r="H99" i="9"/>
  <c r="D99" i="9"/>
  <c r="J98" i="9"/>
  <c r="F98" i="9"/>
  <c r="B98" i="9"/>
  <c r="L97" i="9"/>
  <c r="H97" i="9"/>
  <c r="AH97" i="9" s="1"/>
  <c r="AM97" i="9" s="1"/>
  <c r="D97" i="9"/>
  <c r="J96" i="9"/>
  <c r="F96" i="9"/>
  <c r="B96" i="9"/>
  <c r="AF96" i="9" s="1"/>
  <c r="L95" i="9"/>
  <c r="H95" i="9"/>
  <c r="D95" i="9"/>
  <c r="AA137" i="3"/>
  <c r="BW137" i="3" s="1"/>
  <c r="BM135" i="3"/>
  <c r="BU135" i="3"/>
  <c r="BM131" i="3"/>
  <c r="BU131" i="3"/>
  <c r="B112" i="9"/>
  <c r="B108" i="9"/>
  <c r="C110" i="9"/>
  <c r="D109" i="9"/>
  <c r="AF109" i="9" s="1"/>
  <c r="H109" i="9"/>
  <c r="AE109" i="9" s="1"/>
  <c r="AJ109" i="9" s="1"/>
  <c r="I110" i="9"/>
  <c r="J111" i="9"/>
  <c r="AH111" i="9" s="1"/>
  <c r="AM111" i="9" s="1"/>
  <c r="J107" i="9"/>
  <c r="AH107" i="9" s="1"/>
  <c r="AM107" i="9" s="1"/>
  <c r="K109" i="9"/>
  <c r="AF133" i="3"/>
  <c r="B110" i="9"/>
  <c r="D111" i="9"/>
  <c r="AF111" i="9" s="1"/>
  <c r="D107" i="9"/>
  <c r="AF107" i="9" s="1"/>
  <c r="D119" i="9"/>
  <c r="M110" i="9"/>
  <c r="AI110" i="9" s="1"/>
  <c r="AN110" i="9" s="1"/>
  <c r="N120" i="9"/>
  <c r="BF120" i="9" s="1"/>
  <c r="BT123" i="3"/>
  <c r="B119" i="9"/>
  <c r="C122" i="9"/>
  <c r="C118" i="9"/>
  <c r="D120" i="9"/>
  <c r="AG119" i="9"/>
  <c r="AL119" i="9" s="1"/>
  <c r="G121" i="9"/>
  <c r="H122" i="9"/>
  <c r="J121" i="9"/>
  <c r="AE136" i="3"/>
  <c r="BT137" i="3"/>
  <c r="BT133" i="3"/>
  <c r="M109" i="9"/>
  <c r="AI109" i="9" s="1"/>
  <c r="AN109" i="9" s="1"/>
  <c r="E111" i="9"/>
  <c r="E107" i="9"/>
  <c r="E122" i="9"/>
  <c r="E118" i="9"/>
  <c r="F111" i="9"/>
  <c r="F107" i="9"/>
  <c r="F122" i="9"/>
  <c r="F118" i="9"/>
  <c r="M118" i="9"/>
  <c r="M120" i="9"/>
  <c r="N118" i="9"/>
  <c r="BF118" i="9" s="1"/>
  <c r="BT121" i="3"/>
  <c r="BT126" i="3"/>
  <c r="B121" i="9"/>
  <c r="C120" i="9"/>
  <c r="D122" i="9"/>
  <c r="D118" i="9"/>
  <c r="BI109" i="3"/>
  <c r="P107" i="9"/>
  <c r="M121" i="9"/>
  <c r="AA121" i="3"/>
  <c r="BI112" i="3"/>
  <c r="P110" i="9"/>
  <c r="R109" i="9"/>
  <c r="BJ109" i="9" s="1"/>
  <c r="BK111" i="3"/>
  <c r="G111" i="9"/>
  <c r="AE111" i="9" s="1"/>
  <c r="AJ111" i="9" s="1"/>
  <c r="G107" i="9"/>
  <c r="AE107" i="9" s="1"/>
  <c r="AJ107" i="9" s="1"/>
  <c r="G118" i="9"/>
  <c r="G120" i="9"/>
  <c r="H121" i="9"/>
  <c r="I122" i="9"/>
  <c r="J118" i="9"/>
  <c r="J120" i="9"/>
  <c r="K121" i="9"/>
  <c r="L120" i="9"/>
  <c r="BT134" i="3"/>
  <c r="M112" i="9"/>
  <c r="AI112" i="9" s="1"/>
  <c r="AN112" i="9" s="1"/>
  <c r="BI111" i="3"/>
  <c r="P109" i="9"/>
  <c r="R112" i="9"/>
  <c r="BJ112" i="9" s="1"/>
  <c r="BK114" i="3"/>
  <c r="R108" i="9"/>
  <c r="BJ108" i="9" s="1"/>
  <c r="BK110" i="3"/>
  <c r="B111" i="9"/>
  <c r="B107" i="9"/>
  <c r="C109" i="9"/>
  <c r="D112" i="9"/>
  <c r="AF112" i="9" s="1"/>
  <c r="D108" i="9"/>
  <c r="AF108" i="9" s="1"/>
  <c r="E110" i="9"/>
  <c r="E121" i="9"/>
  <c r="F110" i="9"/>
  <c r="F121" i="9"/>
  <c r="G110" i="9"/>
  <c r="AG110" i="9" s="1"/>
  <c r="AL110" i="9" s="1"/>
  <c r="H112" i="9"/>
  <c r="H108" i="9"/>
  <c r="AE108" i="9" s="1"/>
  <c r="AJ108" i="9" s="1"/>
  <c r="H118" i="9"/>
  <c r="H120" i="9"/>
  <c r="I109" i="9"/>
  <c r="I121" i="9"/>
  <c r="J110" i="9"/>
  <c r="AH110" i="9" s="1"/>
  <c r="AM110" i="9" s="1"/>
  <c r="J123" i="9"/>
  <c r="AH123" i="9" s="1"/>
  <c r="K112" i="9"/>
  <c r="K108" i="9"/>
  <c r="K118" i="9"/>
  <c r="K120" i="9"/>
  <c r="L109" i="9"/>
  <c r="L118" i="9"/>
  <c r="K101" i="9"/>
  <c r="G101" i="9"/>
  <c r="C101" i="9"/>
  <c r="M100" i="9"/>
  <c r="AI100" i="9" s="1"/>
  <c r="I100" i="9"/>
  <c r="E100" i="9"/>
  <c r="K99" i="9"/>
  <c r="G99" i="9"/>
  <c r="AG99" i="9" s="1"/>
  <c r="C99" i="9"/>
  <c r="M98" i="9"/>
  <c r="I98" i="9"/>
  <c r="E98" i="9"/>
  <c r="K97" i="9"/>
  <c r="G97" i="9"/>
  <c r="C97" i="9"/>
  <c r="M96" i="9"/>
  <c r="AI96" i="9" s="1"/>
  <c r="I96" i="9"/>
  <c r="E96" i="9"/>
  <c r="K95" i="9"/>
  <c r="G95" i="9"/>
  <c r="AG95" i="9" s="1"/>
  <c r="C95" i="9"/>
  <c r="BT135" i="3"/>
  <c r="BT131" i="3"/>
  <c r="BI113" i="3"/>
  <c r="P111" i="9"/>
  <c r="R110" i="9"/>
  <c r="BJ110" i="9" s="1"/>
  <c r="BK112" i="3"/>
  <c r="L121" i="9"/>
  <c r="M108" i="9"/>
  <c r="AI108" i="9" s="1"/>
  <c r="AN108" i="9" s="1"/>
  <c r="M111" i="9"/>
  <c r="AI111" i="9" s="1"/>
  <c r="AN111" i="9" s="1"/>
  <c r="M107" i="9"/>
  <c r="AA125" i="3"/>
  <c r="N122" i="9"/>
  <c r="BF122" i="9" s="1"/>
  <c r="BI114" i="3"/>
  <c r="P112" i="9"/>
  <c r="BI110" i="3"/>
  <c r="P108" i="9"/>
  <c r="BI125" i="3"/>
  <c r="P122" i="9"/>
  <c r="BH122" i="9" s="1"/>
  <c r="BT124" i="3"/>
  <c r="R111" i="9"/>
  <c r="BJ111" i="9" s="1"/>
  <c r="BK113" i="3"/>
  <c r="R107" i="9"/>
  <c r="BK109" i="3"/>
  <c r="BT125" i="3"/>
  <c r="B120" i="9"/>
  <c r="C119" i="9"/>
  <c r="D121" i="9"/>
  <c r="G122" i="9"/>
  <c r="I118" i="9"/>
  <c r="I120" i="9"/>
  <c r="J122" i="9"/>
  <c r="K123" i="9"/>
  <c r="AI123" i="9" s="1"/>
  <c r="BT132" i="3"/>
  <c r="BH110" i="2"/>
  <c r="O108" i="9"/>
  <c r="BG108" i="9" s="1"/>
  <c r="BI126" i="2"/>
  <c r="P123" i="9"/>
  <c r="BH123" i="9" s="1"/>
  <c r="BK121" i="2"/>
  <c r="R118" i="9"/>
  <c r="BM123" i="2"/>
  <c r="T120" i="9"/>
  <c r="AE112" i="9"/>
  <c r="AJ112" i="9" s="1"/>
  <c r="AG112" i="9"/>
  <c r="AL112" i="9" s="1"/>
  <c r="BH102" i="2"/>
  <c r="O100" i="9"/>
  <c r="BL100" i="2"/>
  <c r="S98" i="9"/>
  <c r="BK98" i="9" s="1"/>
  <c r="BG111" i="2"/>
  <c r="N109" i="9"/>
  <c r="BF109" i="9" s="1"/>
  <c r="BH113" i="2"/>
  <c r="O111" i="9"/>
  <c r="BG111" i="9" s="1"/>
  <c r="BH109" i="2"/>
  <c r="O107" i="9"/>
  <c r="BH124" i="2"/>
  <c r="O121" i="9"/>
  <c r="BG121" i="9" s="1"/>
  <c r="BI121" i="2"/>
  <c r="P118" i="9"/>
  <c r="Q109" i="9"/>
  <c r="BI109" i="9" s="1"/>
  <c r="BJ111" i="2"/>
  <c r="BJ121" i="2"/>
  <c r="Q118" i="9"/>
  <c r="BJ123" i="2"/>
  <c r="Q120" i="9"/>
  <c r="BK123" i="2"/>
  <c r="R120" i="9"/>
  <c r="BJ120" i="9" s="1"/>
  <c r="BL125" i="2"/>
  <c r="S122" i="9"/>
  <c r="BK122" i="9" s="1"/>
  <c r="BM126" i="2"/>
  <c r="T123" i="9"/>
  <c r="BI103" i="2"/>
  <c r="P101" i="9"/>
  <c r="BH101" i="9" s="1"/>
  <c r="BK102" i="2"/>
  <c r="R100" i="9"/>
  <c r="BJ100" i="9" s="1"/>
  <c r="BG102" i="2"/>
  <c r="N100" i="9"/>
  <c r="BI101" i="2"/>
  <c r="P99" i="9"/>
  <c r="BH99" i="9" s="1"/>
  <c r="BK100" i="2"/>
  <c r="R98" i="9"/>
  <c r="BJ98" i="9" s="1"/>
  <c r="BG100" i="2"/>
  <c r="N98" i="9"/>
  <c r="BI99" i="2"/>
  <c r="P97" i="9"/>
  <c r="BH97" i="9" s="1"/>
  <c r="BK98" i="2"/>
  <c r="R96" i="9"/>
  <c r="BJ96" i="9" s="1"/>
  <c r="BG98" i="2"/>
  <c r="N96" i="9"/>
  <c r="BI97" i="2"/>
  <c r="P95" i="9"/>
  <c r="BG112" i="2"/>
  <c r="N110" i="9"/>
  <c r="BF110" i="9" s="1"/>
  <c r="BG122" i="9"/>
  <c r="BJ124" i="2"/>
  <c r="Q121" i="9"/>
  <c r="BL126" i="2"/>
  <c r="S123" i="9"/>
  <c r="BK123" i="9" s="1"/>
  <c r="AI122" i="9"/>
  <c r="BL102" i="2"/>
  <c r="S100" i="9"/>
  <c r="BK100" i="9" s="1"/>
  <c r="BJ99" i="2"/>
  <c r="Q97" i="9"/>
  <c r="BL98" i="2"/>
  <c r="S96" i="9"/>
  <c r="BK96" i="9" s="1"/>
  <c r="BG114" i="2"/>
  <c r="N112" i="9"/>
  <c r="BF112" i="9" s="1"/>
  <c r="BG110" i="2"/>
  <c r="N108" i="9"/>
  <c r="BF108" i="9" s="1"/>
  <c r="BH112" i="2"/>
  <c r="O110" i="9"/>
  <c r="BG110" i="9" s="1"/>
  <c r="BH121" i="2"/>
  <c r="O118" i="9"/>
  <c r="BH123" i="2"/>
  <c r="O120" i="9"/>
  <c r="BG120" i="9" s="1"/>
  <c r="BI124" i="2"/>
  <c r="P121" i="9"/>
  <c r="BH121" i="9" s="1"/>
  <c r="Q112" i="9"/>
  <c r="BI112" i="9" s="1"/>
  <c r="BJ114" i="2"/>
  <c r="Q108" i="9"/>
  <c r="BI108" i="9" s="1"/>
  <c r="BJ110" i="2"/>
  <c r="BJ126" i="2"/>
  <c r="Q123" i="9"/>
  <c r="BK124" i="2"/>
  <c r="R121" i="9"/>
  <c r="BJ121" i="9" s="1"/>
  <c r="BL124" i="2"/>
  <c r="S121" i="9"/>
  <c r="BK121" i="9" s="1"/>
  <c r="BM125" i="2"/>
  <c r="T122" i="9"/>
  <c r="BL103" i="2"/>
  <c r="S101" i="9"/>
  <c r="BK101" i="9" s="1"/>
  <c r="BH103" i="2"/>
  <c r="O101" i="9"/>
  <c r="BG101" i="9" s="1"/>
  <c r="BJ102" i="2"/>
  <c r="Q100" i="9"/>
  <c r="BL101" i="2"/>
  <c r="S99" i="9"/>
  <c r="BK99" i="9" s="1"/>
  <c r="BH101" i="2"/>
  <c r="O99" i="9"/>
  <c r="BG99" i="9" s="1"/>
  <c r="BJ100" i="2"/>
  <c r="Q98" i="9"/>
  <c r="BL99" i="2"/>
  <c r="S97" i="9"/>
  <c r="BK97" i="9" s="1"/>
  <c r="BH99" i="2"/>
  <c r="O97" i="9"/>
  <c r="BJ98" i="2"/>
  <c r="Q96" i="9"/>
  <c r="BL97" i="2"/>
  <c r="S95" i="9"/>
  <c r="BH97" i="2"/>
  <c r="O95" i="9"/>
  <c r="Y139" i="9"/>
  <c r="BH114" i="2"/>
  <c r="O112" i="9"/>
  <c r="BG112" i="9" s="1"/>
  <c r="Q110" i="9"/>
  <c r="BI110" i="9" s="1"/>
  <c r="BJ112" i="2"/>
  <c r="BK126" i="2"/>
  <c r="R123" i="9"/>
  <c r="BJ123" i="9" s="1"/>
  <c r="BM121" i="2"/>
  <c r="T118" i="9"/>
  <c r="AG108" i="9"/>
  <c r="AL108" i="9" s="1"/>
  <c r="BJ103" i="2"/>
  <c r="Q101" i="9"/>
  <c r="BJ101" i="2"/>
  <c r="Q99" i="9"/>
  <c r="BH100" i="2"/>
  <c r="O98" i="9"/>
  <c r="BG98" i="9" s="1"/>
  <c r="BH98" i="2"/>
  <c r="O96" i="9"/>
  <c r="BG96" i="9" s="1"/>
  <c r="BJ97" i="2"/>
  <c r="Q95" i="9"/>
  <c r="AI107" i="9"/>
  <c r="AN107" i="9" s="1"/>
  <c r="BG113" i="2"/>
  <c r="N111" i="9"/>
  <c r="BF111" i="9" s="1"/>
  <c r="BG109" i="2"/>
  <c r="N107" i="9"/>
  <c r="BF121" i="9"/>
  <c r="BH111" i="2"/>
  <c r="O109" i="9"/>
  <c r="BG109" i="9" s="1"/>
  <c r="BG123" i="9"/>
  <c r="BI123" i="2"/>
  <c r="P120" i="9"/>
  <c r="BH120" i="9" s="1"/>
  <c r="Q111" i="9"/>
  <c r="BI111" i="9" s="1"/>
  <c r="BJ113" i="2"/>
  <c r="Q107" i="9"/>
  <c r="BJ109" i="2"/>
  <c r="BJ125" i="2"/>
  <c r="Q122" i="9"/>
  <c r="BK125" i="2"/>
  <c r="R122" i="9"/>
  <c r="BJ122" i="9" s="1"/>
  <c r="BL121" i="2"/>
  <c r="S118" i="9"/>
  <c r="BL123" i="2"/>
  <c r="S120" i="9"/>
  <c r="BK120" i="9" s="1"/>
  <c r="BM124" i="2"/>
  <c r="T121" i="9"/>
  <c r="AF123" i="9"/>
  <c r="AE123" i="9"/>
  <c r="BK103" i="2"/>
  <c r="R101" i="9"/>
  <c r="BJ101" i="9" s="1"/>
  <c r="BG103" i="2"/>
  <c r="N101" i="9"/>
  <c r="BI102" i="2"/>
  <c r="P100" i="9"/>
  <c r="BH100" i="9" s="1"/>
  <c r="BK101" i="2"/>
  <c r="R99" i="9"/>
  <c r="BJ99" i="9" s="1"/>
  <c r="BG101" i="2"/>
  <c r="N99" i="9"/>
  <c r="BI100" i="2"/>
  <c r="P98" i="9"/>
  <c r="BH98" i="9" s="1"/>
  <c r="BK99" i="2"/>
  <c r="R97" i="9"/>
  <c r="BJ97" i="9" s="1"/>
  <c r="BG99" i="2"/>
  <c r="N97" i="9"/>
  <c r="BI98" i="2"/>
  <c r="P96" i="9"/>
  <c r="BH96" i="9" s="1"/>
  <c r="BK97" i="2"/>
  <c r="R95" i="9"/>
  <c r="BG97" i="2"/>
  <c r="N95" i="9"/>
  <c r="AH135" i="2"/>
  <c r="AJ133" i="2"/>
  <c r="AG132" i="2"/>
  <c r="Y138" i="9"/>
  <c r="V139" i="2"/>
  <c r="BN139" i="2" s="1"/>
  <c r="AJ135" i="3"/>
  <c r="BJ111" i="3"/>
  <c r="BT111" i="3"/>
  <c r="BJ114" i="3"/>
  <c r="BT114" i="3"/>
  <c r="BJ110" i="3"/>
  <c r="BT110" i="3"/>
  <c r="BJ102" i="3"/>
  <c r="BT102" i="3"/>
  <c r="BJ100" i="3"/>
  <c r="BT100" i="3"/>
  <c r="BJ98" i="3"/>
  <c r="BT98" i="3"/>
  <c r="BJ113" i="3"/>
  <c r="BT113" i="3"/>
  <c r="BJ109" i="3"/>
  <c r="BT109" i="3"/>
  <c r="BJ112" i="3"/>
  <c r="BT112" i="3"/>
  <c r="BJ103" i="3"/>
  <c r="BT103" i="3"/>
  <c r="BJ101" i="3"/>
  <c r="BT101" i="3"/>
  <c r="BJ99" i="3"/>
  <c r="BT99" i="3"/>
  <c r="BJ97" i="3"/>
  <c r="BT97" i="3"/>
  <c r="BI126" i="3"/>
  <c r="AA126" i="3"/>
  <c r="BS126" i="3"/>
  <c r="AB132" i="2"/>
  <c r="AA123" i="3"/>
  <c r="BI124" i="3"/>
  <c r="AA124" i="3"/>
  <c r="BS124" i="3"/>
  <c r="AE132" i="2"/>
  <c r="AH137" i="2"/>
  <c r="AG137" i="2"/>
  <c r="AJ136" i="2"/>
  <c r="AI136" i="2"/>
  <c r="AJ135" i="2"/>
  <c r="AG135" i="2"/>
  <c r="AH134" i="2"/>
  <c r="AI133" i="2"/>
  <c r="AH133" i="2"/>
  <c r="AJ132" i="2"/>
  <c r="AI136" i="3"/>
  <c r="BG121" i="2"/>
  <c r="BG124" i="2"/>
  <c r="BH126" i="2"/>
  <c r="BG123" i="2"/>
  <c r="BH125" i="2"/>
  <c r="AH134" i="3"/>
  <c r="AJ132" i="3"/>
  <c r="AJ137" i="3"/>
  <c r="AG136" i="3"/>
  <c r="AH135" i="3"/>
  <c r="AB133" i="3"/>
  <c r="AE132" i="3"/>
  <c r="AI137" i="3"/>
  <c r="AJ136" i="3"/>
  <c r="AG135" i="3"/>
  <c r="AI133" i="3"/>
  <c r="AH137" i="3"/>
  <c r="BK125" i="3"/>
  <c r="BK126" i="3"/>
  <c r="AI132" i="2"/>
  <c r="AD134" i="2"/>
  <c r="AC135" i="2"/>
  <c r="M139" i="3"/>
  <c r="AI134" i="3"/>
  <c r="E139" i="3"/>
  <c r="AJ133" i="3"/>
  <c r="AH133" i="3"/>
  <c r="AC134" i="3"/>
  <c r="AE135" i="3"/>
  <c r="AE136" i="2"/>
  <c r="BG125" i="3"/>
  <c r="BS125" i="3"/>
  <c r="AA102" i="3"/>
  <c r="BW102" i="3" s="1"/>
  <c r="BG102" i="3"/>
  <c r="BS102" i="3"/>
  <c r="AB136" i="3"/>
  <c r="AA136" i="3"/>
  <c r="BW136" i="3" s="1"/>
  <c r="BG136" i="3"/>
  <c r="BS136" i="3"/>
  <c r="AD134" i="3"/>
  <c r="BM134" i="3"/>
  <c r="AC133" i="3"/>
  <c r="BL133" i="3"/>
  <c r="AA132" i="3"/>
  <c r="BW132" i="3" s="1"/>
  <c r="BG132" i="3"/>
  <c r="BS132" i="3"/>
  <c r="J139" i="3"/>
  <c r="BG114" i="3"/>
  <c r="BS114" i="3"/>
  <c r="BG110" i="3"/>
  <c r="BS110" i="3"/>
  <c r="BJ123" i="3"/>
  <c r="BM123" i="3"/>
  <c r="BG137" i="3"/>
  <c r="BS137" i="3"/>
  <c r="BJ136" i="3"/>
  <c r="BV136" i="3"/>
  <c r="AB135" i="3"/>
  <c r="BI135" i="3"/>
  <c r="BH134" i="3"/>
  <c r="AA133" i="3"/>
  <c r="BW133" i="3" s="1"/>
  <c r="BG133" i="3"/>
  <c r="BS133" i="3"/>
  <c r="BJ132" i="3"/>
  <c r="BV132" i="3"/>
  <c r="BI131" i="3"/>
  <c r="BG111" i="3"/>
  <c r="BS111" i="3"/>
  <c r="BJ124" i="3"/>
  <c r="BM124" i="3"/>
  <c r="AA98" i="3"/>
  <c r="BW98" i="3" s="1"/>
  <c r="BG98" i="3"/>
  <c r="BS98" i="3"/>
  <c r="AE137" i="3"/>
  <c r="BP137" i="3"/>
  <c r="AB137" i="3"/>
  <c r="BH137" i="3"/>
  <c r="AD136" i="3"/>
  <c r="BO136" i="3"/>
  <c r="AC135" i="3"/>
  <c r="BJ135" i="3"/>
  <c r="BV135" i="3"/>
  <c r="BI134" i="3"/>
  <c r="R139" i="3"/>
  <c r="BJ131" i="3"/>
  <c r="BV131" i="3"/>
  <c r="BG113" i="3"/>
  <c r="BS113" i="3"/>
  <c r="BG109" i="3"/>
  <c r="BS109" i="3"/>
  <c r="BG121" i="3"/>
  <c r="BS121" i="3"/>
  <c r="AA103" i="3"/>
  <c r="BW103" i="3" s="1"/>
  <c r="BG103" i="3"/>
  <c r="BS103" i="3"/>
  <c r="AA101" i="3"/>
  <c r="BW101" i="3" s="1"/>
  <c r="BG101" i="3"/>
  <c r="BS101" i="3"/>
  <c r="AA99" i="3"/>
  <c r="BW99" i="3" s="1"/>
  <c r="BG99" i="3"/>
  <c r="BS99" i="3"/>
  <c r="AA97" i="3"/>
  <c r="BW97" i="3" s="1"/>
  <c r="BG97" i="3"/>
  <c r="BS97" i="3"/>
  <c r="BJ137" i="3"/>
  <c r="BV137" i="3"/>
  <c r="BI136" i="3"/>
  <c r="BH135" i="3"/>
  <c r="AA134" i="3"/>
  <c r="BW134" i="3" s="1"/>
  <c r="BG134" i="3"/>
  <c r="BS134" i="3"/>
  <c r="BJ133" i="3"/>
  <c r="BV133" i="3"/>
  <c r="BI132" i="3"/>
  <c r="BH131" i="3"/>
  <c r="AA100" i="3"/>
  <c r="BW100" i="3" s="1"/>
  <c r="BG100" i="3"/>
  <c r="BS100" i="3"/>
  <c r="AC137" i="3"/>
  <c r="BL137" i="3"/>
  <c r="AD135" i="3"/>
  <c r="BN135" i="3"/>
  <c r="AE133" i="3"/>
  <c r="BP133" i="3"/>
  <c r="BH133" i="3"/>
  <c r="BG112" i="3"/>
  <c r="BS112" i="3"/>
  <c r="BG123" i="3"/>
  <c r="BS123" i="3"/>
  <c r="BJ121" i="3"/>
  <c r="BM125" i="3"/>
  <c r="BI137" i="3"/>
  <c r="BH136" i="3"/>
  <c r="AA135" i="3"/>
  <c r="BW135" i="3" s="1"/>
  <c r="BG135" i="3"/>
  <c r="BS135" i="3"/>
  <c r="BJ134" i="3"/>
  <c r="BV134" i="3"/>
  <c r="BI133" i="3"/>
  <c r="BH132" i="3"/>
  <c r="BG131" i="3"/>
  <c r="BS131" i="3"/>
  <c r="AD137" i="2"/>
  <c r="BO137" i="2"/>
  <c r="AD136" i="2"/>
  <c r="BN136" i="2"/>
  <c r="AE135" i="2"/>
  <c r="BQ135" i="2"/>
  <c r="AC133" i="2"/>
  <c r="BK133" i="2"/>
  <c r="E139" i="2"/>
  <c r="J139" i="2"/>
  <c r="AI137" i="2"/>
  <c r="AC136" i="2"/>
  <c r="BJ136" i="2"/>
  <c r="AC134" i="2"/>
  <c r="BL134" i="2"/>
  <c r="AB133" i="2"/>
  <c r="BG133" i="2"/>
  <c r="AD133" i="2"/>
  <c r="AB137" i="2"/>
  <c r="BG137" i="2"/>
  <c r="AD132" i="2"/>
  <c r="BN132" i="2"/>
  <c r="AE131" i="2"/>
  <c r="BQ131" i="2"/>
  <c r="AE137" i="2"/>
  <c r="AJ137" i="2"/>
  <c r="AB136" i="2"/>
  <c r="BG136" i="2"/>
  <c r="AG136" i="2"/>
  <c r="AI134" i="2"/>
  <c r="M139" i="2"/>
  <c r="F139" i="3"/>
  <c r="AG134" i="3"/>
  <c r="N139" i="2"/>
  <c r="AG137" i="3"/>
  <c r="AC136" i="3"/>
  <c r="AH136" i="3"/>
  <c r="AI135" i="3"/>
  <c r="AE134" i="3"/>
  <c r="AJ134" i="3"/>
  <c r="AD132" i="3"/>
  <c r="Y139" i="3"/>
  <c r="BQ139" i="3" s="1"/>
  <c r="AD131" i="3"/>
  <c r="Q139" i="3"/>
  <c r="I139" i="3"/>
  <c r="Q139" i="2"/>
  <c r="BI139" i="2" s="1"/>
  <c r="N139" i="3"/>
  <c r="S139" i="2"/>
  <c r="BK139" i="2" s="1"/>
  <c r="AD137" i="3"/>
  <c r="AD133" i="3"/>
  <c r="U139" i="2"/>
  <c r="BM139" i="2" s="1"/>
  <c r="I139" i="2"/>
  <c r="W139" i="3"/>
  <c r="BO139" i="3" s="1"/>
  <c r="V139" i="3"/>
  <c r="BN139" i="3" s="1"/>
  <c r="U139" i="3"/>
  <c r="AC137" i="2"/>
  <c r="AH136" i="2"/>
  <c r="AD135" i="2"/>
  <c r="AI135" i="2"/>
  <c r="Y139" i="2"/>
  <c r="BQ139" i="2" s="1"/>
  <c r="AB134" i="2"/>
  <c r="X139" i="2"/>
  <c r="BP139" i="2" s="1"/>
  <c r="T139" i="2"/>
  <c r="BL139" i="2" s="1"/>
  <c r="L139" i="2"/>
  <c r="H139" i="2"/>
  <c r="D139" i="2"/>
  <c r="W139" i="2"/>
  <c r="BO139" i="2" s="1"/>
  <c r="AC132" i="2"/>
  <c r="O139" i="2"/>
  <c r="BG139" i="2" s="1"/>
  <c r="K139" i="2"/>
  <c r="G139" i="2"/>
  <c r="C139" i="2"/>
  <c r="R139" i="2"/>
  <c r="BJ139" i="2" s="1"/>
  <c r="AH131" i="2"/>
  <c r="X139" i="3"/>
  <c r="BP139" i="3" s="1"/>
  <c r="AH132" i="2"/>
  <c r="AG133" i="2"/>
  <c r="AE134" i="2"/>
  <c r="AJ131" i="2"/>
  <c r="AD131" i="2"/>
  <c r="AG134" i="2"/>
  <c r="AJ134" i="2"/>
  <c r="AB131" i="2"/>
  <c r="AB135" i="2"/>
  <c r="P139" i="2"/>
  <c r="BH139" i="2" s="1"/>
  <c r="AC131" i="2"/>
  <c r="AG131" i="2"/>
  <c r="AE133" i="2"/>
  <c r="F139" i="2"/>
  <c r="AI131" i="2"/>
  <c r="AI132" i="3"/>
  <c r="C139" i="3"/>
  <c r="G139" i="3"/>
  <c r="K139" i="3"/>
  <c r="O139" i="3"/>
  <c r="S139" i="3"/>
  <c r="BK139" i="3" s="1"/>
  <c r="AC132" i="3"/>
  <c r="AG132" i="3"/>
  <c r="AH132" i="3"/>
  <c r="H139" i="3"/>
  <c r="AJ131" i="3"/>
  <c r="AB131" i="3"/>
  <c r="T139" i="3"/>
  <c r="BL139" i="3" s="1"/>
  <c r="AB132" i="3"/>
  <c r="AE131" i="3"/>
  <c r="AI131" i="3"/>
  <c r="AG133" i="3"/>
  <c r="AB134" i="3"/>
  <c r="AL134" i="3" s="1"/>
  <c r="D139" i="3"/>
  <c r="L139" i="3"/>
  <c r="P139" i="3"/>
  <c r="AH131" i="3"/>
  <c r="AC131" i="3"/>
  <c r="AG131" i="3"/>
  <c r="C114" i="9" l="1"/>
  <c r="J103" i="9"/>
  <c r="AG120" i="9"/>
  <c r="AH99" i="9"/>
  <c r="AM99" i="9" s="1"/>
  <c r="L124" i="9"/>
  <c r="AM133" i="3"/>
  <c r="AL137" i="3"/>
  <c r="AG122" i="9"/>
  <c r="AF95" i="9"/>
  <c r="I103" i="9"/>
  <c r="AI97" i="9"/>
  <c r="AF99" i="9"/>
  <c r="AI101" i="9"/>
  <c r="AG121" i="9"/>
  <c r="E124" i="9"/>
  <c r="AH121" i="9"/>
  <c r="L103" i="9"/>
  <c r="D103" i="9"/>
  <c r="F103" i="9"/>
  <c r="AG107" i="9"/>
  <c r="AL107" i="9" s="1"/>
  <c r="AE98" i="9"/>
  <c r="K114" i="9"/>
  <c r="I124" i="9"/>
  <c r="AO132" i="3"/>
  <c r="D114" i="9"/>
  <c r="AF114" i="9" s="1"/>
  <c r="K103" i="9"/>
  <c r="AG98" i="9"/>
  <c r="AA118" i="9"/>
  <c r="AI95" i="9"/>
  <c r="AF97" i="9"/>
  <c r="AH98" i="9"/>
  <c r="AM98" i="9" s="1"/>
  <c r="AI99" i="9"/>
  <c r="AF101" i="9"/>
  <c r="E103" i="9"/>
  <c r="AE100" i="9"/>
  <c r="AF118" i="9"/>
  <c r="H103" i="9"/>
  <c r="B103" i="9"/>
  <c r="AH96" i="9"/>
  <c r="AM96" i="9" s="1"/>
  <c r="AH100" i="9"/>
  <c r="AM100" i="9" s="1"/>
  <c r="AO135" i="3"/>
  <c r="BM139" i="3"/>
  <c r="BU139" i="3"/>
  <c r="AE95" i="9"/>
  <c r="AE99" i="9"/>
  <c r="BR121" i="9"/>
  <c r="BR122" i="9"/>
  <c r="AF98" i="9"/>
  <c r="AO136" i="3"/>
  <c r="AH95" i="9"/>
  <c r="AM95" i="9" s="1"/>
  <c r="AE118" i="9"/>
  <c r="D124" i="9"/>
  <c r="L114" i="9"/>
  <c r="I114" i="9"/>
  <c r="H114" i="9"/>
  <c r="AI121" i="9"/>
  <c r="AE122" i="9"/>
  <c r="AE121" i="9"/>
  <c r="B114" i="9"/>
  <c r="AI118" i="9"/>
  <c r="F114" i="9"/>
  <c r="AE119" i="9"/>
  <c r="AJ119" i="9" s="1"/>
  <c r="AK133" i="3"/>
  <c r="AA122" i="9"/>
  <c r="AG111" i="9"/>
  <c r="AL111" i="9" s="1"/>
  <c r="AN134" i="2"/>
  <c r="AN133" i="2"/>
  <c r="AM135" i="2"/>
  <c r="N124" i="9"/>
  <c r="BF124" i="9" s="1"/>
  <c r="AN132" i="2"/>
  <c r="AO135" i="2"/>
  <c r="Z122" i="9"/>
  <c r="AG96" i="9"/>
  <c r="AH120" i="9"/>
  <c r="AF119" i="9"/>
  <c r="AK119" i="9" s="1"/>
  <c r="M124" i="9"/>
  <c r="AM137" i="2"/>
  <c r="AA121" i="9"/>
  <c r="AE96" i="9"/>
  <c r="AE120" i="9"/>
  <c r="AO133" i="2"/>
  <c r="AM133" i="2"/>
  <c r="AN136" i="2"/>
  <c r="AO132" i="2"/>
  <c r="AF121" i="9"/>
  <c r="C103" i="9"/>
  <c r="AH118" i="9"/>
  <c r="C124" i="9"/>
  <c r="J124" i="9"/>
  <c r="Z121" i="9"/>
  <c r="AJ121" i="9" s="1"/>
  <c r="F124" i="9"/>
  <c r="AG118" i="9"/>
  <c r="M103" i="9"/>
  <c r="AF122" i="9"/>
  <c r="J114" i="9"/>
  <c r="AH114" i="9" s="1"/>
  <c r="AM114" i="9" s="1"/>
  <c r="AH122" i="9"/>
  <c r="AE97" i="9"/>
  <c r="AE101" i="9"/>
  <c r="K124" i="9"/>
  <c r="H124" i="9"/>
  <c r="G114" i="9"/>
  <c r="E114" i="9"/>
  <c r="G124" i="9"/>
  <c r="AG124" i="9" s="1"/>
  <c r="AA110" i="9"/>
  <c r="AK110" i="9" s="1"/>
  <c r="BH110" i="9"/>
  <c r="BR110" i="9"/>
  <c r="AG97" i="9"/>
  <c r="AF120" i="9"/>
  <c r="G103" i="9"/>
  <c r="AG100" i="9"/>
  <c r="B124" i="9"/>
  <c r="AA108" i="9"/>
  <c r="AK108" i="9" s="1"/>
  <c r="BH108" i="9"/>
  <c r="BR108" i="9"/>
  <c r="BH111" i="9"/>
  <c r="BR111" i="9"/>
  <c r="AA111" i="9"/>
  <c r="AK111" i="9" s="1"/>
  <c r="AI98" i="9"/>
  <c r="AI120" i="9"/>
  <c r="AA109" i="9"/>
  <c r="AK109" i="9" s="1"/>
  <c r="BH109" i="9"/>
  <c r="BR109" i="9"/>
  <c r="AG101" i="9"/>
  <c r="BH107" i="9"/>
  <c r="AA107" i="9"/>
  <c r="AK107" i="9" s="1"/>
  <c r="P114" i="9"/>
  <c r="BR107" i="9"/>
  <c r="BT139" i="3"/>
  <c r="M114" i="9"/>
  <c r="AI114" i="9" s="1"/>
  <c r="AN114" i="9" s="1"/>
  <c r="AE110" i="9"/>
  <c r="AJ110" i="9" s="1"/>
  <c r="BJ107" i="9"/>
  <c r="R114" i="9"/>
  <c r="BJ114" i="9" s="1"/>
  <c r="AA112" i="9"/>
  <c r="AK112" i="9" s="1"/>
  <c r="BR112" i="9"/>
  <c r="BH112" i="9"/>
  <c r="BF95" i="9"/>
  <c r="Z95" i="9"/>
  <c r="N103" i="9"/>
  <c r="AA95" i="9"/>
  <c r="BR95" i="9"/>
  <c r="AA98" i="9"/>
  <c r="BF98" i="9"/>
  <c r="Z98" i="9"/>
  <c r="BR98" i="9"/>
  <c r="BL121" i="9"/>
  <c r="S124" i="9"/>
  <c r="BK124" i="9" s="1"/>
  <c r="BK118" i="9"/>
  <c r="AB122" i="9"/>
  <c r="AL122" i="9" s="1"/>
  <c r="BI122" i="9"/>
  <c r="BS122" i="9"/>
  <c r="BR123" i="9"/>
  <c r="AB99" i="9"/>
  <c r="AL99" i="9" s="1"/>
  <c r="BI99" i="9"/>
  <c r="BS99" i="9"/>
  <c r="Z120" i="9"/>
  <c r="AB96" i="9"/>
  <c r="AL96" i="9" s="1"/>
  <c r="BI96" i="9"/>
  <c r="BS96" i="9"/>
  <c r="AA97" i="9"/>
  <c r="AK97" i="9" s="1"/>
  <c r="BG97" i="9"/>
  <c r="BL122" i="9"/>
  <c r="O124" i="9"/>
  <c r="BG124" i="9" s="1"/>
  <c r="BG118" i="9"/>
  <c r="BR118" i="9"/>
  <c r="AB121" i="9"/>
  <c r="AL121" i="9" s="1"/>
  <c r="BI121" i="9"/>
  <c r="BS121" i="9"/>
  <c r="BI120" i="9"/>
  <c r="AB120" i="9"/>
  <c r="AL120" i="9" s="1"/>
  <c r="BS120" i="9"/>
  <c r="Q114" i="9"/>
  <c r="BI114" i="9" s="1"/>
  <c r="BI107" i="9"/>
  <c r="BG95" i="9"/>
  <c r="O103" i="9"/>
  <c r="BG103" i="9" s="1"/>
  <c r="BH95" i="9"/>
  <c r="P103" i="9"/>
  <c r="BH103" i="9" s="1"/>
  <c r="AA100" i="9"/>
  <c r="AK100" i="9" s="1"/>
  <c r="BG100" i="9"/>
  <c r="BL120" i="9"/>
  <c r="AL137" i="2"/>
  <c r="BJ95" i="9"/>
  <c r="R103" i="9"/>
  <c r="BJ103" i="9" s="1"/>
  <c r="AA99" i="9"/>
  <c r="BF99" i="9"/>
  <c r="Z99" i="9"/>
  <c r="BR99" i="9"/>
  <c r="AA123" i="9"/>
  <c r="AK123" i="9" s="1"/>
  <c r="AA120" i="9"/>
  <c r="S103" i="9"/>
  <c r="BK103" i="9" s="1"/>
  <c r="BK95" i="9"/>
  <c r="BI98" i="9"/>
  <c r="AB98" i="9"/>
  <c r="BS98" i="9"/>
  <c r="AB100" i="9"/>
  <c r="BI100" i="9"/>
  <c r="BS100" i="9"/>
  <c r="Z118" i="9"/>
  <c r="BI97" i="9"/>
  <c r="AB97" i="9"/>
  <c r="BS97" i="9"/>
  <c r="BF100" i="9"/>
  <c r="Z100" i="9"/>
  <c r="BR100" i="9"/>
  <c r="BJ118" i="9"/>
  <c r="R124" i="9"/>
  <c r="BJ124" i="9" s="1"/>
  <c r="AL132" i="2"/>
  <c r="BF97" i="9"/>
  <c r="Z97" i="9"/>
  <c r="BR97" i="9"/>
  <c r="AA101" i="9"/>
  <c r="AK101" i="9" s="1"/>
  <c r="BF101" i="9"/>
  <c r="Z101" i="9"/>
  <c r="BR101" i="9"/>
  <c r="Z123" i="9"/>
  <c r="BF107" i="9"/>
  <c r="N114" i="9"/>
  <c r="BF114" i="9" s="1"/>
  <c r="Q103" i="9"/>
  <c r="AB95" i="9"/>
  <c r="BI95" i="9"/>
  <c r="BS95" i="9"/>
  <c r="AB101" i="9"/>
  <c r="BI101" i="9"/>
  <c r="BS101" i="9"/>
  <c r="T124" i="9"/>
  <c r="BL118" i="9"/>
  <c r="BR120" i="9"/>
  <c r="Y141" i="9"/>
  <c r="AB123" i="9"/>
  <c r="AL123" i="9" s="1"/>
  <c r="BI123" i="9"/>
  <c r="BS123" i="9"/>
  <c r="BF96" i="9"/>
  <c r="Z96" i="9"/>
  <c r="AA96" i="9"/>
  <c r="AK96" i="9" s="1"/>
  <c r="BR96" i="9"/>
  <c r="BL123" i="9"/>
  <c r="Q124" i="9"/>
  <c r="AB118" i="9"/>
  <c r="BI118" i="9"/>
  <c r="BS118" i="9"/>
  <c r="P124" i="9"/>
  <c r="BH124" i="9" s="1"/>
  <c r="BH118" i="9"/>
  <c r="BG107" i="9"/>
  <c r="O114" i="9"/>
  <c r="BG114" i="9" s="1"/>
  <c r="AO136" i="2"/>
  <c r="AM135" i="3"/>
  <c r="AM134" i="3"/>
  <c r="AL135" i="2"/>
  <c r="AO137" i="3"/>
  <c r="AN136" i="3"/>
  <c r="AM134" i="2"/>
  <c r="AL136" i="3"/>
  <c r="AM137" i="3"/>
  <c r="AN137" i="3"/>
  <c r="AL133" i="3"/>
  <c r="AL135" i="3"/>
  <c r="AI139" i="3"/>
  <c r="AN134" i="3"/>
  <c r="AN133" i="3"/>
  <c r="AL132" i="3"/>
  <c r="AM136" i="3"/>
  <c r="AN135" i="3"/>
  <c r="AO134" i="3"/>
  <c r="AO133" i="3"/>
  <c r="AI139" i="2"/>
  <c r="AL134" i="2"/>
  <c r="AL136" i="2"/>
  <c r="AO137" i="2"/>
  <c r="AO131" i="2"/>
  <c r="AL133" i="2"/>
  <c r="BJ139" i="3"/>
  <c r="BV139" i="3"/>
  <c r="AM131" i="3"/>
  <c r="BG139" i="3"/>
  <c r="BS139" i="3"/>
  <c r="AH139" i="3"/>
  <c r="AM132" i="3"/>
  <c r="AN132" i="3"/>
  <c r="AD139" i="3"/>
  <c r="AN131" i="3"/>
  <c r="BH139" i="3"/>
  <c r="BI139" i="3"/>
  <c r="AM132" i="2"/>
  <c r="AH139" i="2"/>
  <c r="AO134" i="2"/>
  <c r="AD139" i="2"/>
  <c r="AN131" i="2"/>
  <c r="AN135" i="2"/>
  <c r="AN137" i="2"/>
  <c r="AE139" i="3"/>
  <c r="AO131" i="3"/>
  <c r="AJ139" i="3"/>
  <c r="AJ139" i="2"/>
  <c r="AM136" i="2"/>
  <c r="AL131" i="3"/>
  <c r="AG139" i="2"/>
  <c r="AE139" i="2"/>
  <c r="AO139" i="2" s="1"/>
  <c r="AM131" i="2"/>
  <c r="AC139" i="2"/>
  <c r="AL131" i="2"/>
  <c r="AB139" i="2"/>
  <c r="AB139" i="3"/>
  <c r="AG139" i="3"/>
  <c r="AC139" i="3"/>
  <c r="AA139" i="3"/>
  <c r="BW139" i="3" s="1"/>
  <c r="AF103" i="9" l="1"/>
  <c r="AK99" i="9"/>
  <c r="AL98" i="9"/>
  <c r="AE124" i="9"/>
  <c r="AI103" i="9"/>
  <c r="AK118" i="9"/>
  <c r="AF124" i="9"/>
  <c r="AI124" i="9"/>
  <c r="AK122" i="9"/>
  <c r="AK98" i="9"/>
  <c r="AE114" i="9"/>
  <c r="AJ114" i="9" s="1"/>
  <c r="AH103" i="9"/>
  <c r="AM103" i="9" s="1"/>
  <c r="BV121" i="9"/>
  <c r="AJ122" i="9"/>
  <c r="AE103" i="9"/>
  <c r="AH124" i="9"/>
  <c r="BV122" i="9"/>
  <c r="AK121" i="9"/>
  <c r="AG114" i="9"/>
  <c r="AL114" i="9" s="1"/>
  <c r="AK120" i="9"/>
  <c r="AL101" i="9"/>
  <c r="AG103" i="9"/>
  <c r="AA124" i="9"/>
  <c r="AK124" i="9" s="1"/>
  <c r="AL97" i="9"/>
  <c r="AB124" i="9"/>
  <c r="AL124" i="9" s="1"/>
  <c r="AL100" i="9"/>
  <c r="AA114" i="9"/>
  <c r="AK114" i="9" s="1"/>
  <c r="BH114" i="9"/>
  <c r="BR114" i="9"/>
  <c r="AJ101" i="9"/>
  <c r="BV101" i="9"/>
  <c r="BI124" i="9"/>
  <c r="BS124" i="9"/>
  <c r="BI103" i="9"/>
  <c r="BS103" i="9"/>
  <c r="AJ99" i="9"/>
  <c r="BV99" i="9"/>
  <c r="BF103" i="9"/>
  <c r="BR103" i="9"/>
  <c r="AB103" i="9"/>
  <c r="AL95" i="9"/>
  <c r="AJ97" i="9"/>
  <c r="BV97" i="9"/>
  <c r="Z124" i="9"/>
  <c r="AJ98" i="9"/>
  <c r="BV98" i="9"/>
  <c r="AJ96" i="9"/>
  <c r="BV96" i="9"/>
  <c r="BL124" i="9"/>
  <c r="AJ120" i="9"/>
  <c r="BV120" i="9"/>
  <c r="AJ95" i="9"/>
  <c r="Z103" i="9"/>
  <c r="BV95" i="9"/>
  <c r="AJ123" i="9"/>
  <c r="BV123" i="9"/>
  <c r="AA103" i="9"/>
  <c r="AK103" i="9" s="1"/>
  <c r="AK95" i="9"/>
  <c r="AL118" i="9"/>
  <c r="AJ100" i="9"/>
  <c r="BV100" i="9"/>
  <c r="AJ118" i="9"/>
  <c r="BV118" i="9"/>
  <c r="BR124" i="9"/>
  <c r="AM139" i="3"/>
  <c r="AN139" i="3"/>
  <c r="AN139" i="2"/>
  <c r="AM139" i="2"/>
  <c r="AL139" i="2"/>
  <c r="AL139" i="3"/>
  <c r="AO139" i="3"/>
  <c r="AL103" i="9" l="1"/>
  <c r="AJ124" i="9"/>
  <c r="BV124" i="9"/>
  <c r="AJ103" i="9"/>
  <c r="BV103" i="9"/>
  <c r="S125" i="1"/>
  <c r="BK125" i="1" s="1"/>
  <c r="R125" i="1"/>
  <c r="BJ125" i="1" s="1"/>
  <c r="Q125" i="1"/>
  <c r="P125" i="1"/>
  <c r="BH125" i="1" s="1"/>
  <c r="O125" i="1"/>
  <c r="BG125" i="1" s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S124" i="1"/>
  <c r="BK124" i="1" s="1"/>
  <c r="R124" i="1"/>
  <c r="BJ124" i="1" s="1"/>
  <c r="Q124" i="1"/>
  <c r="P124" i="1"/>
  <c r="BH124" i="1" s="1"/>
  <c r="O124" i="1"/>
  <c r="BG124" i="1" s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S123" i="1"/>
  <c r="BK123" i="1" s="1"/>
  <c r="R123" i="1"/>
  <c r="BJ123" i="1" s="1"/>
  <c r="Q123" i="1"/>
  <c r="BS123" i="1" s="1"/>
  <c r="P123" i="1"/>
  <c r="BH123" i="1" s="1"/>
  <c r="O123" i="1"/>
  <c r="BG123" i="1" s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S122" i="1"/>
  <c r="BK122" i="1" s="1"/>
  <c r="R122" i="1"/>
  <c r="BJ122" i="1" s="1"/>
  <c r="Q122" i="1"/>
  <c r="P122" i="1"/>
  <c r="BH122" i="1" s="1"/>
  <c r="O122" i="1"/>
  <c r="BG122" i="1" s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S121" i="1"/>
  <c r="BK121" i="1" s="1"/>
  <c r="R121" i="1"/>
  <c r="BJ121" i="1" s="1"/>
  <c r="Q121" i="1"/>
  <c r="BS121" i="1" s="1"/>
  <c r="P121" i="1"/>
  <c r="BH121" i="1" s="1"/>
  <c r="O121" i="1"/>
  <c r="BG121" i="1" s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S120" i="1"/>
  <c r="BK120" i="1" s="1"/>
  <c r="R120" i="1"/>
  <c r="BJ120" i="1" s="1"/>
  <c r="Q120" i="1"/>
  <c r="P120" i="1"/>
  <c r="BH120" i="1" s="1"/>
  <c r="O120" i="1"/>
  <c r="BG120" i="1" s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BS125" i="1" l="1"/>
  <c r="BS120" i="1"/>
  <c r="BS122" i="1"/>
  <c r="BS124" i="1"/>
  <c r="BF120" i="1"/>
  <c r="BR120" i="1"/>
  <c r="BF124" i="1"/>
  <c r="BR124" i="1"/>
  <c r="BI121" i="1"/>
  <c r="BI123" i="1"/>
  <c r="BI125" i="1"/>
  <c r="BF122" i="1"/>
  <c r="BR122" i="1"/>
  <c r="BF121" i="1"/>
  <c r="BR121" i="1"/>
  <c r="BF123" i="1"/>
  <c r="BR123" i="1"/>
  <c r="BF125" i="1"/>
  <c r="BR125" i="1"/>
  <c r="BI120" i="1"/>
  <c r="BI122" i="1"/>
  <c r="BI124" i="1"/>
  <c r="L17" i="5"/>
  <c r="L15" i="5" l="1"/>
  <c r="L16" i="5"/>
  <c r="AJ24" i="3"/>
  <c r="AI24" i="3"/>
  <c r="AH24" i="3"/>
  <c r="AG24" i="3"/>
  <c r="AJ23" i="3"/>
  <c r="AI23" i="3"/>
  <c r="AH23" i="3"/>
  <c r="AG23" i="3"/>
  <c r="AJ22" i="3"/>
  <c r="AI22" i="3"/>
  <c r="AH22" i="3"/>
  <c r="AG22" i="3"/>
  <c r="AJ21" i="3"/>
  <c r="AI21" i="3"/>
  <c r="AH21" i="3"/>
  <c r="AG21" i="3"/>
  <c r="AJ20" i="3"/>
  <c r="AI20" i="3"/>
  <c r="AH20" i="3"/>
  <c r="AG20" i="3"/>
  <c r="AJ19" i="3"/>
  <c r="AI19" i="3"/>
  <c r="AH19" i="3"/>
  <c r="AG19" i="3"/>
  <c r="AJ18" i="3"/>
  <c r="AI18" i="3"/>
  <c r="AH18" i="3"/>
  <c r="AG18" i="3"/>
  <c r="AJ24" i="2"/>
  <c r="AI24" i="2"/>
  <c r="AH24" i="2"/>
  <c r="AG24" i="2"/>
  <c r="AJ23" i="2"/>
  <c r="AI23" i="2"/>
  <c r="AH23" i="2"/>
  <c r="AG23" i="2"/>
  <c r="AJ22" i="2"/>
  <c r="AI22" i="2"/>
  <c r="AH22" i="2"/>
  <c r="AG22" i="2"/>
  <c r="AJ21" i="2"/>
  <c r="AI21" i="2"/>
  <c r="AH21" i="2"/>
  <c r="AG21" i="2"/>
  <c r="AJ20" i="2"/>
  <c r="AI20" i="2"/>
  <c r="AH20" i="2"/>
  <c r="AG20" i="2"/>
  <c r="AJ19" i="2"/>
  <c r="AI19" i="2"/>
  <c r="AH19" i="2"/>
  <c r="AG19" i="2"/>
  <c r="AJ18" i="2"/>
  <c r="AI18" i="2"/>
  <c r="AH18" i="2"/>
  <c r="AG18" i="2"/>
  <c r="Y111" i="3" l="1"/>
  <c r="Y112" i="3"/>
  <c r="Y113" i="3"/>
  <c r="Y114" i="3"/>
  <c r="Y110" i="3"/>
  <c r="Y109" i="3"/>
  <c r="Y123" i="3"/>
  <c r="BQ123" i="3" s="1"/>
  <c r="Y124" i="3"/>
  <c r="BQ124" i="3" s="1"/>
  <c r="Y125" i="3"/>
  <c r="BQ125" i="3" s="1"/>
  <c r="Y126" i="3"/>
  <c r="BQ126" i="3" s="1"/>
  <c r="Y121" i="3"/>
  <c r="BQ121" i="3" s="1"/>
  <c r="Y123" i="2"/>
  <c r="Y124" i="2"/>
  <c r="Y126" i="2"/>
  <c r="Y125" i="2"/>
  <c r="Y121" i="2"/>
  <c r="Y111" i="2"/>
  <c r="X109" i="9" s="1"/>
  <c r="Y112" i="2"/>
  <c r="X110" i="9" s="1"/>
  <c r="Y113" i="2"/>
  <c r="X111" i="9" s="1"/>
  <c r="Y114" i="2"/>
  <c r="X112" i="9" s="1"/>
  <c r="Y109" i="2"/>
  <c r="X107" i="9" s="1"/>
  <c r="Y110" i="2"/>
  <c r="Y97" i="3"/>
  <c r="BQ97" i="3" s="1"/>
  <c r="Y98" i="3"/>
  <c r="BQ98" i="3" s="1"/>
  <c r="Y99" i="3"/>
  <c r="BQ99" i="3" s="1"/>
  <c r="Y100" i="3"/>
  <c r="BQ100" i="3" s="1"/>
  <c r="Y101" i="3"/>
  <c r="BQ101" i="3" s="1"/>
  <c r="Y102" i="3"/>
  <c r="BQ102" i="3" s="1"/>
  <c r="Y103" i="3"/>
  <c r="BQ103" i="3" s="1"/>
  <c r="Y97" i="2"/>
  <c r="Y98" i="2"/>
  <c r="Y99" i="2"/>
  <c r="Y100" i="2"/>
  <c r="Y101" i="2"/>
  <c r="Y102" i="2"/>
  <c r="Y103" i="2"/>
  <c r="Y91" i="3"/>
  <c r="BQ91" i="3" s="1"/>
  <c r="Y90" i="3"/>
  <c r="BQ90" i="3" s="1"/>
  <c r="Y91" i="2"/>
  <c r="Y90" i="2"/>
  <c r="Y54" i="3"/>
  <c r="BQ54" i="3" s="1"/>
  <c r="Y55" i="3"/>
  <c r="BQ55" i="3" s="1"/>
  <c r="Y56" i="3"/>
  <c r="BQ56" i="3" s="1"/>
  <c r="Y57" i="3"/>
  <c r="BQ57" i="3" s="1"/>
  <c r="Y58" i="3"/>
  <c r="BQ58" i="3" s="1"/>
  <c r="Y59" i="3"/>
  <c r="BQ59" i="3" s="1"/>
  <c r="Y60" i="3"/>
  <c r="BQ60" i="3" s="1"/>
  <c r="Y54" i="2"/>
  <c r="Y55" i="2"/>
  <c r="Y56" i="2"/>
  <c r="Y57" i="2"/>
  <c r="Y58" i="2"/>
  <c r="Y59" i="2"/>
  <c r="Y60" i="2"/>
  <c r="X108" i="9" l="1"/>
  <c r="X114" i="9" s="1"/>
  <c r="BQ90" i="2"/>
  <c r="X88" i="9"/>
  <c r="BQ123" i="2"/>
  <c r="X120" i="9"/>
  <c r="BP120" i="9" s="1"/>
  <c r="BQ57" i="2"/>
  <c r="X55" i="9"/>
  <c r="BQ91" i="2"/>
  <c r="X89" i="9"/>
  <c r="BP89" i="9" s="1"/>
  <c r="BQ102" i="2"/>
  <c r="X100" i="9"/>
  <c r="BP100" i="9" s="1"/>
  <c r="BQ98" i="2"/>
  <c r="X96" i="9"/>
  <c r="BP96" i="9" s="1"/>
  <c r="BQ125" i="2"/>
  <c r="X122" i="9"/>
  <c r="BP122" i="9" s="1"/>
  <c r="BQ54" i="2"/>
  <c r="X52" i="9"/>
  <c r="BQ99" i="2"/>
  <c r="X97" i="9"/>
  <c r="BP97" i="9" s="1"/>
  <c r="BQ121" i="2"/>
  <c r="X118" i="9"/>
  <c r="BQ60" i="2"/>
  <c r="X58" i="9"/>
  <c r="BQ56" i="2"/>
  <c r="X54" i="9"/>
  <c r="BQ101" i="2"/>
  <c r="X99" i="9"/>
  <c r="BP99" i="9" s="1"/>
  <c r="BQ97" i="2"/>
  <c r="X95" i="9"/>
  <c r="BQ126" i="2"/>
  <c r="X123" i="9"/>
  <c r="BP123" i="9" s="1"/>
  <c r="BQ58" i="2"/>
  <c r="X56" i="9"/>
  <c r="BQ103" i="2"/>
  <c r="X101" i="9"/>
  <c r="BP101" i="9" s="1"/>
  <c r="BQ59" i="2"/>
  <c r="X57" i="9"/>
  <c r="BQ55" i="2"/>
  <c r="X53" i="9"/>
  <c r="BQ100" i="2"/>
  <c r="X98" i="9"/>
  <c r="BP98" i="9" s="1"/>
  <c r="BQ124" i="2"/>
  <c r="X121" i="9"/>
  <c r="BP121" i="9" s="1"/>
  <c r="Y30" i="2"/>
  <c r="Y31" i="2"/>
  <c r="Y32" i="2"/>
  <c r="Y33" i="2"/>
  <c r="Y34" i="2"/>
  <c r="Y35" i="2"/>
  <c r="Y36" i="2"/>
  <c r="Y30" i="3"/>
  <c r="Y31" i="3"/>
  <c r="Y32" i="3"/>
  <c r="Y33" i="3"/>
  <c r="Y34" i="3"/>
  <c r="Y35" i="3"/>
  <c r="Y36" i="3"/>
  <c r="Y18" i="3"/>
  <c r="Y19" i="3"/>
  <c r="Y20" i="3"/>
  <c r="Y21" i="3"/>
  <c r="Y22" i="3"/>
  <c r="Y23" i="3"/>
  <c r="Y24" i="3"/>
  <c r="Y18" i="2"/>
  <c r="Y19" i="2"/>
  <c r="Y20" i="2"/>
  <c r="Y21" i="2"/>
  <c r="Y22" i="2"/>
  <c r="Y23" i="2"/>
  <c r="Y24" i="2"/>
  <c r="AI13" i="3"/>
  <c r="AI10" i="3"/>
  <c r="AI9" i="3"/>
  <c r="AI8" i="3"/>
  <c r="AI7" i="3"/>
  <c r="AI6" i="3"/>
  <c r="AI5" i="3"/>
  <c r="AI4" i="3"/>
  <c r="AI13" i="2"/>
  <c r="AI10" i="2"/>
  <c r="AI9" i="2"/>
  <c r="AI8" i="2"/>
  <c r="AI7" i="2"/>
  <c r="AI6" i="2"/>
  <c r="AI5" i="2"/>
  <c r="AI4" i="2"/>
  <c r="Y13" i="2"/>
  <c r="Y13" i="3"/>
  <c r="BQ13" i="3" s="1"/>
  <c r="X22" i="9" l="1"/>
  <c r="Y46" i="9" s="1"/>
  <c r="X18" i="9"/>
  <c r="X20" i="9"/>
  <c r="AD20" i="9" s="1"/>
  <c r="AN20" i="9" s="1"/>
  <c r="Y39" i="3"/>
  <c r="X31" i="9"/>
  <c r="X67" i="9" s="1"/>
  <c r="BP67" i="9" s="1"/>
  <c r="Y39" i="2"/>
  <c r="X16" i="9"/>
  <c r="AD16" i="9" s="1"/>
  <c r="AN16" i="9" s="1"/>
  <c r="X33" i="9"/>
  <c r="BP33" i="9" s="1"/>
  <c r="X29" i="9"/>
  <c r="X65" i="9" s="1"/>
  <c r="BP65" i="9" s="1"/>
  <c r="X21" i="9"/>
  <c r="AD21" i="9" s="1"/>
  <c r="AN21" i="9" s="1"/>
  <c r="X17" i="9"/>
  <c r="Y41" i="9" s="1"/>
  <c r="X34" i="9"/>
  <c r="BP34" i="9" s="1"/>
  <c r="X30" i="9"/>
  <c r="BP30" i="9" s="1"/>
  <c r="X19" i="9"/>
  <c r="AD19" i="9" s="1"/>
  <c r="AN19" i="9" s="1"/>
  <c r="X32" i="9"/>
  <c r="X68" i="9" s="1"/>
  <c r="BP68" i="9" s="1"/>
  <c r="X28" i="9"/>
  <c r="X64" i="9" s="1"/>
  <c r="BP64" i="9" s="1"/>
  <c r="AD22" i="9"/>
  <c r="AN22" i="9" s="1"/>
  <c r="BP95" i="9"/>
  <c r="X103" i="9"/>
  <c r="BP103" i="9" s="1"/>
  <c r="X124" i="9"/>
  <c r="BP124" i="9" s="1"/>
  <c r="BP118" i="9"/>
  <c r="BP31" i="9"/>
  <c r="BP57" i="9"/>
  <c r="BP54" i="9"/>
  <c r="BP53" i="9"/>
  <c r="BP58" i="9"/>
  <c r="BP55" i="9"/>
  <c r="X90" i="9"/>
  <c r="BP90" i="9" s="1"/>
  <c r="BP88" i="9"/>
  <c r="AD18" i="9"/>
  <c r="AN18" i="9" s="1"/>
  <c r="Y42" i="9"/>
  <c r="BP56" i="9"/>
  <c r="X60" i="9"/>
  <c r="BP52" i="9"/>
  <c r="BQ13" i="2"/>
  <c r="X13" i="9"/>
  <c r="AE21" i="3"/>
  <c r="AO21" i="3" s="1"/>
  <c r="Z45" i="3"/>
  <c r="BQ36" i="3"/>
  <c r="BQ32" i="3"/>
  <c r="AE22" i="3"/>
  <c r="AO22" i="3" s="1"/>
  <c r="Z46" i="3"/>
  <c r="BQ33" i="3"/>
  <c r="AE24" i="3"/>
  <c r="AO24" i="3" s="1"/>
  <c r="Z48" i="3"/>
  <c r="AE20" i="3"/>
  <c r="AO20" i="3" s="1"/>
  <c r="Z44" i="3"/>
  <c r="BQ35" i="3"/>
  <c r="BQ31" i="3"/>
  <c r="AE18" i="3"/>
  <c r="AO18" i="3" s="1"/>
  <c r="Z42" i="3"/>
  <c r="AE23" i="3"/>
  <c r="AO23" i="3" s="1"/>
  <c r="Z47" i="3"/>
  <c r="AE19" i="3"/>
  <c r="AO19" i="3" s="1"/>
  <c r="Z43" i="3"/>
  <c r="BQ34" i="3"/>
  <c r="BQ30" i="3"/>
  <c r="AE23" i="2"/>
  <c r="AO23" i="2" s="1"/>
  <c r="Z47" i="2"/>
  <c r="AE22" i="2"/>
  <c r="AO22" i="2" s="1"/>
  <c r="Z46" i="2"/>
  <c r="AE18" i="2"/>
  <c r="AO18" i="2" s="1"/>
  <c r="Z42" i="2"/>
  <c r="BQ35" i="2"/>
  <c r="BQ31" i="2"/>
  <c r="AE21" i="2"/>
  <c r="AO21" i="2" s="1"/>
  <c r="Z45" i="2"/>
  <c r="BQ34" i="2"/>
  <c r="BQ30" i="2"/>
  <c r="AE19" i="2"/>
  <c r="AO19" i="2" s="1"/>
  <c r="Z43" i="2"/>
  <c r="BQ36" i="2"/>
  <c r="BQ32" i="2"/>
  <c r="AE24" i="2"/>
  <c r="AO24" i="2" s="1"/>
  <c r="Z48" i="2"/>
  <c r="AE20" i="2"/>
  <c r="AO20" i="2" s="1"/>
  <c r="Z44" i="2"/>
  <c r="BQ33" i="2"/>
  <c r="Y4" i="3"/>
  <c r="X4" i="9" s="1"/>
  <c r="Y5" i="3"/>
  <c r="X5" i="9" s="1"/>
  <c r="Y6" i="3"/>
  <c r="X6" i="9" s="1"/>
  <c r="Y7" i="3"/>
  <c r="X7" i="9" s="1"/>
  <c r="X79" i="9" s="1"/>
  <c r="BP79" i="9" s="1"/>
  <c r="Y8" i="3"/>
  <c r="X8" i="9" s="1"/>
  <c r="Y9" i="3"/>
  <c r="X9" i="9" s="1"/>
  <c r="Y10" i="3"/>
  <c r="X10" i="9" s="1"/>
  <c r="X82" i="9" s="1"/>
  <c r="BP82" i="9" s="1"/>
  <c r="X166" i="9" l="1"/>
  <c r="Y40" i="9"/>
  <c r="Y44" i="9"/>
  <c r="AD17" i="9"/>
  <c r="AN17" i="9" s="1"/>
  <c r="X159" i="9"/>
  <c r="BP32" i="9"/>
  <c r="X151" i="9"/>
  <c r="BP28" i="9"/>
  <c r="X161" i="9"/>
  <c r="X69" i="9"/>
  <c r="BP69" i="9" s="1"/>
  <c r="X149" i="9"/>
  <c r="X70" i="9"/>
  <c r="BP70" i="9" s="1"/>
  <c r="BP29" i="9"/>
  <c r="X150" i="9"/>
  <c r="Y43" i="9"/>
  <c r="X24" i="9"/>
  <c r="X144" i="9" s="1"/>
  <c r="Y45" i="9"/>
  <c r="BP5" i="9"/>
  <c r="BP8" i="9"/>
  <c r="BP4" i="9"/>
  <c r="X12" i="9"/>
  <c r="X134" i="9" s="1"/>
  <c r="X140" i="9" s="1"/>
  <c r="X76" i="9"/>
  <c r="BP76" i="9" s="1"/>
  <c r="X80" i="9"/>
  <c r="BP80" i="9" s="1"/>
  <c r="X66" i="9"/>
  <c r="BP66" i="9" s="1"/>
  <c r="BP9" i="9"/>
  <c r="X155" i="9"/>
  <c r="X36" i="9"/>
  <c r="X72" i="9" s="1"/>
  <c r="BP72" i="9" s="1"/>
  <c r="X156" i="9"/>
  <c r="X160" i="9"/>
  <c r="X81" i="9"/>
  <c r="BP81" i="9" s="1"/>
  <c r="BP7" i="9"/>
  <c r="X130" i="9"/>
  <c r="BP10" i="9"/>
  <c r="BP6" i="9"/>
  <c r="X154" i="9"/>
  <c r="X77" i="9"/>
  <c r="BP77" i="9" s="1"/>
  <c r="X164" i="9"/>
  <c r="X78" i="9"/>
  <c r="BP78" i="9" s="1"/>
  <c r="X165" i="9"/>
  <c r="BP60" i="9"/>
  <c r="X84" i="9"/>
  <c r="BP84" i="9" s="1"/>
  <c r="BP13" i="9"/>
  <c r="BQ6" i="3"/>
  <c r="BQ10" i="3"/>
  <c r="BQ5" i="3"/>
  <c r="BQ7" i="3"/>
  <c r="BQ9" i="3"/>
  <c r="BQ8" i="3"/>
  <c r="AD17" i="5"/>
  <c r="BQ4" i="3"/>
  <c r="AD16" i="5"/>
  <c r="X145" i="9" l="1"/>
  <c r="BP36" i="9"/>
  <c r="X14" i="9"/>
  <c r="BP14" i="9" s="1"/>
  <c r="X132" i="9"/>
  <c r="X129" i="9"/>
  <c r="X131" i="9"/>
  <c r="Y49" i="9"/>
  <c r="Y50" i="9" s="1"/>
  <c r="X143" i="9"/>
  <c r="X146" i="9" s="1"/>
  <c r="AD24" i="9"/>
  <c r="AN24" i="9" s="1"/>
  <c r="Y48" i="9"/>
  <c r="X135" i="9"/>
  <c r="BP12" i="9"/>
  <c r="X128" i="9"/>
  <c r="X139" i="9" s="1"/>
  <c r="X133" i="9"/>
  <c r="AD15" i="5"/>
  <c r="X123" i="3"/>
  <c r="X124" i="3"/>
  <c r="X126" i="3"/>
  <c r="X125" i="3"/>
  <c r="X121" i="3"/>
  <c r="X123" i="2"/>
  <c r="X124" i="2"/>
  <c r="X126" i="2"/>
  <c r="X125" i="2"/>
  <c r="X121" i="2"/>
  <c r="X111" i="3"/>
  <c r="X112" i="3"/>
  <c r="X113" i="3"/>
  <c r="X114" i="3"/>
  <c r="X109" i="3"/>
  <c r="X110" i="3"/>
  <c r="X113" i="2"/>
  <c r="W111" i="9" s="1"/>
  <c r="X114" i="2"/>
  <c r="W112" i="9" s="1"/>
  <c r="X112" i="2"/>
  <c r="W110" i="9" s="1"/>
  <c r="X111" i="2"/>
  <c r="X109" i="2"/>
  <c r="W107" i="9" s="1"/>
  <c r="X110" i="2"/>
  <c r="W108" i="9" s="1"/>
  <c r="X97" i="3"/>
  <c r="BP97" i="3" s="1"/>
  <c r="X98" i="3"/>
  <c r="BP98" i="3" s="1"/>
  <c r="X99" i="3"/>
  <c r="BP99" i="3" s="1"/>
  <c r="X100" i="3"/>
  <c r="BP100" i="3" s="1"/>
  <c r="X101" i="3"/>
  <c r="BP101" i="3" s="1"/>
  <c r="X102" i="3"/>
  <c r="BP102" i="3" s="1"/>
  <c r="X103" i="3"/>
  <c r="BP103" i="3" s="1"/>
  <c r="X97" i="2"/>
  <c r="X98" i="2"/>
  <c r="X99" i="2"/>
  <c r="X100" i="2"/>
  <c r="X101" i="2"/>
  <c r="X102" i="2"/>
  <c r="X103" i="2"/>
  <c r="X138" i="9" l="1"/>
  <c r="X141" i="9"/>
  <c r="W109" i="9"/>
  <c r="W114" i="9" s="1"/>
  <c r="BP100" i="2"/>
  <c r="W98" i="9"/>
  <c r="BP102" i="2"/>
  <c r="W100" i="9"/>
  <c r="BP98" i="2"/>
  <c r="W96" i="9"/>
  <c r="BP124" i="2"/>
  <c r="W121" i="9"/>
  <c r="BP101" i="2"/>
  <c r="W99" i="9"/>
  <c r="BP97" i="2"/>
  <c r="W95" i="9"/>
  <c r="BP121" i="2"/>
  <c r="W118" i="9"/>
  <c r="BP123" i="2"/>
  <c r="W120" i="9"/>
  <c r="BP125" i="2"/>
  <c r="W122" i="9"/>
  <c r="BP103" i="2"/>
  <c r="W101" i="9"/>
  <c r="BP99" i="2"/>
  <c r="W97" i="9"/>
  <c r="BP126" i="2"/>
  <c r="W123" i="9"/>
  <c r="BP126" i="3"/>
  <c r="BV126" i="3"/>
  <c r="BP124" i="3"/>
  <c r="BV124" i="3"/>
  <c r="BP125" i="3"/>
  <c r="BV125" i="3"/>
  <c r="BP121" i="3"/>
  <c r="BV121" i="3"/>
  <c r="BP123" i="3"/>
  <c r="BV123" i="3"/>
  <c r="BO123" i="9" l="1"/>
  <c r="BU123" i="9"/>
  <c r="AD123" i="9"/>
  <c r="AN123" i="9" s="1"/>
  <c r="AD101" i="9"/>
  <c r="BO101" i="9"/>
  <c r="AD120" i="9"/>
  <c r="AN120" i="9" s="1"/>
  <c r="BO120" i="9"/>
  <c r="BU120" i="9"/>
  <c r="W103" i="9"/>
  <c r="BO103" i="9" s="1"/>
  <c r="AD95" i="9"/>
  <c r="BO95" i="9"/>
  <c r="AD121" i="9"/>
  <c r="AN121" i="9" s="1"/>
  <c r="BO121" i="9"/>
  <c r="BU121" i="9"/>
  <c r="AD100" i="9"/>
  <c r="BO100" i="9"/>
  <c r="AD97" i="9"/>
  <c r="BO97" i="9"/>
  <c r="AD122" i="9"/>
  <c r="AN122" i="9" s="1"/>
  <c r="BO122" i="9"/>
  <c r="BU122" i="9"/>
  <c r="AD118" i="9"/>
  <c r="W124" i="9"/>
  <c r="BO118" i="9"/>
  <c r="BU118" i="9"/>
  <c r="BO99" i="9"/>
  <c r="AD99" i="9"/>
  <c r="BO96" i="9"/>
  <c r="AD96" i="9"/>
  <c r="AD98" i="9"/>
  <c r="BO98" i="9"/>
  <c r="X54" i="3"/>
  <c r="BP54" i="3" s="1"/>
  <c r="X55" i="3"/>
  <c r="BP55" i="3" s="1"/>
  <c r="X56" i="3"/>
  <c r="BP56" i="3" s="1"/>
  <c r="X57" i="3"/>
  <c r="BP57" i="3" s="1"/>
  <c r="X58" i="3"/>
  <c r="BP58" i="3" s="1"/>
  <c r="X59" i="3"/>
  <c r="BP59" i="3" s="1"/>
  <c r="X60" i="3"/>
  <c r="BP60" i="3" s="1"/>
  <c r="X54" i="2"/>
  <c r="X55" i="2"/>
  <c r="X56" i="2"/>
  <c r="X57" i="2"/>
  <c r="X58" i="2"/>
  <c r="X59" i="2"/>
  <c r="X60" i="2"/>
  <c r="X30" i="3"/>
  <c r="X31" i="3"/>
  <c r="X32" i="3"/>
  <c r="X33" i="3"/>
  <c r="X34" i="3"/>
  <c r="X35" i="3"/>
  <c r="X36" i="3"/>
  <c r="X30" i="2"/>
  <c r="X31" i="2"/>
  <c r="X32" i="2"/>
  <c r="X33" i="2"/>
  <c r="X34" i="2"/>
  <c r="X35" i="2"/>
  <c r="X36" i="2"/>
  <c r="T11" i="4"/>
  <c r="T9" i="4"/>
  <c r="T7" i="4"/>
  <c r="O18" i="4"/>
  <c r="O20" i="4"/>
  <c r="P18" i="4"/>
  <c r="X90" i="3"/>
  <c r="BP90" i="3" s="1"/>
  <c r="X91" i="3"/>
  <c r="BP91" i="3" s="1"/>
  <c r="X91" i="2"/>
  <c r="X90" i="2"/>
  <c r="R7" i="4"/>
  <c r="O7" i="4" s="1"/>
  <c r="P7" i="4" s="1"/>
  <c r="R11" i="4"/>
  <c r="O11" i="4" s="1"/>
  <c r="P11" i="4" s="1"/>
  <c r="R9" i="4"/>
  <c r="O9" i="4" s="1"/>
  <c r="P9" i="4" s="1"/>
  <c r="R10" i="4"/>
  <c r="O10" i="4" s="1"/>
  <c r="W31" i="9" l="1"/>
  <c r="AD31" i="9" s="1"/>
  <c r="W33" i="9"/>
  <c r="AD33" i="9" s="1"/>
  <c r="W29" i="9"/>
  <c r="BO29" i="9" s="1"/>
  <c r="X39" i="3"/>
  <c r="X39" i="2"/>
  <c r="W34" i="9"/>
  <c r="AD34" i="9" s="1"/>
  <c r="W30" i="9"/>
  <c r="BO30" i="9" s="1"/>
  <c r="W32" i="9"/>
  <c r="AD32" i="9" s="1"/>
  <c r="W28" i="9"/>
  <c r="BP90" i="2"/>
  <c r="W88" i="9"/>
  <c r="BO31" i="9"/>
  <c r="BP59" i="2"/>
  <c r="W57" i="9"/>
  <c r="BP55" i="2"/>
  <c r="W53" i="9"/>
  <c r="AN101" i="9"/>
  <c r="BU101" i="9"/>
  <c r="AD29" i="9"/>
  <c r="BP56" i="2"/>
  <c r="W54" i="9"/>
  <c r="BP91" i="2"/>
  <c r="W89" i="9"/>
  <c r="BO34" i="9"/>
  <c r="BP58" i="2"/>
  <c r="W56" i="9"/>
  <c r="BP54" i="2"/>
  <c r="W52" i="9"/>
  <c r="AN99" i="9"/>
  <c r="BU99" i="9"/>
  <c r="BO124" i="9"/>
  <c r="BU124" i="9"/>
  <c r="AN100" i="9"/>
  <c r="BU100" i="9"/>
  <c r="BO33" i="9"/>
  <c r="BP57" i="2"/>
  <c r="W55" i="9"/>
  <c r="AN98" i="9"/>
  <c r="BU98" i="9"/>
  <c r="AN118" i="9"/>
  <c r="AD124" i="9"/>
  <c r="AN124" i="9" s="1"/>
  <c r="AD103" i="9"/>
  <c r="AN95" i="9"/>
  <c r="BU95" i="9"/>
  <c r="BP60" i="2"/>
  <c r="W58" i="9"/>
  <c r="AN96" i="9"/>
  <c r="BU96" i="9"/>
  <c r="AN97" i="9"/>
  <c r="BU97" i="9"/>
  <c r="BP35" i="3"/>
  <c r="BP34" i="3"/>
  <c r="BP30" i="3"/>
  <c r="BP33" i="3"/>
  <c r="BP31" i="3"/>
  <c r="BP36" i="3"/>
  <c r="BP32" i="3"/>
  <c r="BP36" i="2"/>
  <c r="BP35" i="2"/>
  <c r="BP31" i="2"/>
  <c r="BP34" i="2"/>
  <c r="BP30" i="2"/>
  <c r="BP32" i="2"/>
  <c r="BP33" i="2"/>
  <c r="T6" i="4"/>
  <c r="O6" i="4"/>
  <c r="U6" i="4" s="1"/>
  <c r="AD30" i="9" l="1"/>
  <c r="BO32" i="9"/>
  <c r="W36" i="9"/>
  <c r="BO36" i="9" s="1"/>
  <c r="AD28" i="9"/>
  <c r="BU28" i="9" s="1"/>
  <c r="BO28" i="9"/>
  <c r="AN103" i="9"/>
  <c r="BU103" i="9"/>
  <c r="W68" i="9"/>
  <c r="BO68" i="9" s="1"/>
  <c r="BO56" i="9"/>
  <c r="W159" i="9"/>
  <c r="AD56" i="9"/>
  <c r="BO89" i="9"/>
  <c r="AD89" i="9"/>
  <c r="AN29" i="9"/>
  <c r="BU29" i="9"/>
  <c r="AD57" i="9"/>
  <c r="BO57" i="9"/>
  <c r="W69" i="9"/>
  <c r="BO69" i="9" s="1"/>
  <c r="AN31" i="9"/>
  <c r="BU31" i="9"/>
  <c r="AN33" i="9"/>
  <c r="BU33" i="9"/>
  <c r="W64" i="9"/>
  <c r="BO64" i="9" s="1"/>
  <c r="W161" i="9"/>
  <c r="W60" i="9"/>
  <c r="BO52" i="9"/>
  <c r="AD52" i="9"/>
  <c r="AN34" i="9"/>
  <c r="BU34" i="9"/>
  <c r="AD54" i="9"/>
  <c r="BO54" i="9"/>
  <c r="W66" i="9"/>
  <c r="BO66" i="9" s="1"/>
  <c r="AD53" i="9"/>
  <c r="BO53" i="9"/>
  <c r="W65" i="9"/>
  <c r="BO65" i="9" s="1"/>
  <c r="W160" i="9"/>
  <c r="AD88" i="9"/>
  <c r="BO88" i="9"/>
  <c r="W90" i="9"/>
  <c r="BO90" i="9" s="1"/>
  <c r="AD58" i="9"/>
  <c r="BO58" i="9"/>
  <c r="W70" i="9"/>
  <c r="BO70" i="9" s="1"/>
  <c r="AD55" i="9"/>
  <c r="BO55" i="9"/>
  <c r="W67" i="9"/>
  <c r="BO67" i="9" s="1"/>
  <c r="AN30" i="9"/>
  <c r="BU30" i="9"/>
  <c r="BU32" i="9"/>
  <c r="AN32" i="9"/>
  <c r="X18" i="3"/>
  <c r="X19" i="3"/>
  <c r="X20" i="3"/>
  <c r="X21" i="3"/>
  <c r="X22" i="3"/>
  <c r="X23" i="3"/>
  <c r="X24" i="3"/>
  <c r="X18" i="2"/>
  <c r="X19" i="2"/>
  <c r="X20" i="2"/>
  <c r="X21" i="2"/>
  <c r="X22" i="2"/>
  <c r="X23" i="2"/>
  <c r="X24" i="2"/>
  <c r="W20" i="9" l="1"/>
  <c r="W16" i="9"/>
  <c r="W18" i="9"/>
  <c r="X42" i="9" s="1"/>
  <c r="W22" i="9"/>
  <c r="W149" i="9" s="1"/>
  <c r="AD36" i="9"/>
  <c r="AN28" i="9"/>
  <c r="W21" i="9"/>
  <c r="W17" i="9"/>
  <c r="X41" i="9" s="1"/>
  <c r="W19" i="9"/>
  <c r="X43" i="9" s="1"/>
  <c r="X44" i="9"/>
  <c r="W44" i="9"/>
  <c r="AD66" i="9"/>
  <c r="AN66" i="9" s="1"/>
  <c r="BU54" i="9"/>
  <c r="AN54" i="9"/>
  <c r="X45" i="9"/>
  <c r="W45" i="9"/>
  <c r="AD90" i="9"/>
  <c r="AN88" i="9"/>
  <c r="BU88" i="9"/>
  <c r="AN53" i="9"/>
  <c r="BU53" i="9"/>
  <c r="AD65" i="9"/>
  <c r="AN65" i="9" s="1"/>
  <c r="W72" i="9"/>
  <c r="BO72" i="9" s="1"/>
  <c r="BO60" i="9"/>
  <c r="AN89" i="9"/>
  <c r="BU89" i="9"/>
  <c r="AN36" i="9"/>
  <c r="BU36" i="9"/>
  <c r="X40" i="9"/>
  <c r="W40" i="9"/>
  <c r="W151" i="9"/>
  <c r="X46" i="9"/>
  <c r="AD70" i="9"/>
  <c r="AN70" i="9" s="1"/>
  <c r="AN58" i="9"/>
  <c r="BU58" i="9"/>
  <c r="AN57" i="9"/>
  <c r="AD69" i="9"/>
  <c r="AN69" i="9" s="1"/>
  <c r="BU57" i="9"/>
  <c r="AD67" i="9"/>
  <c r="AN67" i="9" s="1"/>
  <c r="AN55" i="9"/>
  <c r="BU55" i="9"/>
  <c r="AD64" i="9"/>
  <c r="AN64" i="9" s="1"/>
  <c r="AN52" i="9"/>
  <c r="BU52" i="9"/>
  <c r="AD60" i="9"/>
  <c r="AN56" i="9"/>
  <c r="AD68" i="9"/>
  <c r="AN68" i="9" s="1"/>
  <c r="BU56" i="9"/>
  <c r="Y45" i="3"/>
  <c r="X45" i="3"/>
  <c r="Y44" i="3"/>
  <c r="X44" i="3"/>
  <c r="Y47" i="3"/>
  <c r="X47" i="3"/>
  <c r="Y43" i="3"/>
  <c r="X43" i="3"/>
  <c r="Y48" i="3"/>
  <c r="X48" i="3"/>
  <c r="Y46" i="3"/>
  <c r="X46" i="3"/>
  <c r="Y42" i="3"/>
  <c r="X42" i="3"/>
  <c r="Y46" i="2"/>
  <c r="X46" i="2"/>
  <c r="Y45" i="2"/>
  <c r="X45" i="2"/>
  <c r="Y44" i="2"/>
  <c r="X44" i="2"/>
  <c r="Y42" i="2"/>
  <c r="X42" i="2"/>
  <c r="Y48" i="2"/>
  <c r="X48" i="2"/>
  <c r="Y47" i="2"/>
  <c r="X47" i="2"/>
  <c r="Y43" i="2"/>
  <c r="X43" i="2"/>
  <c r="X13" i="3"/>
  <c r="BP13" i="3" s="1"/>
  <c r="X4" i="3"/>
  <c r="X5" i="3"/>
  <c r="X6" i="3"/>
  <c r="X7" i="3"/>
  <c r="X8" i="3"/>
  <c r="X9" i="3"/>
  <c r="X10" i="3"/>
  <c r="X13" i="2"/>
  <c r="X4" i="2"/>
  <c r="X5" i="2"/>
  <c r="W5" i="9" s="1"/>
  <c r="X6" i="2"/>
  <c r="W6" i="9" s="1"/>
  <c r="X7" i="2"/>
  <c r="W7" i="9" s="1"/>
  <c r="X8" i="2"/>
  <c r="X9" i="2"/>
  <c r="W9" i="9" s="1"/>
  <c r="X10" i="2"/>
  <c r="W10" i="9" s="1"/>
  <c r="W8" i="9" l="1"/>
  <c r="W42" i="9"/>
  <c r="W41" i="9"/>
  <c r="W46" i="9"/>
  <c r="AD46" i="9" s="1"/>
  <c r="AN46" i="9" s="1"/>
  <c r="AD45" i="9"/>
  <c r="AN45" i="9" s="1"/>
  <c r="W150" i="9"/>
  <c r="W24" i="9"/>
  <c r="W43" i="9"/>
  <c r="AD43" i="9" s="1"/>
  <c r="AD40" i="9"/>
  <c r="AN40" i="9" s="1"/>
  <c r="AD8" i="9"/>
  <c r="W80" i="9"/>
  <c r="BO80" i="9" s="1"/>
  <c r="W164" i="9"/>
  <c r="BO8" i="9"/>
  <c r="W154" i="9"/>
  <c r="W79" i="9"/>
  <c r="BO79" i="9" s="1"/>
  <c r="AD7" i="9"/>
  <c r="BO7" i="9"/>
  <c r="BP13" i="2"/>
  <c r="W13" i="9"/>
  <c r="W143" i="9"/>
  <c r="W144" i="9"/>
  <c r="Z144" i="9" s="1"/>
  <c r="X48" i="9"/>
  <c r="X49" i="9"/>
  <c r="W49" i="9"/>
  <c r="W48" i="9"/>
  <c r="Y37" i="9"/>
  <c r="AD49" i="9"/>
  <c r="AN49" i="9" s="1"/>
  <c r="W81" i="9"/>
  <c r="BO81" i="9" s="1"/>
  <c r="AD9" i="9"/>
  <c r="BO9" i="9"/>
  <c r="BP4" i="2"/>
  <c r="W4" i="9"/>
  <c r="W82" i="9"/>
  <c r="BO82" i="9" s="1"/>
  <c r="BO10" i="9"/>
  <c r="AD10" i="9"/>
  <c r="W78" i="9"/>
  <c r="BO78" i="9" s="1"/>
  <c r="BO6" i="9"/>
  <c r="AD6" i="9"/>
  <c r="BU60" i="9"/>
  <c r="AD72" i="9"/>
  <c r="AN72" i="9" s="1"/>
  <c r="AN60" i="9"/>
  <c r="AD41" i="9"/>
  <c r="AD42" i="9"/>
  <c r="W145" i="9"/>
  <c r="Z145" i="9" s="1"/>
  <c r="BU90" i="9"/>
  <c r="AN90" i="9"/>
  <c r="AD44" i="9"/>
  <c r="W77" i="9"/>
  <c r="BO77" i="9" s="1"/>
  <c r="BO5" i="9"/>
  <c r="AD5" i="9"/>
  <c r="W155" i="9"/>
  <c r="W165" i="9"/>
  <c r="BP10" i="2"/>
  <c r="BP9" i="2"/>
  <c r="BP5" i="2"/>
  <c r="K15" i="5"/>
  <c r="BP8" i="2"/>
  <c r="BP6" i="2"/>
  <c r="BP7" i="2"/>
  <c r="BP10" i="3"/>
  <c r="BP9" i="3"/>
  <c r="BP5" i="3"/>
  <c r="BP6" i="3"/>
  <c r="K17" i="5"/>
  <c r="BP8" i="3"/>
  <c r="AC17" i="5"/>
  <c r="BP4" i="3"/>
  <c r="BP7" i="3"/>
  <c r="BU45" i="9" l="1"/>
  <c r="BU46" i="9"/>
  <c r="AD48" i="9"/>
  <c r="BU48" i="9" s="1"/>
  <c r="BU43" i="9"/>
  <c r="AN43" i="9"/>
  <c r="BU40" i="9"/>
  <c r="BU44" i="9"/>
  <c r="AN44" i="9"/>
  <c r="AN42" i="9"/>
  <c r="BU42" i="9"/>
  <c r="BU10" i="9"/>
  <c r="AN10" i="9"/>
  <c r="AD82" i="9"/>
  <c r="AN82" i="9" s="1"/>
  <c r="BU5" i="9"/>
  <c r="AD77" i="9"/>
  <c r="AN77" i="9" s="1"/>
  <c r="AN5" i="9"/>
  <c r="BU41" i="9"/>
  <c r="AN41" i="9"/>
  <c r="BU6" i="9"/>
  <c r="AN6" i="9"/>
  <c r="AD78" i="9"/>
  <c r="AN78" i="9" s="1"/>
  <c r="W146" i="9"/>
  <c r="Z146" i="9" s="1"/>
  <c r="Z143" i="9"/>
  <c r="AD79" i="9"/>
  <c r="AN79" i="9" s="1"/>
  <c r="BU7" i="9"/>
  <c r="AN7" i="9"/>
  <c r="BU9" i="9"/>
  <c r="AN9" i="9"/>
  <c r="AD81" i="9"/>
  <c r="AN81" i="9" s="1"/>
  <c r="BO13" i="9"/>
  <c r="AD13" i="9"/>
  <c r="W12" i="9"/>
  <c r="W166" i="9"/>
  <c r="AD4" i="9"/>
  <c r="W156" i="9"/>
  <c r="W76" i="9"/>
  <c r="BO76" i="9" s="1"/>
  <c r="BO4" i="9"/>
  <c r="AN8" i="9"/>
  <c r="BU8" i="9"/>
  <c r="AD80" i="9"/>
  <c r="AN80" i="9" s="1"/>
  <c r="K16" i="5"/>
  <c r="AC16" i="5"/>
  <c r="AC15" i="5"/>
  <c r="I9" i="6"/>
  <c r="AN48" i="9" l="1"/>
  <c r="W132" i="9"/>
  <c r="W129" i="9"/>
  <c r="BO12" i="9"/>
  <c r="W128" i="9"/>
  <c r="W130" i="9"/>
  <c r="W14" i="9"/>
  <c r="BO14" i="9" s="1"/>
  <c r="W135" i="9"/>
  <c r="W134" i="9"/>
  <c r="W140" i="9" s="1"/>
  <c r="Z140" i="9" s="1"/>
  <c r="W131" i="9"/>
  <c r="W133" i="9"/>
  <c r="W84" i="9"/>
  <c r="BO84" i="9" s="1"/>
  <c r="AD12" i="9"/>
  <c r="BU4" i="9"/>
  <c r="AD76" i="9"/>
  <c r="AN76" i="9" s="1"/>
  <c r="AN4" i="9"/>
  <c r="AN13" i="9"/>
  <c r="BU13" i="9"/>
  <c r="J12" i="4"/>
  <c r="W139" i="9" l="1"/>
  <c r="Z139" i="9" s="1"/>
  <c r="AD84" i="9"/>
  <c r="AN84" i="9" s="1"/>
  <c r="BU12" i="9"/>
  <c r="AD14" i="9"/>
  <c r="AN12" i="9"/>
  <c r="W138" i="9"/>
  <c r="I15" i="6"/>
  <c r="I14" i="6"/>
  <c r="I13" i="6"/>
  <c r="I12" i="6"/>
  <c r="H11" i="6"/>
  <c r="G11" i="6"/>
  <c r="F11" i="6"/>
  <c r="E11" i="6"/>
  <c r="D11" i="6"/>
  <c r="I10" i="6"/>
  <c r="W141" i="9" l="1"/>
  <c r="Z141" i="9" s="1"/>
  <c r="Z138" i="9"/>
  <c r="I11" i="6"/>
  <c r="E17" i="4"/>
  <c r="J11" i="4" l="1"/>
  <c r="M13" i="1" l="1"/>
  <c r="L13" i="1"/>
  <c r="K13" i="1"/>
  <c r="J13" i="1"/>
  <c r="I13" i="1"/>
  <c r="H13" i="1"/>
  <c r="G13" i="1"/>
  <c r="F13" i="1"/>
  <c r="E13" i="1"/>
  <c r="D13" i="1"/>
  <c r="C13" i="1"/>
  <c r="B13" i="1"/>
  <c r="AJ13" i="2"/>
  <c r="AH13" i="2"/>
  <c r="AG13" i="2"/>
  <c r="AE13" i="2"/>
  <c r="AB10" i="2"/>
  <c r="AC10" i="2"/>
  <c r="AD10" i="2"/>
  <c r="AE10" i="2"/>
  <c r="AG10" i="2"/>
  <c r="AH10" i="2"/>
  <c r="AJ10" i="2"/>
  <c r="AL10" i="2"/>
  <c r="AJ13" i="3"/>
  <c r="AH13" i="3"/>
  <c r="AG13" i="3"/>
  <c r="AE13" i="3"/>
  <c r="BV13" i="3" s="1"/>
  <c r="AD13" i="3"/>
  <c r="AC13" i="3"/>
  <c r="AM13" i="3" s="1"/>
  <c r="AB13" i="3"/>
  <c r="AL13" i="3" s="1"/>
  <c r="Y13" i="1"/>
  <c r="BQ13" i="1" s="1"/>
  <c r="X13" i="1"/>
  <c r="BP13" i="1" s="1"/>
  <c r="W13" i="1"/>
  <c r="BO13" i="1" s="1"/>
  <c r="O13" i="2"/>
  <c r="P13" i="2"/>
  <c r="Q13" i="2"/>
  <c r="R13" i="2"/>
  <c r="Q13" i="9" s="1"/>
  <c r="S13" i="2"/>
  <c r="T13" i="2"/>
  <c r="U13" i="2"/>
  <c r="V13" i="2"/>
  <c r="W13" i="2"/>
  <c r="BK13" i="2" l="1"/>
  <c r="R13" i="9"/>
  <c r="BN13" i="2"/>
  <c r="U13" i="9"/>
  <c r="BL13" i="2"/>
  <c r="S13" i="9"/>
  <c r="BH13" i="2"/>
  <c r="O13" i="9"/>
  <c r="BI13" i="9"/>
  <c r="Q14" i="9"/>
  <c r="BS13" i="9"/>
  <c r="BO13" i="2"/>
  <c r="V13" i="9"/>
  <c r="BG13" i="2"/>
  <c r="N13" i="9"/>
  <c r="BM13" i="2"/>
  <c r="T13" i="9"/>
  <c r="BI13" i="2"/>
  <c r="P13" i="9"/>
  <c r="AI13" i="1"/>
  <c r="AF13" i="1"/>
  <c r="AG13" i="1"/>
  <c r="AH13" i="1"/>
  <c r="AM10" i="2"/>
  <c r="BJ13" i="2"/>
  <c r="AD13" i="1"/>
  <c r="BU13" i="1" s="1"/>
  <c r="S13" i="1"/>
  <c r="BK13" i="1" s="1"/>
  <c r="V13" i="1"/>
  <c r="BN13" i="1" s="1"/>
  <c r="R13" i="1"/>
  <c r="BJ13" i="1" s="1"/>
  <c r="N13" i="1"/>
  <c r="O13" i="1"/>
  <c r="BG13" i="1" s="1"/>
  <c r="U13" i="1"/>
  <c r="BM13" i="1" s="1"/>
  <c r="T13" i="1"/>
  <c r="P13" i="1"/>
  <c r="BH13" i="1" s="1"/>
  <c r="AC13" i="2"/>
  <c r="AD13" i="2"/>
  <c r="AB13" i="2"/>
  <c r="Q13" i="1"/>
  <c r="AE13" i="1"/>
  <c r="BL13" i="1" l="1"/>
  <c r="BT13" i="1"/>
  <c r="BH13" i="9"/>
  <c r="P14" i="9"/>
  <c r="BH14" i="9" s="1"/>
  <c r="Z13" i="9"/>
  <c r="BF13" i="9"/>
  <c r="AA13" i="9"/>
  <c r="BR13" i="9"/>
  <c r="N14" i="9"/>
  <c r="BG13" i="9"/>
  <c r="O14" i="9"/>
  <c r="BG14" i="9" s="1"/>
  <c r="AC13" i="9"/>
  <c r="BM13" i="9"/>
  <c r="U14" i="9"/>
  <c r="BM14" i="9" s="1"/>
  <c r="BL13" i="9"/>
  <c r="T14" i="9"/>
  <c r="BL14" i="9" s="1"/>
  <c r="BN13" i="9"/>
  <c r="V14" i="9"/>
  <c r="BN14" i="9" s="1"/>
  <c r="S14" i="9"/>
  <c r="BK14" i="9" s="1"/>
  <c r="BK13" i="9"/>
  <c r="BJ13" i="9"/>
  <c r="R14" i="9"/>
  <c r="BJ14" i="9" s="1"/>
  <c r="BI14" i="9"/>
  <c r="AB13" i="9"/>
  <c r="BI13" i="1"/>
  <c r="BS13" i="1"/>
  <c r="AA13" i="1"/>
  <c r="AK13" i="1" s="1"/>
  <c r="Z13" i="1"/>
  <c r="BV13" i="1" s="1"/>
  <c r="BF13" i="1"/>
  <c r="BR13" i="1"/>
  <c r="AN13" i="1"/>
  <c r="AC13" i="1"/>
  <c r="AM13" i="2"/>
  <c r="AL13" i="2"/>
  <c r="AB13" i="1"/>
  <c r="BS14" i="9" l="1"/>
  <c r="BT13" i="9"/>
  <c r="AM13" i="9"/>
  <c r="AC14" i="9"/>
  <c r="AL13" i="9"/>
  <c r="AB14" i="9"/>
  <c r="P25" i="9"/>
  <c r="BF14" i="9"/>
  <c r="BR14" i="9"/>
  <c r="AJ13" i="9"/>
  <c r="Z14" i="9"/>
  <c r="AJ12" i="9"/>
  <c r="BV13" i="9"/>
  <c r="AK13" i="9"/>
  <c r="AA14" i="9"/>
  <c r="AJ13" i="1"/>
  <c r="AL13" i="1"/>
  <c r="AM13" i="1"/>
  <c r="J45" i="5"/>
  <c r="I45" i="5"/>
  <c r="H45" i="5"/>
  <c r="G45" i="5"/>
  <c r="F45" i="5"/>
  <c r="E45" i="5"/>
  <c r="D45" i="5"/>
  <c r="C45" i="5"/>
  <c r="B45" i="5"/>
  <c r="AB17" i="5"/>
  <c r="AA17" i="5"/>
  <c r="Z17" i="5"/>
  <c r="Y17" i="5"/>
  <c r="X17" i="5"/>
  <c r="W17" i="5"/>
  <c r="V17" i="5"/>
  <c r="U17" i="5"/>
  <c r="T17" i="5"/>
  <c r="T22" i="5" s="1"/>
  <c r="AB16" i="5"/>
  <c r="AA16" i="5"/>
  <c r="Z16" i="5"/>
  <c r="Y16" i="5"/>
  <c r="X16" i="5"/>
  <c r="W16" i="5"/>
  <c r="V16" i="5"/>
  <c r="U16" i="5"/>
  <c r="T16" i="5"/>
  <c r="AB15" i="5"/>
  <c r="AA15" i="5"/>
  <c r="Z15" i="5"/>
  <c r="Y15" i="5"/>
  <c r="X15" i="5"/>
  <c r="W15" i="5"/>
  <c r="V15" i="5"/>
  <c r="U15" i="5"/>
  <c r="T15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B17" i="5"/>
  <c r="B16" i="5"/>
  <c r="B15" i="5"/>
  <c r="AJ14" i="9" l="1"/>
  <c r="BV14" i="9"/>
  <c r="X21" i="5"/>
  <c r="AB21" i="5"/>
  <c r="T21" i="5"/>
  <c r="G22" i="5"/>
  <c r="D22" i="5"/>
  <c r="E21" i="5"/>
  <c r="I21" i="5"/>
  <c r="U21" i="5"/>
  <c r="Y21" i="5"/>
  <c r="H21" i="5"/>
  <c r="D21" i="5"/>
  <c r="H22" i="5"/>
  <c r="C22" i="5"/>
  <c r="D20" i="5"/>
  <c r="B21" i="5"/>
  <c r="E20" i="5"/>
  <c r="I20" i="5"/>
  <c r="E22" i="5"/>
  <c r="I22" i="5"/>
  <c r="V20" i="5"/>
  <c r="Z20" i="5"/>
  <c r="Y20" i="5"/>
  <c r="W22" i="5"/>
  <c r="B22" i="5"/>
  <c r="F20" i="5"/>
  <c r="J20" i="5"/>
  <c r="F21" i="5"/>
  <c r="J21" i="5"/>
  <c r="F22" i="5"/>
  <c r="J22" i="5"/>
  <c r="W20" i="5"/>
  <c r="AA20" i="5"/>
  <c r="V21" i="5"/>
  <c r="Z21" i="5"/>
  <c r="U22" i="5"/>
  <c r="Y22" i="5"/>
  <c r="H20" i="5"/>
  <c r="U20" i="5"/>
  <c r="C20" i="5"/>
  <c r="G20" i="5"/>
  <c r="C21" i="5"/>
  <c r="G21" i="5"/>
  <c r="T20" i="5"/>
  <c r="X20" i="5"/>
  <c r="AB20" i="5"/>
  <c r="W21" i="5"/>
  <c r="AA21" i="5"/>
  <c r="V22" i="5"/>
  <c r="Z22" i="5"/>
  <c r="D62" i="5"/>
  <c r="F62" i="5"/>
  <c r="J62" i="5"/>
  <c r="J71" i="5" s="1"/>
  <c r="H62" i="5"/>
  <c r="C62" i="5"/>
  <c r="G62" i="5"/>
  <c r="B20" i="5"/>
  <c r="AA22" i="5"/>
  <c r="X22" i="5"/>
  <c r="B62" i="5"/>
  <c r="I62" i="5"/>
  <c r="AB22" i="5"/>
  <c r="F71" i="5" l="1"/>
  <c r="G71" i="5"/>
  <c r="D71" i="5"/>
  <c r="D70" i="5"/>
  <c r="I71" i="5"/>
  <c r="J70" i="5"/>
  <c r="C70" i="5"/>
  <c r="C71" i="5"/>
  <c r="B70" i="5"/>
  <c r="G70" i="5"/>
  <c r="H70" i="5"/>
  <c r="B71" i="5"/>
  <c r="H71" i="5"/>
  <c r="I70" i="5"/>
  <c r="E62" i="5"/>
  <c r="F70" i="5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V140" i="1"/>
  <c r="V143" i="1" s="1"/>
  <c r="U140" i="1"/>
  <c r="U143" i="1" s="1"/>
  <c r="T140" i="1"/>
  <c r="T143" i="1" s="1"/>
  <c r="S140" i="1"/>
  <c r="S143" i="1" s="1"/>
  <c r="R140" i="1"/>
  <c r="R143" i="1" s="1"/>
  <c r="Q140" i="1"/>
  <c r="Q143" i="1" s="1"/>
  <c r="P140" i="1"/>
  <c r="P143" i="1" s="1"/>
  <c r="O140" i="1"/>
  <c r="O143" i="1" s="1"/>
  <c r="N140" i="1"/>
  <c r="N143" i="1" s="1"/>
  <c r="M140" i="1"/>
  <c r="M143" i="1" s="1"/>
  <c r="L140" i="1"/>
  <c r="L143" i="1" s="1"/>
  <c r="K140" i="1"/>
  <c r="K143" i="1" s="1"/>
  <c r="J140" i="1"/>
  <c r="J143" i="1" s="1"/>
  <c r="I140" i="1"/>
  <c r="I143" i="1" s="1"/>
  <c r="H140" i="1"/>
  <c r="H143" i="1" s="1"/>
  <c r="G140" i="1"/>
  <c r="G143" i="1" s="1"/>
  <c r="F140" i="1"/>
  <c r="F143" i="1" s="1"/>
  <c r="E140" i="1"/>
  <c r="E143" i="1" s="1"/>
  <c r="D140" i="1"/>
  <c r="D143" i="1" s="1"/>
  <c r="C140" i="1"/>
  <c r="C143" i="1" s="1"/>
  <c r="B143" i="1"/>
  <c r="B140" i="1"/>
  <c r="B141" i="1"/>
  <c r="B142" i="1"/>
  <c r="E70" i="5" l="1"/>
  <c r="E71" i="5"/>
  <c r="Y125" i="1"/>
  <c r="BQ125" i="1" s="1"/>
  <c r="X125" i="1"/>
  <c r="BP125" i="1" s="1"/>
  <c r="W125" i="1"/>
  <c r="Y124" i="1"/>
  <c r="BQ124" i="1" s="1"/>
  <c r="X124" i="1"/>
  <c r="BP124" i="1" s="1"/>
  <c r="W124" i="1"/>
  <c r="Y123" i="1"/>
  <c r="BQ123" i="1" s="1"/>
  <c r="X123" i="1"/>
  <c r="BP123" i="1" s="1"/>
  <c r="W123" i="1"/>
  <c r="Y122" i="1"/>
  <c r="BQ122" i="1" s="1"/>
  <c r="X122" i="1"/>
  <c r="BP122" i="1" s="1"/>
  <c r="W122" i="1"/>
  <c r="Y121" i="1"/>
  <c r="BQ121" i="1" s="1"/>
  <c r="X121" i="1"/>
  <c r="BP121" i="1" s="1"/>
  <c r="W121" i="1"/>
  <c r="Y120" i="1"/>
  <c r="BQ120" i="1" s="1"/>
  <c r="X120" i="1"/>
  <c r="BP120" i="1" s="1"/>
  <c r="W120" i="1"/>
  <c r="W126" i="3"/>
  <c r="W125" i="3"/>
  <c r="W124" i="3"/>
  <c r="W123" i="3"/>
  <c r="W122" i="3"/>
  <c r="W121" i="3"/>
  <c r="W126" i="2"/>
  <c r="W125" i="2"/>
  <c r="W124" i="2"/>
  <c r="W123" i="2"/>
  <c r="W122" i="2"/>
  <c r="W121" i="2"/>
  <c r="BO125" i="2" l="1"/>
  <c r="V122" i="9"/>
  <c r="BO126" i="2"/>
  <c r="V123" i="9"/>
  <c r="BO122" i="2"/>
  <c r="V119" i="9"/>
  <c r="BO123" i="2"/>
  <c r="V120" i="9"/>
  <c r="BO121" i="2"/>
  <c r="V118" i="9"/>
  <c r="BO124" i="2"/>
  <c r="V121" i="9"/>
  <c r="BO125" i="3"/>
  <c r="BO122" i="3"/>
  <c r="BO126" i="3"/>
  <c r="BO124" i="3"/>
  <c r="BO121" i="3"/>
  <c r="BO123" i="3"/>
  <c r="BO122" i="1"/>
  <c r="BU122" i="1"/>
  <c r="BO123" i="1"/>
  <c r="BU123" i="1"/>
  <c r="BO121" i="1"/>
  <c r="BU121" i="1"/>
  <c r="BO125" i="1"/>
  <c r="BU125" i="1"/>
  <c r="BO120" i="1"/>
  <c r="BU120" i="1"/>
  <c r="BO124" i="1"/>
  <c r="BU124" i="1"/>
  <c r="V123" i="1"/>
  <c r="BN123" i="1" s="1"/>
  <c r="V120" i="1"/>
  <c r="BN120" i="1" s="1"/>
  <c r="V124" i="1"/>
  <c r="BN124" i="1" s="1"/>
  <c r="V121" i="1"/>
  <c r="BN121" i="1" s="1"/>
  <c r="V125" i="1"/>
  <c r="BN125" i="1" s="1"/>
  <c r="V122" i="1"/>
  <c r="BN122" i="1" s="1"/>
  <c r="W114" i="3"/>
  <c r="W113" i="3"/>
  <c r="W112" i="3"/>
  <c r="W111" i="3"/>
  <c r="W110" i="3"/>
  <c r="W109" i="3"/>
  <c r="W114" i="2"/>
  <c r="W113" i="2"/>
  <c r="W112" i="2"/>
  <c r="W111" i="2"/>
  <c r="W110" i="2"/>
  <c r="W109" i="2"/>
  <c r="V16" i="1"/>
  <c r="AC16" i="1" s="1"/>
  <c r="V17" i="1"/>
  <c r="AC17" i="1" s="1"/>
  <c r="V18" i="1"/>
  <c r="AC18" i="1" s="1"/>
  <c r="V19" i="1"/>
  <c r="AC19" i="1" s="1"/>
  <c r="V20" i="1"/>
  <c r="AC20" i="1" s="1"/>
  <c r="V21" i="1"/>
  <c r="AC21" i="1" s="1"/>
  <c r="V22" i="1"/>
  <c r="AC22" i="1" s="1"/>
  <c r="V110" i="9" l="1"/>
  <c r="V112" i="9"/>
  <c r="V109" i="9"/>
  <c r="V107" i="9"/>
  <c r="V111" i="9"/>
  <c r="V108" i="9"/>
  <c r="BN121" i="9"/>
  <c r="AC121" i="9"/>
  <c r="AM121" i="9" s="1"/>
  <c r="BT121" i="9"/>
  <c r="BN120" i="9"/>
  <c r="BT120" i="9"/>
  <c r="AC120" i="9"/>
  <c r="AM120" i="9" s="1"/>
  <c r="BN123" i="9"/>
  <c r="AC123" i="9"/>
  <c r="AM123" i="9" s="1"/>
  <c r="BT123" i="9"/>
  <c r="BN118" i="9"/>
  <c r="V124" i="9"/>
  <c r="BT118" i="9"/>
  <c r="AC118" i="9"/>
  <c r="BN119" i="9"/>
  <c r="BT119" i="9"/>
  <c r="AC119" i="9"/>
  <c r="AM119" i="9" s="1"/>
  <c r="BN122" i="9"/>
  <c r="AC122" i="9"/>
  <c r="AM122" i="9" s="1"/>
  <c r="BT122" i="9"/>
  <c r="V114" i="9" l="1"/>
  <c r="BN124" i="9"/>
  <c r="BT124" i="9"/>
  <c r="AM118" i="9"/>
  <c r="AC124" i="9"/>
  <c r="AM124" i="9" s="1"/>
  <c r="U125" i="1"/>
  <c r="BM125" i="1" s="1"/>
  <c r="U124" i="1"/>
  <c r="BM124" i="1" s="1"/>
  <c r="U123" i="1"/>
  <c r="BM123" i="1" s="1"/>
  <c r="U122" i="1"/>
  <c r="BM122" i="1" s="1"/>
  <c r="U121" i="1"/>
  <c r="BM121" i="1" s="1"/>
  <c r="U120" i="1"/>
  <c r="BM120" i="1" s="1"/>
  <c r="T125" i="1" l="1"/>
  <c r="Z125" i="1" s="1"/>
  <c r="BV125" i="1" s="1"/>
  <c r="T124" i="1"/>
  <c r="T123" i="1"/>
  <c r="T122" i="1"/>
  <c r="Z122" i="1" s="1"/>
  <c r="BV122" i="1" s="1"/>
  <c r="T121" i="1"/>
  <c r="T120" i="1"/>
  <c r="Z120" i="1" s="1"/>
  <c r="BV120" i="1" s="1"/>
  <c r="Y126" i="1"/>
  <c r="BQ126" i="1" s="1"/>
  <c r="X126" i="1"/>
  <c r="BP126" i="1" s="1"/>
  <c r="W126" i="1"/>
  <c r="V126" i="1"/>
  <c r="BN126" i="1" s="1"/>
  <c r="U126" i="1"/>
  <c r="BM126" i="1" s="1"/>
  <c r="S126" i="1"/>
  <c r="BK126" i="1" s="1"/>
  <c r="R126" i="1"/>
  <c r="BJ126" i="1" s="1"/>
  <c r="Q126" i="1"/>
  <c r="P126" i="1"/>
  <c r="BH126" i="1" s="1"/>
  <c r="O126" i="1"/>
  <c r="BG126" i="1" s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F126" i="1" s="1"/>
  <c r="B126" i="1"/>
  <c r="AI125" i="1"/>
  <c r="AH125" i="1"/>
  <c r="AG125" i="1"/>
  <c r="AF125" i="1"/>
  <c r="AE125" i="1"/>
  <c r="AD125" i="1"/>
  <c r="AC125" i="1"/>
  <c r="AM125" i="1" s="1"/>
  <c r="AB125" i="1"/>
  <c r="AA125" i="1"/>
  <c r="AI124" i="1"/>
  <c r="AH124" i="1"/>
  <c r="AG124" i="1"/>
  <c r="AF124" i="1"/>
  <c r="AE124" i="1"/>
  <c r="AD124" i="1"/>
  <c r="AB124" i="1"/>
  <c r="AA124" i="1"/>
  <c r="AI123" i="1"/>
  <c r="AH123" i="1"/>
  <c r="AG123" i="1"/>
  <c r="AF123" i="1"/>
  <c r="AE123" i="1"/>
  <c r="AD123" i="1"/>
  <c r="AB123" i="1"/>
  <c r="AA123" i="1"/>
  <c r="AI122" i="1"/>
  <c r="AH122" i="1"/>
  <c r="AG122" i="1"/>
  <c r="AF122" i="1"/>
  <c r="AE122" i="1"/>
  <c r="AD122" i="1"/>
  <c r="AB122" i="1"/>
  <c r="AA122" i="1"/>
  <c r="AI121" i="1"/>
  <c r="AH121" i="1"/>
  <c r="AG121" i="1"/>
  <c r="AF121" i="1"/>
  <c r="AE121" i="1"/>
  <c r="AD121" i="1"/>
  <c r="AB121" i="1"/>
  <c r="AA121" i="1"/>
  <c r="AI120" i="1"/>
  <c r="AH120" i="1"/>
  <c r="AG120" i="1"/>
  <c r="AF120" i="1"/>
  <c r="AE120" i="1"/>
  <c r="AD120" i="1"/>
  <c r="AB120" i="1"/>
  <c r="AA120" i="1"/>
  <c r="Z127" i="3"/>
  <c r="BR127" i="3" s="1"/>
  <c r="Y127" i="3"/>
  <c r="BQ127" i="3" s="1"/>
  <c r="X127" i="3"/>
  <c r="W127" i="3"/>
  <c r="BO127" i="3" s="1"/>
  <c r="V127" i="3"/>
  <c r="BN127" i="3" s="1"/>
  <c r="U127" i="3"/>
  <c r="BU127" i="3" s="1"/>
  <c r="T127" i="3"/>
  <c r="BL127" i="3" s="1"/>
  <c r="S127" i="3"/>
  <c r="BK127" i="3" s="1"/>
  <c r="R127" i="3"/>
  <c r="BT127" i="3" s="1"/>
  <c r="Q127" i="3"/>
  <c r="BI127" i="3" s="1"/>
  <c r="P127" i="3"/>
  <c r="BH127" i="3" s="1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AJ126" i="3"/>
  <c r="AI126" i="3"/>
  <c r="AH126" i="3"/>
  <c r="AG126" i="3"/>
  <c r="AE126" i="3"/>
  <c r="AO126" i="3" s="1"/>
  <c r="AD126" i="3"/>
  <c r="AN126" i="3" s="1"/>
  <c r="AC126" i="3"/>
  <c r="AM126" i="3" s="1"/>
  <c r="AB126" i="3"/>
  <c r="AL126" i="3" s="1"/>
  <c r="BW126" i="3"/>
  <c r="AJ125" i="3"/>
  <c r="AI125" i="3"/>
  <c r="AH125" i="3"/>
  <c r="AG125" i="3"/>
  <c r="AE125" i="3"/>
  <c r="AO125" i="3" s="1"/>
  <c r="AD125" i="3"/>
  <c r="AN125" i="3" s="1"/>
  <c r="AC125" i="3"/>
  <c r="AB125" i="3"/>
  <c r="AL125" i="3" s="1"/>
  <c r="BW125" i="3"/>
  <c r="AJ124" i="3"/>
  <c r="AI124" i="3"/>
  <c r="AH124" i="3"/>
  <c r="AG124" i="3"/>
  <c r="AE124" i="3"/>
  <c r="AO124" i="3" s="1"/>
  <c r="AD124" i="3"/>
  <c r="AN124" i="3" s="1"/>
  <c r="AC124" i="3"/>
  <c r="AM124" i="3" s="1"/>
  <c r="AB124" i="3"/>
  <c r="BW124" i="3"/>
  <c r="AJ123" i="3"/>
  <c r="AI123" i="3"/>
  <c r="AH123" i="3"/>
  <c r="AG123" i="3"/>
  <c r="AE123" i="3"/>
  <c r="AO123" i="3" s="1"/>
  <c r="AD123" i="3"/>
  <c r="AN123" i="3" s="1"/>
  <c r="AC123" i="3"/>
  <c r="AB123" i="3"/>
  <c r="AL123" i="3" s="1"/>
  <c r="BW123" i="3"/>
  <c r="AJ122" i="3"/>
  <c r="AI122" i="3"/>
  <c r="AH122" i="3"/>
  <c r="AG122" i="3"/>
  <c r="AE122" i="3"/>
  <c r="AO122" i="3" s="1"/>
  <c r="AD122" i="3"/>
  <c r="AN122" i="3" s="1"/>
  <c r="AC122" i="3"/>
  <c r="AM122" i="3" s="1"/>
  <c r="AB122" i="3"/>
  <c r="BW122" i="3"/>
  <c r="AJ121" i="3"/>
  <c r="AI121" i="3"/>
  <c r="AH121" i="3"/>
  <c r="AG121" i="3"/>
  <c r="AE121" i="3"/>
  <c r="AD121" i="3"/>
  <c r="AN121" i="3" s="1"/>
  <c r="AC121" i="3"/>
  <c r="AB121" i="3"/>
  <c r="BW121" i="3"/>
  <c r="AJ122" i="2"/>
  <c r="AI122" i="2"/>
  <c r="AH122" i="2"/>
  <c r="AG122" i="2"/>
  <c r="AE122" i="2"/>
  <c r="AO122" i="2" s="1"/>
  <c r="AD122" i="2"/>
  <c r="AN122" i="2" s="1"/>
  <c r="AC122" i="2"/>
  <c r="AB122" i="2"/>
  <c r="AJ124" i="2"/>
  <c r="AI124" i="2"/>
  <c r="AH124" i="2"/>
  <c r="AG124" i="2"/>
  <c r="AE124" i="2"/>
  <c r="AO124" i="2" s="1"/>
  <c r="AD124" i="2"/>
  <c r="AN124" i="2" s="1"/>
  <c r="AC124" i="2"/>
  <c r="AB124" i="2"/>
  <c r="AL124" i="2" s="1"/>
  <c r="AJ123" i="2"/>
  <c r="AI123" i="2"/>
  <c r="AH123" i="2"/>
  <c r="AG123" i="2"/>
  <c r="AE123" i="2"/>
  <c r="AO123" i="2" s="1"/>
  <c r="AD123" i="2"/>
  <c r="AN123" i="2" s="1"/>
  <c r="AC123" i="2"/>
  <c r="AM123" i="2" s="1"/>
  <c r="AB123" i="2"/>
  <c r="AJ125" i="2"/>
  <c r="AI125" i="2"/>
  <c r="AH125" i="2"/>
  <c r="AG125" i="2"/>
  <c r="AE125" i="2"/>
  <c r="AO125" i="2" s="1"/>
  <c r="AD125" i="2"/>
  <c r="AN125" i="2" s="1"/>
  <c r="AC125" i="2"/>
  <c r="AB125" i="2"/>
  <c r="AL125" i="2" s="1"/>
  <c r="Z127" i="2"/>
  <c r="BR127" i="2" s="1"/>
  <c r="Y127" i="2"/>
  <c r="BQ127" i="2" s="1"/>
  <c r="X127" i="2"/>
  <c r="BP127" i="2" s="1"/>
  <c r="W127" i="2"/>
  <c r="BO127" i="2" s="1"/>
  <c r="V127" i="2"/>
  <c r="BN127" i="2" s="1"/>
  <c r="U127" i="2"/>
  <c r="BM127" i="2" s="1"/>
  <c r="T127" i="2"/>
  <c r="BL127" i="2" s="1"/>
  <c r="S127" i="2"/>
  <c r="BK127" i="2" s="1"/>
  <c r="R127" i="2"/>
  <c r="BJ127" i="2" s="1"/>
  <c r="Q127" i="2"/>
  <c r="BI127" i="2" s="1"/>
  <c r="P127" i="2"/>
  <c r="BH127" i="2" s="1"/>
  <c r="O127" i="2"/>
  <c r="BG127" i="2" s="1"/>
  <c r="N127" i="2"/>
  <c r="M127" i="2"/>
  <c r="L127" i="2"/>
  <c r="K127" i="2"/>
  <c r="J127" i="2"/>
  <c r="I127" i="2"/>
  <c r="H127" i="2"/>
  <c r="G127" i="2"/>
  <c r="F127" i="2"/>
  <c r="E127" i="2"/>
  <c r="D127" i="2"/>
  <c r="C127" i="2"/>
  <c r="AJ126" i="2"/>
  <c r="AI126" i="2"/>
  <c r="AH126" i="2"/>
  <c r="AG126" i="2"/>
  <c r="AE126" i="2"/>
  <c r="AO126" i="2" s="1"/>
  <c r="AD126" i="2"/>
  <c r="AN126" i="2" s="1"/>
  <c r="AC126" i="2"/>
  <c r="AB126" i="2"/>
  <c r="AJ121" i="2"/>
  <c r="AI121" i="2"/>
  <c r="AH121" i="2"/>
  <c r="AG121" i="2"/>
  <c r="AE121" i="2"/>
  <c r="AO121" i="2" s="1"/>
  <c r="AD121" i="2"/>
  <c r="AN121" i="2" s="1"/>
  <c r="AC121" i="2"/>
  <c r="AB121" i="2"/>
  <c r="Z62" i="2"/>
  <c r="BR62" i="2" s="1"/>
  <c r="Y62" i="2"/>
  <c r="BQ62" i="2" s="1"/>
  <c r="X62" i="2"/>
  <c r="BP62" i="2" s="1"/>
  <c r="W62" i="2"/>
  <c r="BO62" i="2" s="1"/>
  <c r="V62" i="2"/>
  <c r="BN62" i="2" s="1"/>
  <c r="U62" i="2"/>
  <c r="BM62" i="2" s="1"/>
  <c r="Z116" i="3"/>
  <c r="AE116" i="3" s="1"/>
  <c r="Y116" i="3"/>
  <c r="X116" i="3"/>
  <c r="W116" i="3"/>
  <c r="V116" i="3"/>
  <c r="U116" i="3"/>
  <c r="T116" i="3"/>
  <c r="S116" i="3"/>
  <c r="BK116" i="3" s="1"/>
  <c r="R116" i="3"/>
  <c r="Q116" i="3"/>
  <c r="P116" i="3"/>
  <c r="BH116" i="3" s="1"/>
  <c r="O116" i="3"/>
  <c r="N116" i="3"/>
  <c r="AJ116" i="3" s="1"/>
  <c r="M116" i="3"/>
  <c r="L116" i="3"/>
  <c r="K116" i="3"/>
  <c r="AI116" i="3" s="1"/>
  <c r="J116" i="3"/>
  <c r="I116" i="3"/>
  <c r="H116" i="3"/>
  <c r="AH116" i="3" s="1"/>
  <c r="G116" i="3"/>
  <c r="F116" i="3"/>
  <c r="E116" i="3"/>
  <c r="AG116" i="3" s="1"/>
  <c r="D116" i="3"/>
  <c r="C116" i="3"/>
  <c r="AJ114" i="3"/>
  <c r="AI114" i="3"/>
  <c r="AH114" i="3"/>
  <c r="AG114" i="3"/>
  <c r="AE114" i="3"/>
  <c r="AO114" i="3" s="1"/>
  <c r="AD114" i="3"/>
  <c r="AN114" i="3" s="1"/>
  <c r="AC114" i="3"/>
  <c r="AB114" i="3"/>
  <c r="AJ113" i="3"/>
  <c r="AI113" i="3"/>
  <c r="AH113" i="3"/>
  <c r="AG113" i="3"/>
  <c r="AE113" i="3"/>
  <c r="AO113" i="3" s="1"/>
  <c r="AD113" i="3"/>
  <c r="AN113" i="3" s="1"/>
  <c r="AC113" i="3"/>
  <c r="AB113" i="3"/>
  <c r="AJ112" i="3"/>
  <c r="AI112" i="3"/>
  <c r="AH112" i="3"/>
  <c r="AG112" i="3"/>
  <c r="AE112" i="3"/>
  <c r="AO112" i="3" s="1"/>
  <c r="AD112" i="3"/>
  <c r="AN112" i="3" s="1"/>
  <c r="AC112" i="3"/>
  <c r="AB112" i="3"/>
  <c r="AJ111" i="3"/>
  <c r="AI111" i="3"/>
  <c r="AH111" i="3"/>
  <c r="AG111" i="3"/>
  <c r="AE111" i="3"/>
  <c r="AO111" i="3" s="1"/>
  <c r="AD111" i="3"/>
  <c r="AN111" i="3" s="1"/>
  <c r="AC111" i="3"/>
  <c r="AM111" i="3" s="1"/>
  <c r="AB111" i="3"/>
  <c r="AL111" i="3" s="1"/>
  <c r="AJ110" i="3"/>
  <c r="AI110" i="3"/>
  <c r="AH110" i="3"/>
  <c r="AG110" i="3"/>
  <c r="AE110" i="3"/>
  <c r="AO110" i="3" s="1"/>
  <c r="AD110" i="3"/>
  <c r="AN110" i="3" s="1"/>
  <c r="AC110" i="3"/>
  <c r="AM110" i="3" s="1"/>
  <c r="AB110" i="3"/>
  <c r="AJ109" i="3"/>
  <c r="AI109" i="3"/>
  <c r="AH109" i="3"/>
  <c r="AG109" i="3"/>
  <c r="AE109" i="3"/>
  <c r="AO109" i="3" s="1"/>
  <c r="AD109" i="3"/>
  <c r="AN109" i="3" s="1"/>
  <c r="AC109" i="3"/>
  <c r="AB109" i="3"/>
  <c r="AJ108" i="3"/>
  <c r="AJ120" i="3" s="1"/>
  <c r="AI108" i="3"/>
  <c r="AI120" i="3" s="1"/>
  <c r="AH108" i="3"/>
  <c r="AH120" i="3" s="1"/>
  <c r="AG108" i="3"/>
  <c r="AG120" i="3" s="1"/>
  <c r="Z116" i="2"/>
  <c r="AE116" i="2" s="1"/>
  <c r="Y116" i="2"/>
  <c r="X116" i="2"/>
  <c r="W116" i="2"/>
  <c r="AD116" i="2" s="1"/>
  <c r="V116" i="2"/>
  <c r="U116" i="2"/>
  <c r="BM116" i="2" s="1"/>
  <c r="T116" i="2"/>
  <c r="S116" i="2"/>
  <c r="BK116" i="2" s="1"/>
  <c r="R116" i="2"/>
  <c r="BJ116" i="2" s="1"/>
  <c r="Q116" i="2"/>
  <c r="P116" i="2"/>
  <c r="BH116" i="2" s="1"/>
  <c r="O116" i="2"/>
  <c r="BG116" i="2" s="1"/>
  <c r="N116" i="2"/>
  <c r="AJ116" i="2" s="1"/>
  <c r="M116" i="2"/>
  <c r="L116" i="2"/>
  <c r="K116" i="2"/>
  <c r="AI116" i="2" s="1"/>
  <c r="J116" i="2"/>
  <c r="I116" i="2"/>
  <c r="H116" i="2"/>
  <c r="AH116" i="2" s="1"/>
  <c r="G116" i="2"/>
  <c r="F116" i="2"/>
  <c r="E116" i="2"/>
  <c r="AG116" i="2" s="1"/>
  <c r="D116" i="2"/>
  <c r="C116" i="2"/>
  <c r="AJ114" i="2"/>
  <c r="AI114" i="2"/>
  <c r="AH114" i="2"/>
  <c r="AG114" i="2"/>
  <c r="AE114" i="2"/>
  <c r="AO114" i="2" s="1"/>
  <c r="AD114" i="2"/>
  <c r="AN114" i="2" s="1"/>
  <c r="AC114" i="2"/>
  <c r="AM114" i="2" s="1"/>
  <c r="AB114" i="2"/>
  <c r="AL114" i="2" s="1"/>
  <c r="AJ113" i="2"/>
  <c r="AI113" i="2"/>
  <c r="AH113" i="2"/>
  <c r="AG113" i="2"/>
  <c r="AE113" i="2"/>
  <c r="AO113" i="2" s="1"/>
  <c r="AD113" i="2"/>
  <c r="AN113" i="2" s="1"/>
  <c r="AC113" i="2"/>
  <c r="AB113" i="2"/>
  <c r="AL113" i="2" s="1"/>
  <c r="AJ112" i="2"/>
  <c r="AI112" i="2"/>
  <c r="AH112" i="2"/>
  <c r="AG112" i="2"/>
  <c r="AE112" i="2"/>
  <c r="AO112" i="2" s="1"/>
  <c r="AD112" i="2"/>
  <c r="AN112" i="2" s="1"/>
  <c r="AC112" i="2"/>
  <c r="AM112" i="2" s="1"/>
  <c r="AB112" i="2"/>
  <c r="AL112" i="2" s="1"/>
  <c r="AJ111" i="2"/>
  <c r="AI111" i="2"/>
  <c r="AH111" i="2"/>
  <c r="AG111" i="2"/>
  <c r="AE111" i="2"/>
  <c r="AO111" i="2" s="1"/>
  <c r="AD111" i="2"/>
  <c r="AN111" i="2" s="1"/>
  <c r="AC111" i="2"/>
  <c r="AB111" i="2"/>
  <c r="AL111" i="2" s="1"/>
  <c r="AJ110" i="2"/>
  <c r="AI110" i="2"/>
  <c r="AH110" i="2"/>
  <c r="AG110" i="2"/>
  <c r="AE110" i="2"/>
  <c r="AO110" i="2" s="1"/>
  <c r="AD110" i="2"/>
  <c r="AN110" i="2" s="1"/>
  <c r="AC110" i="2"/>
  <c r="AM110" i="2" s="1"/>
  <c r="AB110" i="2"/>
  <c r="AJ109" i="2"/>
  <c r="AI109" i="2"/>
  <c r="AH109" i="2"/>
  <c r="AG109" i="2"/>
  <c r="AE109" i="2"/>
  <c r="AO109" i="2" s="1"/>
  <c r="AD109" i="2"/>
  <c r="AN109" i="2" s="1"/>
  <c r="AC109" i="2"/>
  <c r="AM109" i="2" s="1"/>
  <c r="AB109" i="2"/>
  <c r="AL109" i="2" s="1"/>
  <c r="Y114" i="1"/>
  <c r="AD114" i="1" s="1"/>
  <c r="X114" i="1"/>
  <c r="W114" i="1"/>
  <c r="V114" i="1"/>
  <c r="U114" i="1"/>
  <c r="T114" i="1"/>
  <c r="S114" i="1"/>
  <c r="R114" i="1"/>
  <c r="BJ114" i="1" s="1"/>
  <c r="Q114" i="1"/>
  <c r="P114" i="1"/>
  <c r="O114" i="1"/>
  <c r="BG114" i="1" s="1"/>
  <c r="N114" i="1"/>
  <c r="M114" i="1"/>
  <c r="AI114" i="1" s="1"/>
  <c r="L114" i="1"/>
  <c r="K114" i="1"/>
  <c r="J114" i="1"/>
  <c r="AH114" i="1" s="1"/>
  <c r="I114" i="1"/>
  <c r="H114" i="1"/>
  <c r="G114" i="1"/>
  <c r="AG114" i="1" s="1"/>
  <c r="F114" i="1"/>
  <c r="E114" i="1"/>
  <c r="D114" i="1"/>
  <c r="AF114" i="1" s="1"/>
  <c r="C114" i="1"/>
  <c r="B114" i="1"/>
  <c r="Y113" i="1"/>
  <c r="AD113" i="1" s="1"/>
  <c r="X113" i="1"/>
  <c r="W113" i="1"/>
  <c r="V113" i="1"/>
  <c r="U113" i="1"/>
  <c r="T113" i="1"/>
  <c r="S113" i="1"/>
  <c r="R113" i="1"/>
  <c r="BJ113" i="1" s="1"/>
  <c r="Q113" i="1"/>
  <c r="P113" i="1"/>
  <c r="O113" i="1"/>
  <c r="BG113" i="1" s="1"/>
  <c r="N113" i="1"/>
  <c r="M113" i="1"/>
  <c r="AI113" i="1" s="1"/>
  <c r="L113" i="1"/>
  <c r="K113" i="1"/>
  <c r="J113" i="1"/>
  <c r="AH113" i="1" s="1"/>
  <c r="I113" i="1"/>
  <c r="H113" i="1"/>
  <c r="G113" i="1"/>
  <c r="AG113" i="1" s="1"/>
  <c r="F113" i="1"/>
  <c r="E113" i="1"/>
  <c r="D113" i="1"/>
  <c r="AF113" i="1" s="1"/>
  <c r="C113" i="1"/>
  <c r="B113" i="1"/>
  <c r="Y112" i="1"/>
  <c r="AD112" i="1" s="1"/>
  <c r="X112" i="1"/>
  <c r="W112" i="1"/>
  <c r="V112" i="1"/>
  <c r="U112" i="1"/>
  <c r="T112" i="1"/>
  <c r="S112" i="1"/>
  <c r="R112" i="1"/>
  <c r="BJ112" i="1" s="1"/>
  <c r="Q112" i="1"/>
  <c r="P112" i="1"/>
  <c r="O112" i="1"/>
  <c r="BG112" i="1" s="1"/>
  <c r="N112" i="1"/>
  <c r="M112" i="1"/>
  <c r="AI112" i="1" s="1"/>
  <c r="L112" i="1"/>
  <c r="K112" i="1"/>
  <c r="J112" i="1"/>
  <c r="AH112" i="1" s="1"/>
  <c r="I112" i="1"/>
  <c r="H112" i="1"/>
  <c r="G112" i="1"/>
  <c r="AG112" i="1" s="1"/>
  <c r="F112" i="1"/>
  <c r="E112" i="1"/>
  <c r="D112" i="1"/>
  <c r="AF112" i="1" s="1"/>
  <c r="C112" i="1"/>
  <c r="B112" i="1"/>
  <c r="Y111" i="1"/>
  <c r="AD111" i="1" s="1"/>
  <c r="X111" i="1"/>
  <c r="W111" i="1"/>
  <c r="V111" i="1"/>
  <c r="U111" i="1"/>
  <c r="T111" i="1"/>
  <c r="S111" i="1"/>
  <c r="R111" i="1"/>
  <c r="BJ111" i="1" s="1"/>
  <c r="Q111" i="1"/>
  <c r="P111" i="1"/>
  <c r="O111" i="1"/>
  <c r="BG111" i="1" s="1"/>
  <c r="N111" i="1"/>
  <c r="M111" i="1"/>
  <c r="AI111" i="1" s="1"/>
  <c r="L111" i="1"/>
  <c r="K111" i="1"/>
  <c r="J111" i="1"/>
  <c r="AH111" i="1" s="1"/>
  <c r="I111" i="1"/>
  <c r="H111" i="1"/>
  <c r="G111" i="1"/>
  <c r="AG111" i="1" s="1"/>
  <c r="F111" i="1"/>
  <c r="E111" i="1"/>
  <c r="D111" i="1"/>
  <c r="AF111" i="1" s="1"/>
  <c r="C111" i="1"/>
  <c r="B111" i="1"/>
  <c r="Y110" i="1"/>
  <c r="AD110" i="1" s="1"/>
  <c r="X110" i="1"/>
  <c r="W110" i="1"/>
  <c r="V110" i="1"/>
  <c r="U110" i="1"/>
  <c r="T110" i="1"/>
  <c r="S110" i="1"/>
  <c r="R110" i="1"/>
  <c r="BJ110" i="1" s="1"/>
  <c r="Q110" i="1"/>
  <c r="P110" i="1"/>
  <c r="O110" i="1"/>
  <c r="BG110" i="1" s="1"/>
  <c r="N110" i="1"/>
  <c r="M110" i="1"/>
  <c r="AI110" i="1" s="1"/>
  <c r="L110" i="1"/>
  <c r="K110" i="1"/>
  <c r="J110" i="1"/>
  <c r="AH110" i="1" s="1"/>
  <c r="I110" i="1"/>
  <c r="H110" i="1"/>
  <c r="G110" i="1"/>
  <c r="F110" i="1"/>
  <c r="E110" i="1"/>
  <c r="D110" i="1"/>
  <c r="AF110" i="1" s="1"/>
  <c r="C110" i="1"/>
  <c r="B110" i="1"/>
  <c r="Y109" i="1"/>
  <c r="X109" i="1"/>
  <c r="W109" i="1"/>
  <c r="V109" i="1"/>
  <c r="U109" i="1"/>
  <c r="T109" i="1"/>
  <c r="S109" i="1"/>
  <c r="R109" i="1"/>
  <c r="BJ109" i="1" s="1"/>
  <c r="Q109" i="1"/>
  <c r="P109" i="1"/>
  <c r="BH109" i="1" s="1"/>
  <c r="O109" i="1"/>
  <c r="BG109" i="1" s="1"/>
  <c r="N109" i="1"/>
  <c r="M109" i="1"/>
  <c r="L109" i="1"/>
  <c r="K109" i="1"/>
  <c r="J109" i="1"/>
  <c r="I109" i="1"/>
  <c r="H109" i="1"/>
  <c r="G109" i="1"/>
  <c r="AG109" i="1" s="1"/>
  <c r="F109" i="1"/>
  <c r="E109" i="1"/>
  <c r="D109" i="1"/>
  <c r="AF109" i="1" s="1"/>
  <c r="C109" i="1"/>
  <c r="B109" i="1"/>
  <c r="AI108" i="1"/>
  <c r="AI119" i="1" s="1"/>
  <c r="AH108" i="1"/>
  <c r="AH119" i="1" s="1"/>
  <c r="AG108" i="1"/>
  <c r="AG119" i="1" s="1"/>
  <c r="AF108" i="1"/>
  <c r="AF119" i="1" s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Y103" i="1"/>
  <c r="BQ103" i="1" s="1"/>
  <c r="X103" i="1"/>
  <c r="BP103" i="1" s="1"/>
  <c r="W103" i="1"/>
  <c r="BO103" i="1" s="1"/>
  <c r="V103" i="1"/>
  <c r="BN103" i="1" s="1"/>
  <c r="U103" i="1"/>
  <c r="BM103" i="1" s="1"/>
  <c r="T103" i="1"/>
  <c r="BL103" i="1" s="1"/>
  <c r="S103" i="1"/>
  <c r="BK103" i="1" s="1"/>
  <c r="R103" i="1"/>
  <c r="BJ103" i="1" s="1"/>
  <c r="Q103" i="1"/>
  <c r="P103" i="1"/>
  <c r="BH103" i="1" s="1"/>
  <c r="O103" i="1"/>
  <c r="BG103" i="1" s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Y102" i="1"/>
  <c r="BQ102" i="1" s="1"/>
  <c r="X102" i="1"/>
  <c r="BP102" i="1" s="1"/>
  <c r="W102" i="1"/>
  <c r="BO102" i="1" s="1"/>
  <c r="V102" i="1"/>
  <c r="BN102" i="1" s="1"/>
  <c r="U102" i="1"/>
  <c r="BM102" i="1" s="1"/>
  <c r="T102" i="1"/>
  <c r="BL102" i="1" s="1"/>
  <c r="S102" i="1"/>
  <c r="BK102" i="1" s="1"/>
  <c r="R102" i="1"/>
  <c r="BJ102" i="1" s="1"/>
  <c r="Q102" i="1"/>
  <c r="P102" i="1"/>
  <c r="BH102" i="1" s="1"/>
  <c r="O102" i="1"/>
  <c r="BG102" i="1" s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Y101" i="1"/>
  <c r="BQ101" i="1" s="1"/>
  <c r="X101" i="1"/>
  <c r="BP101" i="1" s="1"/>
  <c r="W101" i="1"/>
  <c r="BO101" i="1" s="1"/>
  <c r="V101" i="1"/>
  <c r="BN101" i="1" s="1"/>
  <c r="U101" i="1"/>
  <c r="BM101" i="1" s="1"/>
  <c r="T101" i="1"/>
  <c r="BL101" i="1" s="1"/>
  <c r="S101" i="1"/>
  <c r="BK101" i="1" s="1"/>
  <c r="R101" i="1"/>
  <c r="BJ101" i="1" s="1"/>
  <c r="Q101" i="1"/>
  <c r="P101" i="1"/>
  <c r="BH101" i="1" s="1"/>
  <c r="O101" i="1"/>
  <c r="BG101" i="1" s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Y100" i="1"/>
  <c r="BQ100" i="1" s="1"/>
  <c r="X100" i="1"/>
  <c r="BP100" i="1" s="1"/>
  <c r="W100" i="1"/>
  <c r="BO100" i="1" s="1"/>
  <c r="V100" i="1"/>
  <c r="BN100" i="1" s="1"/>
  <c r="U100" i="1"/>
  <c r="BM100" i="1" s="1"/>
  <c r="T100" i="1"/>
  <c r="BL100" i="1" s="1"/>
  <c r="S100" i="1"/>
  <c r="BK100" i="1" s="1"/>
  <c r="R100" i="1"/>
  <c r="BJ100" i="1" s="1"/>
  <c r="Q100" i="1"/>
  <c r="P100" i="1"/>
  <c r="BH100" i="1" s="1"/>
  <c r="O100" i="1"/>
  <c r="BG100" i="1" s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Y99" i="1"/>
  <c r="BQ99" i="1" s="1"/>
  <c r="X99" i="1"/>
  <c r="BP99" i="1" s="1"/>
  <c r="W99" i="1"/>
  <c r="BO99" i="1" s="1"/>
  <c r="V99" i="1"/>
  <c r="BN99" i="1" s="1"/>
  <c r="U99" i="1"/>
  <c r="BM99" i="1" s="1"/>
  <c r="T99" i="1"/>
  <c r="BL99" i="1" s="1"/>
  <c r="S99" i="1"/>
  <c r="BK99" i="1" s="1"/>
  <c r="R99" i="1"/>
  <c r="BJ99" i="1" s="1"/>
  <c r="Q99" i="1"/>
  <c r="P99" i="1"/>
  <c r="BH99" i="1" s="1"/>
  <c r="O99" i="1"/>
  <c r="BG99" i="1" s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Y98" i="1"/>
  <c r="BQ98" i="1" s="1"/>
  <c r="X98" i="1"/>
  <c r="BP98" i="1" s="1"/>
  <c r="W98" i="1"/>
  <c r="BO98" i="1" s="1"/>
  <c r="V98" i="1"/>
  <c r="BN98" i="1" s="1"/>
  <c r="U98" i="1"/>
  <c r="BM98" i="1" s="1"/>
  <c r="T98" i="1"/>
  <c r="BL98" i="1" s="1"/>
  <c r="S98" i="1"/>
  <c r="BK98" i="1" s="1"/>
  <c r="R98" i="1"/>
  <c r="BJ98" i="1" s="1"/>
  <c r="Q98" i="1"/>
  <c r="P98" i="1"/>
  <c r="BH98" i="1" s="1"/>
  <c r="O98" i="1"/>
  <c r="BG98" i="1" s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Y97" i="1"/>
  <c r="BQ97" i="1" s="1"/>
  <c r="X97" i="1"/>
  <c r="BP97" i="1" s="1"/>
  <c r="W97" i="1"/>
  <c r="BO97" i="1" s="1"/>
  <c r="V97" i="1"/>
  <c r="BN97" i="1" s="1"/>
  <c r="U97" i="1"/>
  <c r="BM97" i="1" s="1"/>
  <c r="T97" i="1"/>
  <c r="BL97" i="1" s="1"/>
  <c r="S97" i="1"/>
  <c r="BK97" i="1" s="1"/>
  <c r="R97" i="1"/>
  <c r="BJ97" i="1" s="1"/>
  <c r="Q97" i="1"/>
  <c r="P97" i="1"/>
  <c r="BH97" i="1" s="1"/>
  <c r="O97" i="1"/>
  <c r="BG97" i="1" s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E96" i="1"/>
  <c r="AE108" i="1" s="1"/>
  <c r="AE119" i="1" s="1"/>
  <c r="Z96" i="1"/>
  <c r="Z105" i="3"/>
  <c r="BR105" i="3" s="1"/>
  <c r="Y105" i="3"/>
  <c r="BQ105" i="3" s="1"/>
  <c r="X105" i="3"/>
  <c r="BP105" i="3" s="1"/>
  <c r="W105" i="3"/>
  <c r="BO105" i="3" s="1"/>
  <c r="V105" i="3"/>
  <c r="BN105" i="3" s="1"/>
  <c r="U105" i="3"/>
  <c r="T105" i="3"/>
  <c r="BL105" i="3" s="1"/>
  <c r="S105" i="3"/>
  <c r="BK105" i="3" s="1"/>
  <c r="R105" i="3"/>
  <c r="Q105" i="3"/>
  <c r="BI105" i="3" s="1"/>
  <c r="P105" i="3"/>
  <c r="BH105" i="3" s="1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AJ103" i="3"/>
  <c r="AI103" i="3"/>
  <c r="AH103" i="3"/>
  <c r="AG103" i="3"/>
  <c r="AE103" i="3"/>
  <c r="AD103" i="3"/>
  <c r="AC103" i="3"/>
  <c r="AB103" i="3"/>
  <c r="AL103" i="3" s="1"/>
  <c r="AJ102" i="3"/>
  <c r="AI102" i="3"/>
  <c r="AH102" i="3"/>
  <c r="AG102" i="3"/>
  <c r="AE102" i="3"/>
  <c r="AD102" i="3"/>
  <c r="AC102" i="3"/>
  <c r="AB102" i="3"/>
  <c r="AJ101" i="3"/>
  <c r="AI101" i="3"/>
  <c r="AH101" i="3"/>
  <c r="AG101" i="3"/>
  <c r="AE101" i="3"/>
  <c r="AD101" i="3"/>
  <c r="AC101" i="3"/>
  <c r="AB101" i="3"/>
  <c r="AL101" i="3" s="1"/>
  <c r="AJ100" i="3"/>
  <c r="AI100" i="3"/>
  <c r="AH100" i="3"/>
  <c r="AG100" i="3"/>
  <c r="AE100" i="3"/>
  <c r="AD100" i="3"/>
  <c r="AC100" i="3"/>
  <c r="AB100" i="3"/>
  <c r="AJ99" i="3"/>
  <c r="AI99" i="3"/>
  <c r="AH99" i="3"/>
  <c r="AG99" i="3"/>
  <c r="AE99" i="3"/>
  <c r="AD99" i="3"/>
  <c r="AC99" i="3"/>
  <c r="AB99" i="3"/>
  <c r="AL99" i="3" s="1"/>
  <c r="AJ98" i="3"/>
  <c r="AI98" i="3"/>
  <c r="AH98" i="3"/>
  <c r="AG98" i="3"/>
  <c r="AE98" i="3"/>
  <c r="AD98" i="3"/>
  <c r="AC98" i="3"/>
  <c r="AB98" i="3"/>
  <c r="AJ97" i="3"/>
  <c r="AI97" i="3"/>
  <c r="AH97" i="3"/>
  <c r="AG97" i="3"/>
  <c r="AG105" i="3" s="1"/>
  <c r="AE97" i="3"/>
  <c r="AD97" i="3"/>
  <c r="AC97" i="3"/>
  <c r="AB97" i="3"/>
  <c r="AF96" i="3"/>
  <c r="AF108" i="3" s="1"/>
  <c r="AF120" i="3" s="1"/>
  <c r="AA96" i="3"/>
  <c r="AA108" i="3" s="1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Z105" i="2"/>
  <c r="BR105" i="2" s="1"/>
  <c r="Y105" i="2"/>
  <c r="BQ105" i="2" s="1"/>
  <c r="X105" i="2"/>
  <c r="BP105" i="2" s="1"/>
  <c r="W105" i="2"/>
  <c r="BO105" i="2" s="1"/>
  <c r="V105" i="2"/>
  <c r="BN105" i="2" s="1"/>
  <c r="U105" i="2"/>
  <c r="BM105" i="2" s="1"/>
  <c r="T105" i="2"/>
  <c r="BL105" i="2" s="1"/>
  <c r="S105" i="2"/>
  <c r="BK105" i="2" s="1"/>
  <c r="R105" i="2"/>
  <c r="BJ105" i="2" s="1"/>
  <c r="Q105" i="2"/>
  <c r="BI105" i="2" s="1"/>
  <c r="P105" i="2"/>
  <c r="BH105" i="2" s="1"/>
  <c r="O105" i="2"/>
  <c r="BG105" i="2" s="1"/>
  <c r="N105" i="2"/>
  <c r="M105" i="2"/>
  <c r="L105" i="2"/>
  <c r="K105" i="2"/>
  <c r="J105" i="2"/>
  <c r="I105" i="2"/>
  <c r="H105" i="2"/>
  <c r="G105" i="2"/>
  <c r="F105" i="2"/>
  <c r="E105" i="2"/>
  <c r="D105" i="2"/>
  <c r="C105" i="2"/>
  <c r="AJ103" i="2"/>
  <c r="AI103" i="2"/>
  <c r="AH103" i="2"/>
  <c r="AG103" i="2"/>
  <c r="AE103" i="2"/>
  <c r="AD103" i="2"/>
  <c r="AC103" i="2"/>
  <c r="AB103" i="2"/>
  <c r="AL103" i="2" s="1"/>
  <c r="AJ102" i="2"/>
  <c r="AI102" i="2"/>
  <c r="AH102" i="2"/>
  <c r="AG102" i="2"/>
  <c r="AE102" i="2"/>
  <c r="AD102" i="2"/>
  <c r="AC102" i="2"/>
  <c r="AM102" i="2" s="1"/>
  <c r="AB102" i="2"/>
  <c r="AJ101" i="2"/>
  <c r="AI101" i="2"/>
  <c r="AH101" i="2"/>
  <c r="AG101" i="2"/>
  <c r="AE101" i="2"/>
  <c r="AD101" i="2"/>
  <c r="AC101" i="2"/>
  <c r="AM101" i="2" s="1"/>
  <c r="AB101" i="2"/>
  <c r="AL101" i="2" s="1"/>
  <c r="AJ100" i="2"/>
  <c r="AI100" i="2"/>
  <c r="AH100" i="2"/>
  <c r="AG100" i="2"/>
  <c r="AE100" i="2"/>
  <c r="AD100" i="2"/>
  <c r="AC100" i="2"/>
  <c r="AB100" i="2"/>
  <c r="AL100" i="2" s="1"/>
  <c r="AJ99" i="2"/>
  <c r="AI99" i="2"/>
  <c r="AH99" i="2"/>
  <c r="AG99" i="2"/>
  <c r="AE99" i="2"/>
  <c r="AD99" i="2"/>
  <c r="AC99" i="2"/>
  <c r="AM99" i="2" s="1"/>
  <c r="AB99" i="2"/>
  <c r="AL99" i="2" s="1"/>
  <c r="AJ98" i="2"/>
  <c r="AI98" i="2"/>
  <c r="AH98" i="2"/>
  <c r="AG98" i="2"/>
  <c r="AE98" i="2"/>
  <c r="AD98" i="2"/>
  <c r="AC98" i="2"/>
  <c r="AB98" i="2"/>
  <c r="AJ97" i="2"/>
  <c r="AI97" i="2"/>
  <c r="AH97" i="2"/>
  <c r="AG97" i="2"/>
  <c r="AE97" i="2"/>
  <c r="AD97" i="2"/>
  <c r="AC97" i="2"/>
  <c r="AB97" i="2"/>
  <c r="AC116" i="2" l="1"/>
  <c r="BL116" i="2"/>
  <c r="BM116" i="3"/>
  <c r="BU116" i="3"/>
  <c r="BM105" i="3"/>
  <c r="BU105" i="3"/>
  <c r="BL112" i="1"/>
  <c r="BT112" i="1"/>
  <c r="BL113" i="1"/>
  <c r="BT113" i="1"/>
  <c r="BL114" i="1"/>
  <c r="BT114" i="1"/>
  <c r="BL109" i="1"/>
  <c r="BT109" i="1"/>
  <c r="BL110" i="1"/>
  <c r="BT110" i="1"/>
  <c r="BL111" i="1"/>
  <c r="BT111" i="1"/>
  <c r="AL98" i="3"/>
  <c r="AC121" i="1"/>
  <c r="AM121" i="1" s="1"/>
  <c r="Z121" i="1"/>
  <c r="BV121" i="1" s="1"/>
  <c r="AJ125" i="1"/>
  <c r="AC123" i="1"/>
  <c r="Z123" i="1"/>
  <c r="BV123" i="1" s="1"/>
  <c r="AC124" i="1"/>
  <c r="Z124" i="1"/>
  <c r="BV124" i="1" s="1"/>
  <c r="AL123" i="2"/>
  <c r="AN97" i="2"/>
  <c r="AB116" i="2"/>
  <c r="BI116" i="2"/>
  <c r="AC116" i="3"/>
  <c r="AM116" i="3" s="1"/>
  <c r="BL116" i="3"/>
  <c r="AO121" i="3"/>
  <c r="AB109" i="1"/>
  <c r="AL109" i="1" s="1"/>
  <c r="BK109" i="1"/>
  <c r="AB110" i="1"/>
  <c r="BK110" i="1"/>
  <c r="AB111" i="1"/>
  <c r="AL111" i="1" s="1"/>
  <c r="BK111" i="1"/>
  <c r="AB112" i="1"/>
  <c r="AL112" i="1" s="1"/>
  <c r="BK112" i="1"/>
  <c r="AB113" i="1"/>
  <c r="AL113" i="1" s="1"/>
  <c r="BK113" i="1"/>
  <c r="AB114" i="1"/>
  <c r="AL114" i="1" s="1"/>
  <c r="BK114" i="1"/>
  <c r="BS126" i="1"/>
  <c r="BJ116" i="3"/>
  <c r="BT116" i="3"/>
  <c r="BJ105" i="3"/>
  <c r="BT105" i="3"/>
  <c r="AN97" i="3"/>
  <c r="AB116" i="3"/>
  <c r="AL116" i="3" s="1"/>
  <c r="BI116" i="3"/>
  <c r="AA110" i="1"/>
  <c r="AK110" i="1" s="1"/>
  <c r="BH110" i="1"/>
  <c r="AA111" i="1"/>
  <c r="AK111" i="1" s="1"/>
  <c r="BH111" i="1"/>
  <c r="AA112" i="1"/>
  <c r="AK112" i="1" s="1"/>
  <c r="BH112" i="1"/>
  <c r="AA113" i="1"/>
  <c r="AK113" i="1" s="1"/>
  <c r="BH113" i="1"/>
  <c r="AA114" i="1"/>
  <c r="AK114" i="1" s="1"/>
  <c r="BH114" i="1"/>
  <c r="BI97" i="1"/>
  <c r="BS97" i="1"/>
  <c r="BI98" i="1"/>
  <c r="BS98" i="1"/>
  <c r="BI99" i="1"/>
  <c r="BS99" i="1"/>
  <c r="BI100" i="1"/>
  <c r="BS100" i="1"/>
  <c r="BI101" i="1"/>
  <c r="BS101" i="1"/>
  <c r="BI102" i="1"/>
  <c r="BS102" i="1"/>
  <c r="BI103" i="1"/>
  <c r="BS103" i="1"/>
  <c r="BI109" i="1"/>
  <c r="BS109" i="1"/>
  <c r="BI110" i="1"/>
  <c r="BS110" i="1"/>
  <c r="BS111" i="1"/>
  <c r="BI111" i="1"/>
  <c r="BS112" i="1"/>
  <c r="BI112" i="1"/>
  <c r="BI113" i="1"/>
  <c r="BS113" i="1"/>
  <c r="BI114" i="1"/>
  <c r="BS114" i="1"/>
  <c r="AL122" i="3"/>
  <c r="AN98" i="3"/>
  <c r="AN99" i="3"/>
  <c r="AN100" i="3"/>
  <c r="AN101" i="3"/>
  <c r="AN102" i="3"/>
  <c r="AN103" i="3"/>
  <c r="AN98" i="2"/>
  <c r="AN99" i="2"/>
  <c r="AN100" i="2"/>
  <c r="AN101" i="2"/>
  <c r="AN102" i="2"/>
  <c r="AN103" i="2"/>
  <c r="AN121" i="1"/>
  <c r="AM114" i="3"/>
  <c r="AL123" i="1"/>
  <c r="AE110" i="1"/>
  <c r="AE112" i="1"/>
  <c r="AE113" i="1"/>
  <c r="AE114" i="1"/>
  <c r="AN120" i="1"/>
  <c r="AK124" i="1"/>
  <c r="AM99" i="3"/>
  <c r="BM127" i="3"/>
  <c r="AM101" i="3"/>
  <c r="AO116" i="3"/>
  <c r="BJ127" i="3"/>
  <c r="AM98" i="3"/>
  <c r="BG105" i="3"/>
  <c r="BS105" i="3"/>
  <c r="BG116" i="3"/>
  <c r="BS116" i="3"/>
  <c r="BG127" i="3"/>
  <c r="BS127" i="3"/>
  <c r="AM97" i="3"/>
  <c r="AM102" i="3"/>
  <c r="AM103" i="3"/>
  <c r="BP127" i="3"/>
  <c r="BV127" i="3"/>
  <c r="BL122" i="1"/>
  <c r="BT122" i="1"/>
  <c r="AC122" i="1"/>
  <c r="AM122" i="1" s="1"/>
  <c r="BL123" i="1"/>
  <c r="BT123" i="1"/>
  <c r="AM111" i="2"/>
  <c r="AO116" i="2"/>
  <c r="BI126" i="1"/>
  <c r="BL120" i="1"/>
  <c r="BT120" i="1"/>
  <c r="BL124" i="1"/>
  <c r="BT124" i="1"/>
  <c r="AM122" i="2"/>
  <c r="Z97" i="1"/>
  <c r="BV97" i="1" s="1"/>
  <c r="BF97" i="1"/>
  <c r="BR97" i="1"/>
  <c r="Z98" i="1"/>
  <c r="BV98" i="1" s="1"/>
  <c r="BF98" i="1"/>
  <c r="BR98" i="1"/>
  <c r="Z99" i="1"/>
  <c r="BV99" i="1" s="1"/>
  <c r="BF99" i="1"/>
  <c r="BR99" i="1"/>
  <c r="Z100" i="1"/>
  <c r="BV100" i="1" s="1"/>
  <c r="BF100" i="1"/>
  <c r="BR100" i="1"/>
  <c r="Z101" i="1"/>
  <c r="BV101" i="1" s="1"/>
  <c r="BF101" i="1"/>
  <c r="BR101" i="1"/>
  <c r="Z102" i="1"/>
  <c r="BV102" i="1" s="1"/>
  <c r="BF102" i="1"/>
  <c r="BR102" i="1"/>
  <c r="Z103" i="1"/>
  <c r="BV103" i="1" s="1"/>
  <c r="BF103" i="1"/>
  <c r="BR103" i="1"/>
  <c r="BF109" i="1"/>
  <c r="BR109" i="1"/>
  <c r="BF110" i="1"/>
  <c r="BR110" i="1"/>
  <c r="BF111" i="1"/>
  <c r="BR111" i="1"/>
  <c r="BF112" i="1"/>
  <c r="BR112" i="1"/>
  <c r="BF113" i="1"/>
  <c r="BR113" i="1"/>
  <c r="BF114" i="1"/>
  <c r="BR114" i="1"/>
  <c r="AN116" i="2"/>
  <c r="AN123" i="1"/>
  <c r="AM124" i="1"/>
  <c r="BF126" i="1"/>
  <c r="BR126" i="1"/>
  <c r="BO126" i="1"/>
  <c r="BU126" i="1"/>
  <c r="BL121" i="1"/>
  <c r="BT121" i="1"/>
  <c r="BL125" i="1"/>
  <c r="BT125" i="1"/>
  <c r="AO97" i="3"/>
  <c r="BV97" i="3"/>
  <c r="AO98" i="3"/>
  <c r="BV98" i="3"/>
  <c r="AO99" i="3"/>
  <c r="BV99" i="3"/>
  <c r="AO100" i="3"/>
  <c r="BV100" i="3"/>
  <c r="AO101" i="3"/>
  <c r="BV101" i="3"/>
  <c r="AO102" i="3"/>
  <c r="BV102" i="3"/>
  <c r="AO103" i="3"/>
  <c r="BV103" i="3"/>
  <c r="AO97" i="2"/>
  <c r="AO98" i="2"/>
  <c r="AO99" i="2"/>
  <c r="AO100" i="2"/>
  <c r="AO101" i="2"/>
  <c r="AO102" i="2"/>
  <c r="AO103" i="2"/>
  <c r="AN125" i="1"/>
  <c r="AN111" i="1"/>
  <c r="AN114" i="1"/>
  <c r="AN122" i="1"/>
  <c r="AM123" i="1"/>
  <c r="AN110" i="1"/>
  <c r="AN112" i="1"/>
  <c r="AN113" i="1"/>
  <c r="AN124" i="1"/>
  <c r="AL124" i="3"/>
  <c r="AH127" i="3"/>
  <c r="T126" i="1"/>
  <c r="Z126" i="1" s="1"/>
  <c r="BV126" i="1" s="1"/>
  <c r="AL112" i="3"/>
  <c r="AL122" i="2"/>
  <c r="AL102" i="3"/>
  <c r="AG99" i="1"/>
  <c r="AJ127" i="3"/>
  <c r="AE111" i="1"/>
  <c r="AI127" i="3"/>
  <c r="AH126" i="1"/>
  <c r="AM124" i="2"/>
  <c r="AM123" i="3"/>
  <c r="AL125" i="1"/>
  <c r="AK120" i="1"/>
  <c r="AL121" i="3"/>
  <c r="AG127" i="3"/>
  <c r="AK122" i="1"/>
  <c r="AC120" i="1"/>
  <c r="AM120" i="1" s="1"/>
  <c r="AM109" i="3"/>
  <c r="AM112" i="3"/>
  <c r="AM113" i="3"/>
  <c r="AM125" i="3"/>
  <c r="AM121" i="3"/>
  <c r="AL109" i="3"/>
  <c r="AL110" i="3"/>
  <c r="AL113" i="3"/>
  <c r="AL114" i="3"/>
  <c r="AI126" i="1"/>
  <c r="AL120" i="1"/>
  <c r="AL122" i="1"/>
  <c r="AK123" i="1"/>
  <c r="AL124" i="1"/>
  <c r="AB126" i="1"/>
  <c r="AK121" i="1"/>
  <c r="AG126" i="1"/>
  <c r="AK125" i="1"/>
  <c r="AE127" i="3"/>
  <c r="AC111" i="1"/>
  <c r="AM111" i="1" s="1"/>
  <c r="AE127" i="2"/>
  <c r="AC113" i="1"/>
  <c r="AM113" i="1" s="1"/>
  <c r="AC114" i="1"/>
  <c r="AM114" i="1" s="1"/>
  <c r="AC112" i="1"/>
  <c r="AM112" i="1" s="1"/>
  <c r="AC109" i="1"/>
  <c r="AC110" i="1"/>
  <c r="AM110" i="1" s="1"/>
  <c r="AE105" i="3"/>
  <c r="AA127" i="3"/>
  <c r="BW127" i="3" s="1"/>
  <c r="AD116" i="3"/>
  <c r="AN116" i="3" s="1"/>
  <c r="AD127" i="3"/>
  <c r="AD126" i="1"/>
  <c r="Z110" i="1"/>
  <c r="Z111" i="1"/>
  <c r="BV111" i="1" s="1"/>
  <c r="Z112" i="1"/>
  <c r="Z113" i="1"/>
  <c r="Z114" i="1"/>
  <c r="AJ122" i="1"/>
  <c r="AJ121" i="1"/>
  <c r="AA126" i="1"/>
  <c r="AK126" i="1" s="1"/>
  <c r="AE126" i="1"/>
  <c r="AL121" i="1"/>
  <c r="AJ120" i="1"/>
  <c r="AL97" i="3"/>
  <c r="AH105" i="3"/>
  <c r="AM100" i="3"/>
  <c r="AB127" i="3"/>
  <c r="AC127" i="3"/>
  <c r="AM121" i="2"/>
  <c r="AL126" i="2"/>
  <c r="AM126" i="2"/>
  <c r="AD127" i="2"/>
  <c r="AM125" i="2"/>
  <c r="AC127" i="2"/>
  <c r="AH98" i="1"/>
  <c r="AH101" i="1"/>
  <c r="AC101" i="1"/>
  <c r="BT101" i="1" s="1"/>
  <c r="AG127" i="2"/>
  <c r="AI127" i="2"/>
  <c r="AG105" i="2"/>
  <c r="AB127" i="2"/>
  <c r="AH127" i="2"/>
  <c r="AC105" i="2"/>
  <c r="AL102" i="2"/>
  <c r="AL116" i="2"/>
  <c r="AJ127" i="2"/>
  <c r="AL121" i="2"/>
  <c r="AB98" i="1"/>
  <c r="AG100" i="1"/>
  <c r="AB100" i="1"/>
  <c r="AG101" i="1"/>
  <c r="AA99" i="1"/>
  <c r="AE103" i="1"/>
  <c r="AA103" i="1"/>
  <c r="AD98" i="1"/>
  <c r="BU98" i="1" s="1"/>
  <c r="AI99" i="1"/>
  <c r="AI102" i="1"/>
  <c r="AD102" i="1"/>
  <c r="BU102" i="1" s="1"/>
  <c r="AI103" i="1"/>
  <c r="AL97" i="2"/>
  <c r="B105" i="1"/>
  <c r="F105" i="1"/>
  <c r="J105" i="1"/>
  <c r="N105" i="1"/>
  <c r="R105" i="1"/>
  <c r="BJ105" i="1" s="1"/>
  <c r="V105" i="1"/>
  <c r="BN105" i="1" s="1"/>
  <c r="AA97" i="1"/>
  <c r="E105" i="1"/>
  <c r="I105" i="1"/>
  <c r="M105" i="1"/>
  <c r="U105" i="1"/>
  <c r="BM105" i="1" s="1"/>
  <c r="Y105" i="1"/>
  <c r="BQ105" i="1" s="1"/>
  <c r="H116" i="1"/>
  <c r="L116" i="1"/>
  <c r="P116" i="1"/>
  <c r="T116" i="1"/>
  <c r="X116" i="1"/>
  <c r="K105" i="1"/>
  <c r="O105" i="1"/>
  <c r="BG105" i="1" s="1"/>
  <c r="S105" i="1"/>
  <c r="BK105" i="1" s="1"/>
  <c r="AA98" i="1"/>
  <c r="AF99" i="1"/>
  <c r="AH99" i="1"/>
  <c r="AD99" i="1"/>
  <c r="BU99" i="1" s="1"/>
  <c r="AF101" i="1"/>
  <c r="AB101" i="1"/>
  <c r="AA101" i="1"/>
  <c r="AD103" i="1"/>
  <c r="E116" i="1"/>
  <c r="U116" i="1"/>
  <c r="Y116" i="1"/>
  <c r="AD116" i="1" s="1"/>
  <c r="AH105" i="2"/>
  <c r="AE105" i="2"/>
  <c r="C105" i="1"/>
  <c r="G105" i="1"/>
  <c r="AM98" i="2"/>
  <c r="AM100" i="2"/>
  <c r="AM103" i="2"/>
  <c r="AC97" i="1"/>
  <c r="BT97" i="1" s="1"/>
  <c r="AI98" i="1"/>
  <c r="L105" i="1"/>
  <c r="AE101" i="1"/>
  <c r="AD101" i="1"/>
  <c r="BU101" i="1" s="1"/>
  <c r="AH102" i="1"/>
  <c r="AA102" i="1"/>
  <c r="AG103" i="1"/>
  <c r="AB103" i="1"/>
  <c r="AC103" i="1"/>
  <c r="BT103" i="1" s="1"/>
  <c r="AL110" i="2"/>
  <c r="AM113" i="2"/>
  <c r="I116" i="1"/>
  <c r="M116" i="1"/>
  <c r="AI116" i="1" s="1"/>
  <c r="Q116" i="1"/>
  <c r="AM116" i="2"/>
  <c r="B116" i="1"/>
  <c r="F116" i="1"/>
  <c r="J116" i="1"/>
  <c r="AH116" i="1" s="1"/>
  <c r="N116" i="1"/>
  <c r="R116" i="1"/>
  <c r="BJ116" i="1" s="1"/>
  <c r="V116" i="1"/>
  <c r="Z109" i="1"/>
  <c r="BV109" i="1" s="1"/>
  <c r="C116" i="1"/>
  <c r="G116" i="1"/>
  <c r="AG116" i="1" s="1"/>
  <c r="K116" i="1"/>
  <c r="O116" i="1"/>
  <c r="BG116" i="1" s="1"/>
  <c r="S116" i="1"/>
  <c r="W116" i="1"/>
  <c r="AG110" i="1"/>
  <c r="AD109" i="1"/>
  <c r="AH109" i="1"/>
  <c r="AA109" i="1"/>
  <c r="AK109" i="1" s="1"/>
  <c r="AE109" i="1"/>
  <c r="AI109" i="1"/>
  <c r="D116" i="1"/>
  <c r="AF116" i="1" s="1"/>
  <c r="D105" i="1"/>
  <c r="AH100" i="1"/>
  <c r="H105" i="1"/>
  <c r="P105" i="1"/>
  <c r="BH105" i="1" s="1"/>
  <c r="AC100" i="1"/>
  <c r="BT100" i="1" s="1"/>
  <c r="T105" i="1"/>
  <c r="BL105" i="1" s="1"/>
  <c r="X105" i="1"/>
  <c r="BP105" i="1" s="1"/>
  <c r="AF102" i="1"/>
  <c r="AE102" i="1"/>
  <c r="AE97" i="1"/>
  <c r="AI97" i="1"/>
  <c r="AB99" i="1"/>
  <c r="AH103" i="1"/>
  <c r="W105" i="1"/>
  <c r="BO105" i="1" s="1"/>
  <c r="AD97" i="1"/>
  <c r="AG97" i="1"/>
  <c r="AF98" i="1"/>
  <c r="AE98" i="1"/>
  <c r="AE99" i="1"/>
  <c r="AC99" i="1"/>
  <c r="AE100" i="1"/>
  <c r="AI100" i="1"/>
  <c r="AA100" i="1"/>
  <c r="AD100" i="1"/>
  <c r="BU100" i="1" s="1"/>
  <c r="AF100" i="1"/>
  <c r="AI101" i="1"/>
  <c r="AG102" i="1"/>
  <c r="AB102" i="1"/>
  <c r="AC102" i="1"/>
  <c r="AH97" i="1"/>
  <c r="AC98" i="1"/>
  <c r="BT98" i="1" s="1"/>
  <c r="AG98" i="1"/>
  <c r="AF103" i="1"/>
  <c r="AB97" i="1"/>
  <c r="AF97" i="1"/>
  <c r="Q105" i="1"/>
  <c r="AC105" i="3"/>
  <c r="AD105" i="3"/>
  <c r="AA105" i="3"/>
  <c r="BW105" i="3" s="1"/>
  <c r="AI105" i="3"/>
  <c r="AB105" i="3"/>
  <c r="AL105" i="3" s="1"/>
  <c r="AJ105" i="3"/>
  <c r="AL100" i="3"/>
  <c r="AD105" i="2"/>
  <c r="AI105" i="2"/>
  <c r="AL98" i="2"/>
  <c r="AJ105" i="2"/>
  <c r="AB105" i="2"/>
  <c r="AM97" i="2"/>
  <c r="AL110" i="1" l="1"/>
  <c r="AJ123" i="1"/>
  <c r="BL116" i="1"/>
  <c r="BT116" i="1"/>
  <c r="AJ124" i="1"/>
  <c r="AK99" i="1"/>
  <c r="AB116" i="1"/>
  <c r="AL116" i="1" s="1"/>
  <c r="BK116" i="1"/>
  <c r="BS116" i="1"/>
  <c r="BI116" i="1"/>
  <c r="BI105" i="1"/>
  <c r="BS105" i="1"/>
  <c r="AA116" i="1"/>
  <c r="BH116" i="1"/>
  <c r="AN105" i="3"/>
  <c r="AO127" i="3"/>
  <c r="AN127" i="3"/>
  <c r="AM127" i="3"/>
  <c r="AN105" i="2"/>
  <c r="AN126" i="1"/>
  <c r="AO127" i="2"/>
  <c r="BF116" i="1"/>
  <c r="BR116" i="1"/>
  <c r="AN127" i="2"/>
  <c r="AM102" i="1"/>
  <c r="BT102" i="1"/>
  <c r="AK101" i="1"/>
  <c r="AM99" i="1"/>
  <c r="BT99" i="1"/>
  <c r="AM105" i="2"/>
  <c r="BF105" i="1"/>
  <c r="BR105" i="1"/>
  <c r="BL126" i="1"/>
  <c r="BT126" i="1"/>
  <c r="AJ112" i="1"/>
  <c r="BV112" i="1"/>
  <c r="AO105" i="2"/>
  <c r="AN103" i="1"/>
  <c r="BU103" i="1"/>
  <c r="AJ114" i="1"/>
  <c r="BV114" i="1"/>
  <c r="AJ110" i="1"/>
  <c r="BV110" i="1"/>
  <c r="AN97" i="1"/>
  <c r="BU97" i="1"/>
  <c r="AJ113" i="1"/>
  <c r="BV113" i="1"/>
  <c r="AO105" i="3"/>
  <c r="BV105" i="3"/>
  <c r="AM100" i="1"/>
  <c r="AM103" i="1"/>
  <c r="AN102" i="1"/>
  <c r="AN98" i="1"/>
  <c r="AM98" i="1"/>
  <c r="AN100" i="1"/>
  <c r="AN109" i="1"/>
  <c r="AN101" i="1"/>
  <c r="AM97" i="1"/>
  <c r="AN116" i="1"/>
  <c r="AN99" i="1"/>
  <c r="AL99" i="1"/>
  <c r="AM101" i="1"/>
  <c r="AM109" i="1"/>
  <c r="AC126" i="1"/>
  <c r="AM126" i="1" s="1"/>
  <c r="AE116" i="1"/>
  <c r="AJ111" i="1"/>
  <c r="AM105" i="3"/>
  <c r="AL100" i="1"/>
  <c r="AL101" i="1"/>
  <c r="AL127" i="3"/>
  <c r="AM127" i="2"/>
  <c r="AL126" i="1"/>
  <c r="AC116" i="1"/>
  <c r="AM116" i="1" s="1"/>
  <c r="AJ101" i="1"/>
  <c r="AJ126" i="1"/>
  <c r="Z116" i="1"/>
  <c r="BV116" i="1" s="1"/>
  <c r="AJ103" i="1"/>
  <c r="AL127" i="2"/>
  <c r="AL105" i="2"/>
  <c r="AK98" i="1"/>
  <c r="AL98" i="1"/>
  <c r="AL103" i="1"/>
  <c r="AK103" i="1"/>
  <c r="AC105" i="1"/>
  <c r="BT105" i="1" s="1"/>
  <c r="AK116" i="1"/>
  <c r="AK100" i="1"/>
  <c r="AJ98" i="1"/>
  <c r="AJ109" i="1"/>
  <c r="Z105" i="1"/>
  <c r="BV105" i="1" s="1"/>
  <c r="AJ97" i="1"/>
  <c r="AJ99" i="1"/>
  <c r="AJ102" i="1"/>
  <c r="AA105" i="1"/>
  <c r="AF105" i="1"/>
  <c r="AD105" i="1"/>
  <c r="BU105" i="1" s="1"/>
  <c r="AK102" i="1"/>
  <c r="AJ100" i="1"/>
  <c r="AK97" i="1"/>
  <c r="AG105" i="1"/>
  <c r="AI105" i="1"/>
  <c r="AB105" i="1"/>
  <c r="AL97" i="1"/>
  <c r="AH105" i="1"/>
  <c r="AL102" i="1"/>
  <c r="AE105" i="1"/>
  <c r="AN105" i="1" l="1"/>
  <c r="AJ116" i="1"/>
  <c r="AM105" i="1"/>
  <c r="AK105" i="1"/>
  <c r="AL105" i="1"/>
  <c r="AJ105" i="1"/>
  <c r="T92" i="2" l="1"/>
  <c r="BL92" i="2" s="1"/>
  <c r="AJ91" i="3" l="1"/>
  <c r="AI91" i="3"/>
  <c r="AH91" i="3"/>
  <c r="AG91" i="3"/>
  <c r="AJ90" i="3"/>
  <c r="AI90" i="3"/>
  <c r="AH90" i="3"/>
  <c r="AG90" i="3"/>
  <c r="AJ60" i="3"/>
  <c r="AI60" i="3"/>
  <c r="AH60" i="3"/>
  <c r="AG60" i="3"/>
  <c r="AJ59" i="3"/>
  <c r="AI59" i="3"/>
  <c r="AH59" i="3"/>
  <c r="AG59" i="3"/>
  <c r="AJ58" i="3"/>
  <c r="AI58" i="3"/>
  <c r="AH58" i="3"/>
  <c r="AG58" i="3"/>
  <c r="AJ57" i="3"/>
  <c r="AI57" i="3"/>
  <c r="AH57" i="3"/>
  <c r="AG57" i="3"/>
  <c r="AJ56" i="3"/>
  <c r="AI56" i="3"/>
  <c r="AH56" i="3"/>
  <c r="AG56" i="3"/>
  <c r="AJ55" i="3"/>
  <c r="AI55" i="3"/>
  <c r="AH55" i="3"/>
  <c r="AG55" i="3"/>
  <c r="AJ54" i="3"/>
  <c r="AI54" i="3"/>
  <c r="AH54" i="3"/>
  <c r="AH62" i="3" s="1"/>
  <c r="AG54" i="3"/>
  <c r="AG62" i="3" s="1"/>
  <c r="AJ36" i="3"/>
  <c r="AI36" i="3"/>
  <c r="AH36" i="3"/>
  <c r="AG36" i="3"/>
  <c r="AJ35" i="3"/>
  <c r="AJ71" i="3" s="1"/>
  <c r="AI35" i="3"/>
  <c r="AH35" i="3"/>
  <c r="AG35" i="3"/>
  <c r="AJ34" i="3"/>
  <c r="AI34" i="3"/>
  <c r="AH34" i="3"/>
  <c r="AG34" i="3"/>
  <c r="AJ33" i="3"/>
  <c r="AI33" i="3"/>
  <c r="AH33" i="3"/>
  <c r="AH69" i="3" s="1"/>
  <c r="AG33" i="3"/>
  <c r="AJ32" i="3"/>
  <c r="AI32" i="3"/>
  <c r="AH32" i="3"/>
  <c r="AG32" i="3"/>
  <c r="AJ31" i="3"/>
  <c r="AJ67" i="3" s="1"/>
  <c r="AI31" i="3"/>
  <c r="AH31" i="3"/>
  <c r="AG31" i="3"/>
  <c r="AJ30" i="3"/>
  <c r="AI30" i="3"/>
  <c r="AI39" i="3" s="1"/>
  <c r="AH30" i="3"/>
  <c r="AG30" i="3"/>
  <c r="AG39" i="3" s="1"/>
  <c r="AJ17" i="3"/>
  <c r="AJ29" i="3" s="1"/>
  <c r="AJ53" i="3" s="1"/>
  <c r="AJ77" i="3" s="1"/>
  <c r="AI17" i="3"/>
  <c r="AI41" i="3" s="1"/>
  <c r="AI65" i="3" s="1"/>
  <c r="AI89" i="3" s="1"/>
  <c r="AH17" i="3"/>
  <c r="AH41" i="3" s="1"/>
  <c r="AH65" i="3" s="1"/>
  <c r="AH89" i="3" s="1"/>
  <c r="AG17" i="3"/>
  <c r="AG41" i="3" s="1"/>
  <c r="AG65" i="3" s="1"/>
  <c r="AG89" i="3" s="1"/>
  <c r="AJ10" i="3"/>
  <c r="AH10" i="3"/>
  <c r="AG10" i="3"/>
  <c r="AJ9" i="3"/>
  <c r="AJ83" i="3" s="1"/>
  <c r="AH9" i="3"/>
  <c r="AG9" i="3"/>
  <c r="AJ8" i="3"/>
  <c r="AJ82" i="3" s="1"/>
  <c r="AH8" i="3"/>
  <c r="AG8" i="3"/>
  <c r="AJ7" i="3"/>
  <c r="AH7" i="3"/>
  <c r="AG7" i="3"/>
  <c r="AJ6" i="3"/>
  <c r="AH6" i="3"/>
  <c r="AG6" i="3"/>
  <c r="AJ5" i="3"/>
  <c r="AJ79" i="3" s="1"/>
  <c r="AH5" i="3"/>
  <c r="AG5" i="3"/>
  <c r="AJ4" i="3"/>
  <c r="AH4" i="3"/>
  <c r="AG4" i="3"/>
  <c r="AJ91" i="2"/>
  <c r="AI91" i="2"/>
  <c r="AH91" i="2"/>
  <c r="AG91" i="2"/>
  <c r="AJ90" i="2"/>
  <c r="AI90" i="2"/>
  <c r="AH90" i="2"/>
  <c r="AG90" i="2"/>
  <c r="AJ60" i="2"/>
  <c r="AI60" i="2"/>
  <c r="AH60" i="2"/>
  <c r="AH84" i="2" s="1"/>
  <c r="AG60" i="2"/>
  <c r="AJ59" i="2"/>
  <c r="AI59" i="2"/>
  <c r="AH59" i="2"/>
  <c r="AG59" i="2"/>
  <c r="AJ58" i="2"/>
  <c r="AI58" i="2"/>
  <c r="AH58" i="2"/>
  <c r="AG58" i="2"/>
  <c r="AJ57" i="2"/>
  <c r="AI57" i="2"/>
  <c r="AH57" i="2"/>
  <c r="AG57" i="2"/>
  <c r="AJ56" i="2"/>
  <c r="AI56" i="2"/>
  <c r="AH56" i="2"/>
  <c r="AG56" i="2"/>
  <c r="AJ55" i="2"/>
  <c r="AI55" i="2"/>
  <c r="AH55" i="2"/>
  <c r="AG55" i="2"/>
  <c r="AJ54" i="2"/>
  <c r="AI54" i="2"/>
  <c r="AH54" i="2"/>
  <c r="AH62" i="2" s="1"/>
  <c r="AG54" i="2"/>
  <c r="AJ36" i="2"/>
  <c r="AI36" i="2"/>
  <c r="AH36" i="2"/>
  <c r="AG36" i="2"/>
  <c r="AJ35" i="2"/>
  <c r="AI35" i="2"/>
  <c r="AH35" i="2"/>
  <c r="AH71" i="2" s="1"/>
  <c r="AG35" i="2"/>
  <c r="AJ34" i="2"/>
  <c r="AI34" i="2"/>
  <c r="AH34" i="2"/>
  <c r="AG34" i="2"/>
  <c r="AJ33" i="2"/>
  <c r="AI33" i="2"/>
  <c r="AH33" i="2"/>
  <c r="AG33" i="2"/>
  <c r="AJ32" i="2"/>
  <c r="AI32" i="2"/>
  <c r="AH32" i="2"/>
  <c r="AG32" i="2"/>
  <c r="AJ31" i="2"/>
  <c r="AI31" i="2"/>
  <c r="AH31" i="2"/>
  <c r="AG31" i="2"/>
  <c r="AJ30" i="2"/>
  <c r="AI30" i="2"/>
  <c r="AI39" i="2" s="1"/>
  <c r="AH30" i="2"/>
  <c r="AH39" i="2" s="1"/>
  <c r="AG30" i="2"/>
  <c r="AG39" i="2" s="1"/>
  <c r="AJ17" i="2"/>
  <c r="AJ29" i="2" s="1"/>
  <c r="AJ53" i="2" s="1"/>
  <c r="AJ77" i="2" s="1"/>
  <c r="AI17" i="2"/>
  <c r="AI41" i="2" s="1"/>
  <c r="AI65" i="2" s="1"/>
  <c r="AI89" i="2" s="1"/>
  <c r="AH17" i="2"/>
  <c r="AH41" i="2" s="1"/>
  <c r="AH65" i="2" s="1"/>
  <c r="AH89" i="2" s="1"/>
  <c r="AG17" i="2"/>
  <c r="AG41" i="2" s="1"/>
  <c r="AG65" i="2" s="1"/>
  <c r="AG89" i="2" s="1"/>
  <c r="AJ9" i="2"/>
  <c r="AH9" i="2"/>
  <c r="AG9" i="2"/>
  <c r="AJ8" i="2"/>
  <c r="AH8" i="2"/>
  <c r="AG8" i="2"/>
  <c r="AJ7" i="2"/>
  <c r="AH7" i="2"/>
  <c r="AG7" i="2"/>
  <c r="AG81" i="2" s="1"/>
  <c r="AJ6" i="2"/>
  <c r="AH6" i="2"/>
  <c r="AG6" i="2"/>
  <c r="AG80" i="2" s="1"/>
  <c r="AJ5" i="2"/>
  <c r="AH5" i="2"/>
  <c r="AG5" i="2"/>
  <c r="AG79" i="2" s="1"/>
  <c r="AJ4" i="2"/>
  <c r="AH4" i="2"/>
  <c r="AG4" i="2"/>
  <c r="AF15" i="1"/>
  <c r="AF40" i="1" s="1"/>
  <c r="AF65" i="1" s="1"/>
  <c r="AF89" i="1" s="1"/>
  <c r="AG15" i="1"/>
  <c r="AG40" i="1" s="1"/>
  <c r="AG65" i="1" s="1"/>
  <c r="AG89" i="1" s="1"/>
  <c r="AH15" i="1"/>
  <c r="AH40" i="1" s="1"/>
  <c r="AH65" i="1" s="1"/>
  <c r="AH89" i="1" s="1"/>
  <c r="AI15" i="1"/>
  <c r="AI27" i="1" s="1"/>
  <c r="AI53" i="1" s="1"/>
  <c r="AI77" i="1" s="1"/>
  <c r="AE3" i="1"/>
  <c r="AE15" i="1" s="1"/>
  <c r="Z3" i="1"/>
  <c r="Z15" i="1" s="1"/>
  <c r="Z27" i="1" s="1"/>
  <c r="Z40" i="1" s="1"/>
  <c r="B2" i="2"/>
  <c r="AA24" i="3"/>
  <c r="BW24" i="3" s="1"/>
  <c r="AA23" i="3"/>
  <c r="BW23" i="3" s="1"/>
  <c r="AA22" i="3"/>
  <c r="BW22" i="3" s="1"/>
  <c r="AA21" i="3"/>
  <c r="BW21" i="3" s="1"/>
  <c r="AA20" i="3"/>
  <c r="BW20" i="3" s="1"/>
  <c r="BW19" i="3"/>
  <c r="AA18" i="3"/>
  <c r="BW18" i="3" s="1"/>
  <c r="AE91" i="3"/>
  <c r="BV91" i="3" s="1"/>
  <c r="AD91" i="3"/>
  <c r="AC91" i="3"/>
  <c r="AB91" i="3"/>
  <c r="AE90" i="3"/>
  <c r="BV90" i="3" s="1"/>
  <c r="AD90" i="3"/>
  <c r="AC90" i="3"/>
  <c r="AC92" i="3" s="1"/>
  <c r="AB90" i="3"/>
  <c r="AB92" i="3" s="1"/>
  <c r="AE60" i="3"/>
  <c r="BV60" i="3" s="1"/>
  <c r="AD60" i="3"/>
  <c r="AC60" i="3"/>
  <c r="AB60" i="3"/>
  <c r="AE59" i="3"/>
  <c r="BV59" i="3" s="1"/>
  <c r="AD59" i="3"/>
  <c r="AC59" i="3"/>
  <c r="AB59" i="3"/>
  <c r="AE58" i="3"/>
  <c r="BV58" i="3" s="1"/>
  <c r="AD58" i="3"/>
  <c r="AC58" i="3"/>
  <c r="AB58" i="3"/>
  <c r="AE57" i="3"/>
  <c r="BV57" i="3" s="1"/>
  <c r="AD57" i="3"/>
  <c r="AC57" i="3"/>
  <c r="AB57" i="3"/>
  <c r="AE56" i="3"/>
  <c r="BV56" i="3" s="1"/>
  <c r="AD56" i="3"/>
  <c r="AC56" i="3"/>
  <c r="AB56" i="3"/>
  <c r="AE55" i="3"/>
  <c r="BV55" i="3" s="1"/>
  <c r="AD55" i="3"/>
  <c r="AC55" i="3"/>
  <c r="AB55" i="3"/>
  <c r="AE54" i="3"/>
  <c r="BV54" i="3" s="1"/>
  <c r="AD54" i="3"/>
  <c r="AC54" i="3"/>
  <c r="AB54" i="3"/>
  <c r="AB48" i="3"/>
  <c r="AB47" i="3"/>
  <c r="AB46" i="3"/>
  <c r="AB45" i="3"/>
  <c r="AB44" i="3"/>
  <c r="AB43" i="3"/>
  <c r="AB42" i="3"/>
  <c r="AE36" i="3"/>
  <c r="BV36" i="3" s="1"/>
  <c r="AD36" i="3"/>
  <c r="AC36" i="3"/>
  <c r="AB36" i="3"/>
  <c r="AE35" i="3"/>
  <c r="BV35" i="3" s="1"/>
  <c r="AD35" i="3"/>
  <c r="AC35" i="3"/>
  <c r="AB35" i="3"/>
  <c r="AE34" i="3"/>
  <c r="BV34" i="3" s="1"/>
  <c r="AD34" i="3"/>
  <c r="AC34" i="3"/>
  <c r="AB34" i="3"/>
  <c r="AE33" i="3"/>
  <c r="BV33" i="3" s="1"/>
  <c r="AD33" i="3"/>
  <c r="AC33" i="3"/>
  <c r="AB33" i="3"/>
  <c r="AE32" i="3"/>
  <c r="BV32" i="3" s="1"/>
  <c r="AD32" i="3"/>
  <c r="AC32" i="3"/>
  <c r="AB32" i="3"/>
  <c r="AE31" i="3"/>
  <c r="BV31" i="3" s="1"/>
  <c r="AD31" i="3"/>
  <c r="AD39" i="3" s="1"/>
  <c r="AC31" i="3"/>
  <c r="AB31" i="3"/>
  <c r="AE30" i="3"/>
  <c r="BU30" i="3"/>
  <c r="AC30" i="3"/>
  <c r="AB30" i="3"/>
  <c r="AD24" i="3"/>
  <c r="AN24" i="3" s="1"/>
  <c r="AC24" i="3"/>
  <c r="AM24" i="3" s="1"/>
  <c r="AB24" i="3"/>
  <c r="AL24" i="3" s="1"/>
  <c r="AD23" i="3"/>
  <c r="AN23" i="3" s="1"/>
  <c r="AC23" i="3"/>
  <c r="AM23" i="3" s="1"/>
  <c r="AB23" i="3"/>
  <c r="AL23" i="3" s="1"/>
  <c r="AD22" i="3"/>
  <c r="AN22" i="3" s="1"/>
  <c r="AC22" i="3"/>
  <c r="AM22" i="3" s="1"/>
  <c r="AB22" i="3"/>
  <c r="AL22" i="3" s="1"/>
  <c r="AD21" i="3"/>
  <c r="AN21" i="3" s="1"/>
  <c r="AC21" i="3"/>
  <c r="AM21" i="3" s="1"/>
  <c r="AB21" i="3"/>
  <c r="AL21" i="3" s="1"/>
  <c r="AD20" i="3"/>
  <c r="AN20" i="3" s="1"/>
  <c r="AC20" i="3"/>
  <c r="AM20" i="3" s="1"/>
  <c r="AB20" i="3"/>
  <c r="AL20" i="3" s="1"/>
  <c r="AD19" i="3"/>
  <c r="AN19" i="3" s="1"/>
  <c r="AC19" i="3"/>
  <c r="AM19" i="3" s="1"/>
  <c r="AB19" i="3"/>
  <c r="AL19" i="3" s="1"/>
  <c r="AD18" i="3"/>
  <c r="AN18" i="3" s="1"/>
  <c r="AC18" i="3"/>
  <c r="AM18" i="3" s="1"/>
  <c r="AB18" i="3"/>
  <c r="AL18" i="3" s="1"/>
  <c r="AE10" i="3"/>
  <c r="BV10" i="3" s="1"/>
  <c r="AD10" i="3"/>
  <c r="AC10" i="3"/>
  <c r="AB10" i="3"/>
  <c r="AE9" i="3"/>
  <c r="BV9" i="3" s="1"/>
  <c r="AD9" i="3"/>
  <c r="AC9" i="3"/>
  <c r="AB9" i="3"/>
  <c r="AE8" i="3"/>
  <c r="BV8" i="3" s="1"/>
  <c r="AD8" i="3"/>
  <c r="AC8" i="3"/>
  <c r="AB8" i="3"/>
  <c r="AE7" i="3"/>
  <c r="BV7" i="3" s="1"/>
  <c r="AD7" i="3"/>
  <c r="AC7" i="3"/>
  <c r="AB7" i="3"/>
  <c r="AE6" i="3"/>
  <c r="BV6" i="3" s="1"/>
  <c r="AD6" i="3"/>
  <c r="AC6" i="3"/>
  <c r="AB6" i="3"/>
  <c r="AE5" i="3"/>
  <c r="BV5" i="3" s="1"/>
  <c r="AD5" i="3"/>
  <c r="AC5" i="3"/>
  <c r="AB5" i="3"/>
  <c r="AE4" i="3"/>
  <c r="BV4" i="3" s="1"/>
  <c r="AD4" i="3"/>
  <c r="AC4" i="3"/>
  <c r="AC78" i="3" s="1"/>
  <c r="AB4" i="3"/>
  <c r="AB78" i="3" s="1"/>
  <c r="AE91" i="2"/>
  <c r="AD91" i="2"/>
  <c r="AC91" i="2"/>
  <c r="AB91" i="2"/>
  <c r="AL91" i="2" s="1"/>
  <c r="AE90" i="2"/>
  <c r="AD90" i="2"/>
  <c r="AC90" i="2"/>
  <c r="AB90" i="2"/>
  <c r="AL90" i="2" s="1"/>
  <c r="AE60" i="2"/>
  <c r="AD60" i="2"/>
  <c r="AN60" i="2" s="1"/>
  <c r="AC60" i="2"/>
  <c r="AB60" i="2"/>
  <c r="AE59" i="2"/>
  <c r="AD59" i="2"/>
  <c r="AN59" i="2" s="1"/>
  <c r="AC59" i="2"/>
  <c r="AB59" i="2"/>
  <c r="AE58" i="2"/>
  <c r="AD58" i="2"/>
  <c r="AN58" i="2" s="1"/>
  <c r="AC58" i="2"/>
  <c r="AB58" i="2"/>
  <c r="AE57" i="2"/>
  <c r="AD57" i="2"/>
  <c r="AN57" i="2" s="1"/>
  <c r="AC57" i="2"/>
  <c r="AB57" i="2"/>
  <c r="AE56" i="2"/>
  <c r="AD56" i="2"/>
  <c r="AN56" i="2" s="1"/>
  <c r="AC56" i="2"/>
  <c r="AB56" i="2"/>
  <c r="AE55" i="2"/>
  <c r="AD55" i="2"/>
  <c r="AN55" i="2" s="1"/>
  <c r="AC55" i="2"/>
  <c r="AB55" i="2"/>
  <c r="AL55" i="2" s="1"/>
  <c r="AE54" i="2"/>
  <c r="AD54" i="2"/>
  <c r="AC54" i="2"/>
  <c r="AB54" i="2"/>
  <c r="AE36" i="2"/>
  <c r="AD36" i="2"/>
  <c r="AN36" i="2" s="1"/>
  <c r="AC36" i="2"/>
  <c r="AB36" i="2"/>
  <c r="AL36" i="2" s="1"/>
  <c r="AE35" i="2"/>
  <c r="AD35" i="2"/>
  <c r="AN35" i="2" s="1"/>
  <c r="AC35" i="2"/>
  <c r="AB35" i="2"/>
  <c r="AL35" i="2" s="1"/>
  <c r="AE34" i="2"/>
  <c r="AD34" i="2"/>
  <c r="AN34" i="2" s="1"/>
  <c r="AC34" i="2"/>
  <c r="AB34" i="2"/>
  <c r="AL34" i="2" s="1"/>
  <c r="AE33" i="2"/>
  <c r="AD33" i="2"/>
  <c r="AN33" i="2" s="1"/>
  <c r="AC33" i="2"/>
  <c r="AB33" i="2"/>
  <c r="AL33" i="2" s="1"/>
  <c r="AE32" i="2"/>
  <c r="AD32" i="2"/>
  <c r="AN32" i="2" s="1"/>
  <c r="AC32" i="2"/>
  <c r="AB32" i="2"/>
  <c r="AL32" i="2" s="1"/>
  <c r="AE31" i="2"/>
  <c r="AD31" i="2"/>
  <c r="AN31" i="2" s="1"/>
  <c r="AC31" i="2"/>
  <c r="AB31" i="2"/>
  <c r="AE30" i="2"/>
  <c r="AE39" i="2" s="1"/>
  <c r="AO39" i="2" s="1"/>
  <c r="AD30" i="2"/>
  <c r="AD39" i="2" s="1"/>
  <c r="AN39" i="2" s="1"/>
  <c r="AC30" i="2"/>
  <c r="AC39" i="2" s="1"/>
  <c r="AM39" i="2" s="1"/>
  <c r="AB30" i="2"/>
  <c r="AD24" i="2"/>
  <c r="AN24" i="2" s="1"/>
  <c r="AC24" i="2"/>
  <c r="AM24" i="2" s="1"/>
  <c r="AB24" i="2"/>
  <c r="AL24" i="2" s="1"/>
  <c r="AD23" i="2"/>
  <c r="AN23" i="2" s="1"/>
  <c r="AC23" i="2"/>
  <c r="AM23" i="2" s="1"/>
  <c r="AB23" i="2"/>
  <c r="AL23" i="2" s="1"/>
  <c r="AD22" i="2"/>
  <c r="AN22" i="2" s="1"/>
  <c r="AC22" i="2"/>
  <c r="AM22" i="2" s="1"/>
  <c r="AB22" i="2"/>
  <c r="AL22" i="2" s="1"/>
  <c r="AD21" i="2"/>
  <c r="AN21" i="2" s="1"/>
  <c r="AC21" i="2"/>
  <c r="AM21" i="2" s="1"/>
  <c r="AB21" i="2"/>
  <c r="AL21" i="2" s="1"/>
  <c r="AD20" i="2"/>
  <c r="AN20" i="2" s="1"/>
  <c r="AC20" i="2"/>
  <c r="AM20" i="2" s="1"/>
  <c r="AB20" i="2"/>
  <c r="AL20" i="2" s="1"/>
  <c r="AD19" i="2"/>
  <c r="AN19" i="2" s="1"/>
  <c r="AC19" i="2"/>
  <c r="AM19" i="2" s="1"/>
  <c r="AB19" i="2"/>
  <c r="AL19" i="2" s="1"/>
  <c r="AD18" i="2"/>
  <c r="AN18" i="2" s="1"/>
  <c r="AC18" i="2"/>
  <c r="AM18" i="2" s="1"/>
  <c r="AB18" i="2"/>
  <c r="AL18" i="2" s="1"/>
  <c r="AD84" i="2"/>
  <c r="AE9" i="2"/>
  <c r="AD9" i="2"/>
  <c r="AC9" i="2"/>
  <c r="AB9" i="2"/>
  <c r="AB83" i="2" s="1"/>
  <c r="AE8" i="2"/>
  <c r="AD8" i="2"/>
  <c r="AC8" i="2"/>
  <c r="AB8" i="2"/>
  <c r="AE7" i="2"/>
  <c r="AD7" i="2"/>
  <c r="AC7" i="2"/>
  <c r="AB7" i="2"/>
  <c r="AE6" i="2"/>
  <c r="AD6" i="2"/>
  <c r="AC6" i="2"/>
  <c r="AB6" i="2"/>
  <c r="AE5" i="2"/>
  <c r="AD5" i="2"/>
  <c r="AC5" i="2"/>
  <c r="AB5" i="2"/>
  <c r="AB79" i="2" s="1"/>
  <c r="AE4" i="2"/>
  <c r="AD4" i="2"/>
  <c r="AC4" i="2"/>
  <c r="AB4" i="2"/>
  <c r="AH80" i="3" l="1"/>
  <c r="AH84" i="3"/>
  <c r="AH79" i="3"/>
  <c r="AH83" i="3"/>
  <c r="BD139" i="2"/>
  <c r="BU139" i="2" s="1"/>
  <c r="BU112" i="2"/>
  <c r="BD97" i="2"/>
  <c r="BU97" i="2" s="1"/>
  <c r="BU109" i="2"/>
  <c r="BU110" i="2"/>
  <c r="BU114" i="2"/>
  <c r="BD61" i="2"/>
  <c r="BD24" i="2"/>
  <c r="BU24" i="2" s="1"/>
  <c r="BD30" i="2"/>
  <c r="BD42" i="2" s="1"/>
  <c r="BU42" i="2" s="1"/>
  <c r="BD22" i="2"/>
  <c r="BU22" i="2" s="1"/>
  <c r="BD37" i="2"/>
  <c r="BU113" i="2"/>
  <c r="BD19" i="2"/>
  <c r="BU19" i="2" s="1"/>
  <c r="BD20" i="2"/>
  <c r="BU20" i="2" s="1"/>
  <c r="BD25" i="2"/>
  <c r="BD18" i="2"/>
  <c r="BU18" i="2" s="1"/>
  <c r="BD26" i="2"/>
  <c r="BD23" i="2"/>
  <c r="BU23" i="2" s="1"/>
  <c r="BD21" i="2"/>
  <c r="BU21" i="2" s="1"/>
  <c r="BU111" i="2"/>
  <c r="BU116" i="2"/>
  <c r="BF61" i="2"/>
  <c r="BF105" i="2"/>
  <c r="AB38" i="3"/>
  <c r="AB39" i="3"/>
  <c r="AL39" i="3" s="1"/>
  <c r="AC38" i="3"/>
  <c r="AC39" i="3"/>
  <c r="AH38" i="3"/>
  <c r="AH74" i="3" s="1"/>
  <c r="AH39" i="3"/>
  <c r="AN39" i="3"/>
  <c r="BU39" i="3"/>
  <c r="AJ38" i="3"/>
  <c r="AJ39" i="3"/>
  <c r="BV30" i="3"/>
  <c r="AE39" i="3"/>
  <c r="AO39" i="3" s="1"/>
  <c r="BF11" i="2"/>
  <c r="BD11" i="2"/>
  <c r="BD10" i="2"/>
  <c r="AJ38" i="2"/>
  <c r="AJ39" i="2"/>
  <c r="AL30" i="2"/>
  <c r="AB39" i="2"/>
  <c r="AL39" i="2" s="1"/>
  <c r="BC138" i="2"/>
  <c r="BF115" i="2"/>
  <c r="BD138" i="2"/>
  <c r="BU138" i="2" s="1"/>
  <c r="BB115" i="2"/>
  <c r="BE104" i="2"/>
  <c r="BB138" i="2"/>
  <c r="BC104" i="2"/>
  <c r="BF25" i="2"/>
  <c r="BE138" i="2"/>
  <c r="BB104" i="2"/>
  <c r="BF104" i="2"/>
  <c r="BC11" i="2"/>
  <c r="BF138" i="2"/>
  <c r="BC10" i="2"/>
  <c r="BT10" i="2" s="1"/>
  <c r="BD104" i="2"/>
  <c r="AA30" i="2"/>
  <c r="AG79" i="3"/>
  <c r="AG83" i="3"/>
  <c r="AL55" i="3"/>
  <c r="AL56" i="3"/>
  <c r="AL57" i="3"/>
  <c r="AL58" i="3"/>
  <c r="AL59" i="3"/>
  <c r="AL60" i="3"/>
  <c r="BC115" i="2"/>
  <c r="BC114" i="2"/>
  <c r="BT114" i="2" s="1"/>
  <c r="BC61" i="2"/>
  <c r="BC110" i="2"/>
  <c r="BT110" i="2" s="1"/>
  <c r="BC111" i="2"/>
  <c r="BT111" i="2" s="1"/>
  <c r="BC112" i="2"/>
  <c r="BT112" i="2" s="1"/>
  <c r="BC113" i="2"/>
  <c r="BT113" i="2" s="1"/>
  <c r="BC109" i="2"/>
  <c r="BB61" i="2"/>
  <c r="AD92" i="3"/>
  <c r="AG29" i="3"/>
  <c r="AG53" i="3" s="1"/>
  <c r="AG77" i="3" s="1"/>
  <c r="AN54" i="3"/>
  <c r="AN90" i="3"/>
  <c r="AN91" i="3"/>
  <c r="AL30" i="3"/>
  <c r="AJ41" i="3"/>
  <c r="AJ65" i="3" s="1"/>
  <c r="AJ89" i="3" s="1"/>
  <c r="AJ78" i="3"/>
  <c r="AB66" i="3"/>
  <c r="AL90" i="3"/>
  <c r="AL91" i="3"/>
  <c r="AL4" i="3"/>
  <c r="AC66" i="3"/>
  <c r="AM90" i="3"/>
  <c r="AM91" i="3"/>
  <c r="AM4" i="3"/>
  <c r="AA48" i="2"/>
  <c r="AA45" i="2"/>
  <c r="BC36" i="2"/>
  <c r="BC48" i="2" s="1"/>
  <c r="BT48" i="2" s="1"/>
  <c r="BC32" i="2"/>
  <c r="BC44" i="2" s="1"/>
  <c r="BT44" i="2" s="1"/>
  <c r="BC26" i="2"/>
  <c r="BC22" i="2"/>
  <c r="BT22" i="2" s="1"/>
  <c r="BC18" i="2"/>
  <c r="BT18" i="2" s="1"/>
  <c r="AA46" i="2"/>
  <c r="AA42" i="2"/>
  <c r="BC23" i="2"/>
  <c r="BT23" i="2" s="1"/>
  <c r="AA44" i="2"/>
  <c r="BC35" i="2"/>
  <c r="BC47" i="2" s="1"/>
  <c r="BT47" i="2" s="1"/>
  <c r="BC31" i="2"/>
  <c r="BC43" i="2" s="1"/>
  <c r="BT43" i="2" s="1"/>
  <c r="BC25" i="2"/>
  <c r="BC21" i="2"/>
  <c r="BT21" i="2" s="1"/>
  <c r="BC19" i="2"/>
  <c r="BT19" i="2" s="1"/>
  <c r="AA47" i="2"/>
  <c r="AA43" i="2"/>
  <c r="BC38" i="2"/>
  <c r="BC50" i="2" s="1"/>
  <c r="BC34" i="2"/>
  <c r="BC46" i="2" s="1"/>
  <c r="BT46" i="2" s="1"/>
  <c r="BC30" i="2"/>
  <c r="BC24" i="2"/>
  <c r="BT24" i="2" s="1"/>
  <c r="BC20" i="2"/>
  <c r="BT20" i="2" s="1"/>
  <c r="BC37" i="2"/>
  <c r="BC49" i="2" s="1"/>
  <c r="BC33" i="2"/>
  <c r="BC45" i="2" s="1"/>
  <c r="BT45" i="2" s="1"/>
  <c r="BF37" i="2"/>
  <c r="BF49" i="2"/>
  <c r="BF46" i="2"/>
  <c r="BF42" i="2"/>
  <c r="BF48" i="2"/>
  <c r="BF45" i="2"/>
  <c r="BF47" i="2"/>
  <c r="BF43" i="2"/>
  <c r="BF44" i="2"/>
  <c r="AA122" i="2"/>
  <c r="BB11" i="2"/>
  <c r="BB37" i="2"/>
  <c r="BB49" i="2" s="1"/>
  <c r="BB25" i="2"/>
  <c r="AA121" i="2"/>
  <c r="AA126" i="2"/>
  <c r="AA125" i="2"/>
  <c r="AA124" i="2"/>
  <c r="AA123" i="2"/>
  <c r="AL31" i="3"/>
  <c r="AL32" i="3"/>
  <c r="AL33" i="3"/>
  <c r="AL34" i="3"/>
  <c r="AL35" i="3"/>
  <c r="AL36" i="3"/>
  <c r="AJ81" i="3"/>
  <c r="AJ80" i="3"/>
  <c r="AJ84" i="3"/>
  <c r="AG67" i="3"/>
  <c r="AG68" i="3"/>
  <c r="AG69" i="3"/>
  <c r="AG71" i="3"/>
  <c r="AG72" i="3"/>
  <c r="AH82" i="3"/>
  <c r="AM5" i="3"/>
  <c r="AH81" i="3"/>
  <c r="AB79" i="3"/>
  <c r="AB80" i="3"/>
  <c r="AB81" i="3"/>
  <c r="AB82" i="3"/>
  <c r="AB83" i="3"/>
  <c r="AL83" i="3" s="1"/>
  <c r="AB84" i="3"/>
  <c r="AG81" i="3"/>
  <c r="AN55" i="3"/>
  <c r="AN56" i="3"/>
  <c r="AN57" i="3"/>
  <c r="AN58" i="3"/>
  <c r="AN59" i="3"/>
  <c r="AN60" i="3"/>
  <c r="AG80" i="3"/>
  <c r="AG84" i="3"/>
  <c r="AG70" i="3"/>
  <c r="AM55" i="3"/>
  <c r="AM57" i="3"/>
  <c r="AM59" i="3"/>
  <c r="AG66" i="3"/>
  <c r="AL54" i="3"/>
  <c r="AG82" i="3"/>
  <c r="AI68" i="3"/>
  <c r="AI72" i="3"/>
  <c r="AM54" i="3"/>
  <c r="AM56" i="3"/>
  <c r="AM58" i="3"/>
  <c r="AM60" i="3"/>
  <c r="AM8" i="3"/>
  <c r="AM90" i="2"/>
  <c r="AM91" i="2"/>
  <c r="AN54" i="2"/>
  <c r="AN90" i="2"/>
  <c r="AN91" i="2"/>
  <c r="AG29" i="2"/>
  <c r="AG53" i="2" s="1"/>
  <c r="AG77" i="2" s="1"/>
  <c r="AH82" i="2"/>
  <c r="AD80" i="2"/>
  <c r="AH83" i="2"/>
  <c r="AM31" i="2"/>
  <c r="AM32" i="2"/>
  <c r="AM33" i="2"/>
  <c r="AM34" i="2"/>
  <c r="AM35" i="2"/>
  <c r="AM36" i="2"/>
  <c r="BU32" i="3"/>
  <c r="AN32" i="3"/>
  <c r="BU34" i="3"/>
  <c r="AN34" i="3"/>
  <c r="BU36" i="3"/>
  <c r="AN36" i="3"/>
  <c r="AM6" i="3"/>
  <c r="AG12" i="3"/>
  <c r="AG86" i="3" s="1"/>
  <c r="AI38" i="3"/>
  <c r="AN30" i="3"/>
  <c r="AH67" i="3"/>
  <c r="AH68" i="3"/>
  <c r="AH70" i="3"/>
  <c r="AH71" i="3"/>
  <c r="AH72" i="3"/>
  <c r="AM31" i="3"/>
  <c r="AM33" i="3"/>
  <c r="AM35" i="3"/>
  <c r="BU31" i="3"/>
  <c r="AN31" i="3"/>
  <c r="AB67" i="3"/>
  <c r="AB68" i="3"/>
  <c r="AB69" i="3"/>
  <c r="AB70" i="3"/>
  <c r="AB71" i="3"/>
  <c r="AB72" i="3"/>
  <c r="AI66" i="3"/>
  <c r="AI67" i="3"/>
  <c r="AI69" i="3"/>
  <c r="AI70" i="3"/>
  <c r="AI71" i="3"/>
  <c r="BU33" i="3"/>
  <c r="AN33" i="3"/>
  <c r="BU35" i="3"/>
  <c r="AN35" i="3"/>
  <c r="AC67" i="3"/>
  <c r="AC68" i="3"/>
  <c r="AC69" i="3"/>
  <c r="AM69" i="3" s="1"/>
  <c r="AC70" i="3"/>
  <c r="AC71" i="3"/>
  <c r="AC72" i="3"/>
  <c r="AJ12" i="3"/>
  <c r="AJ14" i="3" s="1"/>
  <c r="AG38" i="3"/>
  <c r="AJ66" i="3"/>
  <c r="AJ68" i="3"/>
  <c r="AJ69" i="3"/>
  <c r="AJ70" i="3"/>
  <c r="AJ72" i="3"/>
  <c r="AM30" i="3"/>
  <c r="AM32" i="3"/>
  <c r="AM34" i="3"/>
  <c r="AM36" i="3"/>
  <c r="AG12" i="2"/>
  <c r="AG14" i="2" s="1"/>
  <c r="AL79" i="2"/>
  <c r="AI38" i="2"/>
  <c r="AN30" i="2"/>
  <c r="AC81" i="3"/>
  <c r="AC84" i="3"/>
  <c r="AM84" i="3" s="1"/>
  <c r="AM10" i="3"/>
  <c r="AC82" i="3"/>
  <c r="AD79" i="3"/>
  <c r="AD83" i="3"/>
  <c r="AH12" i="3"/>
  <c r="AL5" i="3"/>
  <c r="AL7" i="3"/>
  <c r="AL9" i="3"/>
  <c r="AC80" i="3"/>
  <c r="AM80" i="3" s="1"/>
  <c r="AC83" i="3"/>
  <c r="AM7" i="3"/>
  <c r="AM9" i="3"/>
  <c r="AC79" i="3"/>
  <c r="AM79" i="3" s="1"/>
  <c r="AL6" i="3"/>
  <c r="AL8" i="3"/>
  <c r="AL10" i="3"/>
  <c r="BE127" i="2"/>
  <c r="BV127" i="2" s="1"/>
  <c r="BD126" i="2"/>
  <c r="BU126" i="2" s="1"/>
  <c r="BD125" i="2"/>
  <c r="BU125" i="2" s="1"/>
  <c r="BD124" i="2"/>
  <c r="BU124" i="2" s="1"/>
  <c r="BD123" i="2"/>
  <c r="BU123" i="2" s="1"/>
  <c r="BE122" i="2"/>
  <c r="BV122" i="2" s="1"/>
  <c r="BE121" i="2"/>
  <c r="BV121" i="2" s="1"/>
  <c r="BD127" i="2"/>
  <c r="BU127" i="2" s="1"/>
  <c r="BC126" i="2"/>
  <c r="BT126" i="2" s="1"/>
  <c r="BC125" i="2"/>
  <c r="BT125" i="2" s="1"/>
  <c r="BC124" i="2"/>
  <c r="BT124" i="2" s="1"/>
  <c r="BC123" i="2"/>
  <c r="BT123" i="2" s="1"/>
  <c r="BD122" i="2"/>
  <c r="BU122" i="2" s="1"/>
  <c r="BD121" i="2"/>
  <c r="BU121" i="2" s="1"/>
  <c r="BB126" i="2"/>
  <c r="BS126" i="2" s="1"/>
  <c r="BB125" i="2"/>
  <c r="BS125" i="2" s="1"/>
  <c r="BB124" i="2"/>
  <c r="BS124" i="2" s="1"/>
  <c r="BB123" i="2"/>
  <c r="BS123" i="2" s="1"/>
  <c r="BF122" i="2"/>
  <c r="BF121" i="2"/>
  <c r="BW121" i="2" s="1"/>
  <c r="BF126" i="2"/>
  <c r="BB121" i="2"/>
  <c r="BF127" i="2"/>
  <c r="BE124" i="2"/>
  <c r="BV124" i="2" s="1"/>
  <c r="BC122" i="2"/>
  <c r="BT122" i="2" s="1"/>
  <c r="BB122" i="2"/>
  <c r="BS122" i="2" s="1"/>
  <c r="BE126" i="2"/>
  <c r="BV126" i="2" s="1"/>
  <c r="BF125" i="2"/>
  <c r="BF124" i="2"/>
  <c r="BF123" i="2"/>
  <c r="BE125" i="2"/>
  <c r="BV125" i="2" s="1"/>
  <c r="BE123" i="2"/>
  <c r="BV123" i="2" s="1"/>
  <c r="BC127" i="2"/>
  <c r="BT127" i="2" s="1"/>
  <c r="BC121" i="2"/>
  <c r="BT121" i="2" s="1"/>
  <c r="AA90" i="2"/>
  <c r="BE92" i="2"/>
  <c r="BE91" i="2"/>
  <c r="BV91" i="2" s="1"/>
  <c r="BE90" i="2"/>
  <c r="BV90" i="2" s="1"/>
  <c r="AA102" i="2"/>
  <c r="AA98" i="2"/>
  <c r="AA135" i="2"/>
  <c r="AA131" i="2"/>
  <c r="BF137" i="2"/>
  <c r="BB137" i="2"/>
  <c r="BS137" i="2" s="1"/>
  <c r="BC136" i="2"/>
  <c r="BT136" i="2" s="1"/>
  <c r="BD135" i="2"/>
  <c r="BU135" i="2" s="1"/>
  <c r="BE134" i="2"/>
  <c r="BV134" i="2" s="1"/>
  <c r="BF133" i="2"/>
  <c r="BB133" i="2"/>
  <c r="BS133" i="2" s="1"/>
  <c r="BC132" i="2"/>
  <c r="BT132" i="2" s="1"/>
  <c r="BD131" i="2"/>
  <c r="BU131" i="2" s="1"/>
  <c r="BC105" i="2"/>
  <c r="BT105" i="2" s="1"/>
  <c r="BC103" i="2"/>
  <c r="BT103" i="2" s="1"/>
  <c r="BC102" i="2"/>
  <c r="BT102" i="2" s="1"/>
  <c r="BC101" i="2"/>
  <c r="BT101" i="2" s="1"/>
  <c r="BC100" i="2"/>
  <c r="BT100" i="2" s="1"/>
  <c r="BC99" i="2"/>
  <c r="BT99" i="2" s="1"/>
  <c r="BC98" i="2"/>
  <c r="BT98" i="2" s="1"/>
  <c r="BC97" i="2"/>
  <c r="BT97" i="2" s="1"/>
  <c r="BB114" i="2"/>
  <c r="BS114" i="2" s="1"/>
  <c r="BF110" i="2"/>
  <c r="BB109" i="2"/>
  <c r="BD92" i="2"/>
  <c r="BD91" i="2"/>
  <c r="BU91" i="2" s="1"/>
  <c r="BD90" i="2"/>
  <c r="BU90" i="2" s="1"/>
  <c r="AA101" i="2"/>
  <c r="AA97" i="2"/>
  <c r="AA134" i="2"/>
  <c r="BE139" i="2"/>
  <c r="BV139" i="2" s="1"/>
  <c r="BE137" i="2"/>
  <c r="BV137" i="2" s="1"/>
  <c r="BF136" i="2"/>
  <c r="BB136" i="2"/>
  <c r="BS136" i="2" s="1"/>
  <c r="BC135" i="2"/>
  <c r="BT135" i="2" s="1"/>
  <c r="BD134" i="2"/>
  <c r="BU134" i="2" s="1"/>
  <c r="BE133" i="2"/>
  <c r="BV133" i="2" s="1"/>
  <c r="BF132" i="2"/>
  <c r="BB132" i="2"/>
  <c r="BS132" i="2" s="1"/>
  <c r="BC131" i="2"/>
  <c r="BT131" i="2" s="1"/>
  <c r="BB105" i="2"/>
  <c r="BS105" i="2" s="1"/>
  <c r="BF103" i="2"/>
  <c r="BB103" i="2"/>
  <c r="BS103" i="2" s="1"/>
  <c r="BF102" i="2"/>
  <c r="BB102" i="2"/>
  <c r="BS102" i="2" s="1"/>
  <c r="BF101" i="2"/>
  <c r="BB101" i="2"/>
  <c r="BS101" i="2" s="1"/>
  <c r="BF100" i="2"/>
  <c r="BB100" i="2"/>
  <c r="BS100" i="2" s="1"/>
  <c r="BF99" i="2"/>
  <c r="BB99" i="2"/>
  <c r="BS99" i="2" s="1"/>
  <c r="BF98" i="2"/>
  <c r="BB98" i="2"/>
  <c r="BS98" i="2" s="1"/>
  <c r="BF97" i="2"/>
  <c r="BB97" i="2"/>
  <c r="BS97" i="2" s="1"/>
  <c r="BF111" i="2"/>
  <c r="BB110" i="2"/>
  <c r="BS110" i="2" s="1"/>
  <c r="BB92" i="2"/>
  <c r="BB91" i="2"/>
  <c r="BS91" i="2" s="1"/>
  <c r="BB90" i="2"/>
  <c r="BS90" i="2" s="1"/>
  <c r="AA103" i="2"/>
  <c r="AA136" i="2"/>
  <c r="BC139" i="2"/>
  <c r="BT139" i="2" s="1"/>
  <c r="BD136" i="2"/>
  <c r="BU136" i="2" s="1"/>
  <c r="BF134" i="2"/>
  <c r="BC133" i="2"/>
  <c r="BT133" i="2" s="1"/>
  <c r="BE131" i="2"/>
  <c r="BV131" i="2" s="1"/>
  <c r="BE105" i="2"/>
  <c r="BV105" i="2" s="1"/>
  <c r="BE102" i="2"/>
  <c r="BV102" i="2" s="1"/>
  <c r="BE100" i="2"/>
  <c r="BV100" i="2" s="1"/>
  <c r="BE98" i="2"/>
  <c r="BV98" i="2" s="1"/>
  <c r="BF112" i="2"/>
  <c r="AA60" i="2"/>
  <c r="AA56" i="2"/>
  <c r="BD62" i="2"/>
  <c r="BU62" i="2" s="1"/>
  <c r="BD60" i="2"/>
  <c r="BU60" i="2" s="1"/>
  <c r="BD59" i="2"/>
  <c r="BU59" i="2" s="1"/>
  <c r="BD58" i="2"/>
  <c r="BU58" i="2" s="1"/>
  <c r="BD57" i="2"/>
  <c r="BU57" i="2" s="1"/>
  <c r="BD56" i="2"/>
  <c r="BU56" i="2" s="1"/>
  <c r="BD55" i="2"/>
  <c r="BU55" i="2" s="1"/>
  <c r="BD54" i="2"/>
  <c r="BU54" i="2" s="1"/>
  <c r="BF91" i="2"/>
  <c r="AA132" i="2"/>
  <c r="BE135" i="2"/>
  <c r="BV135" i="2" s="1"/>
  <c r="BE103" i="2"/>
  <c r="BV103" i="2" s="1"/>
  <c r="BE97" i="2"/>
  <c r="BV97" i="2" s="1"/>
  <c r="BF113" i="2"/>
  <c r="AA54" i="2"/>
  <c r="BF62" i="2"/>
  <c r="BF60" i="2"/>
  <c r="BB59" i="2"/>
  <c r="BB58" i="2"/>
  <c r="AA91" i="2"/>
  <c r="AA100" i="2"/>
  <c r="AA133" i="2"/>
  <c r="BD137" i="2"/>
  <c r="BU137" i="2" s="1"/>
  <c r="BF135" i="2"/>
  <c r="BC134" i="2"/>
  <c r="BT134" i="2" s="1"/>
  <c r="BE132" i="2"/>
  <c r="BV132" i="2" s="1"/>
  <c r="BB131" i="2"/>
  <c r="BS131" i="2" s="1"/>
  <c r="BD105" i="2"/>
  <c r="BU105" i="2" s="1"/>
  <c r="BD102" i="2"/>
  <c r="BU102" i="2" s="1"/>
  <c r="BD100" i="2"/>
  <c r="BU100" i="2" s="1"/>
  <c r="BD98" i="2"/>
  <c r="BU98" i="2" s="1"/>
  <c r="BF114" i="2"/>
  <c r="BB112" i="2"/>
  <c r="BS112" i="2" s="1"/>
  <c r="BF109" i="2"/>
  <c r="AA59" i="2"/>
  <c r="AA55" i="2"/>
  <c r="BC62" i="2"/>
  <c r="BC60" i="2"/>
  <c r="BT60" i="2" s="1"/>
  <c r="BC59" i="2"/>
  <c r="BT59" i="2" s="1"/>
  <c r="BC58" i="2"/>
  <c r="BT58" i="2" s="1"/>
  <c r="BC57" i="2"/>
  <c r="BT57" i="2" s="1"/>
  <c r="BC56" i="2"/>
  <c r="BT56" i="2" s="1"/>
  <c r="BC55" i="2"/>
  <c r="BT55" i="2" s="1"/>
  <c r="BC54" i="2"/>
  <c r="BT54" i="2" s="1"/>
  <c r="BF92" i="2"/>
  <c r="AI8" i="5" s="1"/>
  <c r="AK8" i="5" s="1"/>
  <c r="BF90" i="2"/>
  <c r="AA99" i="2"/>
  <c r="BC137" i="2"/>
  <c r="BT137" i="2" s="1"/>
  <c r="BB134" i="2"/>
  <c r="BS134" i="2" s="1"/>
  <c r="BD132" i="2"/>
  <c r="BU132" i="2" s="1"/>
  <c r="BE101" i="2"/>
  <c r="BV101" i="2" s="1"/>
  <c r="BE99" i="2"/>
  <c r="BV99" i="2" s="1"/>
  <c r="BB111" i="2"/>
  <c r="BS111" i="2" s="1"/>
  <c r="AA58" i="2"/>
  <c r="BB62" i="2"/>
  <c r="BB60" i="2"/>
  <c r="BS60" i="2" s="1"/>
  <c r="BF59" i="2"/>
  <c r="BF58" i="2"/>
  <c r="BC90" i="2"/>
  <c r="BT90" i="2" s="1"/>
  <c r="AA137" i="2"/>
  <c r="BD133" i="2"/>
  <c r="BU133" i="2" s="1"/>
  <c r="AA57" i="2"/>
  <c r="BE60" i="2"/>
  <c r="BV60" i="2" s="1"/>
  <c r="BE58" i="2"/>
  <c r="BV58" i="2" s="1"/>
  <c r="BB57" i="2"/>
  <c r="BB56" i="2"/>
  <c r="BB55" i="2"/>
  <c r="BB54" i="2"/>
  <c r="BS54" i="2" s="1"/>
  <c r="BE56" i="2"/>
  <c r="BV56" i="2" s="1"/>
  <c r="BF131" i="2"/>
  <c r="BD101" i="2"/>
  <c r="BU101" i="2" s="1"/>
  <c r="BB113" i="2"/>
  <c r="BS113" i="2" s="1"/>
  <c r="BE54" i="2"/>
  <c r="BV54" i="2" s="1"/>
  <c r="BC92" i="2"/>
  <c r="BE136" i="2"/>
  <c r="BV136" i="2" s="1"/>
  <c r="BE62" i="2"/>
  <c r="BE59" i="2"/>
  <c r="BV59" i="2" s="1"/>
  <c r="BF57" i="2"/>
  <c r="BF56" i="2"/>
  <c r="BF55" i="2"/>
  <c r="BF54" i="2"/>
  <c r="BC91" i="2"/>
  <c r="BT91" i="2" s="1"/>
  <c r="BB135" i="2"/>
  <c r="BS135" i="2" s="1"/>
  <c r="BD103" i="2"/>
  <c r="BU103" i="2" s="1"/>
  <c r="BD99" i="2"/>
  <c r="BU99" i="2" s="1"/>
  <c r="BE57" i="2"/>
  <c r="BV57" i="2" s="1"/>
  <c r="BE55" i="2"/>
  <c r="BV55" i="2" s="1"/>
  <c r="BE36" i="2"/>
  <c r="BE34" i="2"/>
  <c r="BV34" i="2" s="1"/>
  <c r="BD33" i="2"/>
  <c r="BF32" i="2"/>
  <c r="BB32" i="2"/>
  <c r="BB44" i="2" s="1"/>
  <c r="BS44" i="2" s="1"/>
  <c r="BE31" i="2"/>
  <c r="BB26" i="2"/>
  <c r="BF22" i="2"/>
  <c r="BB21" i="2"/>
  <c r="BS21" i="2" s="1"/>
  <c r="BF18" i="2"/>
  <c r="AA36" i="2"/>
  <c r="AA32" i="2"/>
  <c r="BF38" i="2"/>
  <c r="BB38" i="2"/>
  <c r="BD36" i="2"/>
  <c r="BF35" i="2"/>
  <c r="BB35" i="2"/>
  <c r="BB47" i="2" s="1"/>
  <c r="BS47" i="2" s="1"/>
  <c r="BD34" i="2"/>
  <c r="BD46" i="2" s="1"/>
  <c r="BU46" i="2" s="1"/>
  <c r="BE32" i="2"/>
  <c r="BD31" i="2"/>
  <c r="BF30" i="2"/>
  <c r="BB30" i="2"/>
  <c r="BF23" i="2"/>
  <c r="BB22" i="2"/>
  <c r="BS22" i="2" s="1"/>
  <c r="BF19" i="2"/>
  <c r="BB18" i="2"/>
  <c r="BS18" i="2" s="1"/>
  <c r="AA35" i="2"/>
  <c r="AA31" i="2"/>
  <c r="BE38" i="2"/>
  <c r="BE74" i="2" s="1"/>
  <c r="BE35" i="2"/>
  <c r="BF33" i="2"/>
  <c r="BB33" i="2"/>
  <c r="BB45" i="2" s="1"/>
  <c r="BS45" i="2" s="1"/>
  <c r="BD32" i="2"/>
  <c r="BE30" i="2"/>
  <c r="BF24" i="2"/>
  <c r="BB23" i="2"/>
  <c r="BS23" i="2" s="1"/>
  <c r="BF20" i="2"/>
  <c r="BB19" i="2"/>
  <c r="BS19" i="2" s="1"/>
  <c r="AA34" i="2"/>
  <c r="BD38" i="2"/>
  <c r="BD50" i="2" s="1"/>
  <c r="BF34" i="2"/>
  <c r="BF26" i="2"/>
  <c r="AI7" i="5" s="1"/>
  <c r="AK7" i="5" s="1"/>
  <c r="BB20" i="2"/>
  <c r="BS20" i="2" s="1"/>
  <c r="AA33" i="2"/>
  <c r="BD35" i="2"/>
  <c r="BF21" i="2"/>
  <c r="BF36" i="2"/>
  <c r="BB34" i="2"/>
  <c r="BB46" i="2" s="1"/>
  <c r="BS46" i="2" s="1"/>
  <c r="BF31" i="2"/>
  <c r="BB24" i="2"/>
  <c r="BS24" i="2" s="1"/>
  <c r="BB36" i="2"/>
  <c r="BB48" i="2" s="1"/>
  <c r="BS48" i="2" s="1"/>
  <c r="BE33" i="2"/>
  <c r="BV33" i="2" s="1"/>
  <c r="BB31" i="2"/>
  <c r="BB43" i="2" s="1"/>
  <c r="BS43" i="2" s="1"/>
  <c r="BC13" i="2"/>
  <c r="BT13" i="2" s="1"/>
  <c r="BC12" i="2"/>
  <c r="BF10" i="2"/>
  <c r="BB10" i="2"/>
  <c r="BE9" i="2"/>
  <c r="BV9" i="2" s="1"/>
  <c r="BD8" i="2"/>
  <c r="BU8" i="2" s="1"/>
  <c r="BD7" i="2"/>
  <c r="BU7" i="2" s="1"/>
  <c r="BC6" i="2"/>
  <c r="BT6" i="2" s="1"/>
  <c r="BF5" i="2"/>
  <c r="BB5" i="2"/>
  <c r="BE4" i="2"/>
  <c r="BE5" i="2"/>
  <c r="BD13" i="2"/>
  <c r="BU13" i="2" s="1"/>
  <c r="BB9" i="2"/>
  <c r="BE8" i="2"/>
  <c r="BE7" i="2"/>
  <c r="BV7" i="2" s="1"/>
  <c r="BB4" i="2"/>
  <c r="BF13" i="2"/>
  <c r="BB13" i="2"/>
  <c r="BS13" i="2" s="1"/>
  <c r="BF12" i="2"/>
  <c r="BB12" i="2"/>
  <c r="BE10" i="2"/>
  <c r="BD9" i="2"/>
  <c r="BU9" i="2" s="1"/>
  <c r="BC8" i="2"/>
  <c r="BT8" i="2" s="1"/>
  <c r="BC7" i="2"/>
  <c r="BT7" i="2" s="1"/>
  <c r="BF6" i="2"/>
  <c r="BB6" i="2"/>
  <c r="BD4" i="2"/>
  <c r="BU4" i="2" s="1"/>
  <c r="BC5" i="2"/>
  <c r="BT5" i="2" s="1"/>
  <c r="BF4" i="2"/>
  <c r="BE13" i="2"/>
  <c r="BV13" i="2" s="1"/>
  <c r="BE12" i="2"/>
  <c r="BU10" i="2"/>
  <c r="BC9" i="2"/>
  <c r="BT9" i="2" s="1"/>
  <c r="BF8" i="2"/>
  <c r="BB8" i="2"/>
  <c r="BF7" i="2"/>
  <c r="BB7" i="2"/>
  <c r="BE6" i="2"/>
  <c r="BD5" i="2"/>
  <c r="BU5" i="2" s="1"/>
  <c r="BC4" i="2"/>
  <c r="BT4" i="2" s="1"/>
  <c r="BD12" i="2"/>
  <c r="BF9" i="2"/>
  <c r="BD6" i="2"/>
  <c r="BU6" i="2" s="1"/>
  <c r="AA9" i="2"/>
  <c r="AA5" i="2"/>
  <c r="AA8" i="2"/>
  <c r="AA4" i="2"/>
  <c r="AA10" i="2"/>
  <c r="AA6" i="2"/>
  <c r="AA13" i="2"/>
  <c r="AA7" i="2"/>
  <c r="BF3" i="2"/>
  <c r="BB139" i="2"/>
  <c r="BS139" i="2" s="1"/>
  <c r="BF139" i="2"/>
  <c r="AH12" i="2"/>
  <c r="AH14" i="2" s="1"/>
  <c r="AJ12" i="2"/>
  <c r="AJ14" i="2" s="1"/>
  <c r="AO55" i="2"/>
  <c r="AO56" i="2"/>
  <c r="AO59" i="2"/>
  <c r="AO5" i="2"/>
  <c r="AO9" i="2"/>
  <c r="AO30" i="2"/>
  <c r="AO31" i="2"/>
  <c r="AO34" i="2"/>
  <c r="AO35" i="2"/>
  <c r="AO4" i="3"/>
  <c r="AO8" i="3"/>
  <c r="AO33" i="3"/>
  <c r="AO54" i="3"/>
  <c r="AO58" i="3"/>
  <c r="AO91" i="3"/>
  <c r="AF7" i="3"/>
  <c r="AK7" i="3" s="1"/>
  <c r="BW4" i="3"/>
  <c r="BF3" i="3"/>
  <c r="AO5" i="3"/>
  <c r="AO9" i="3"/>
  <c r="AO30" i="3"/>
  <c r="AO34" i="3"/>
  <c r="AO55" i="3"/>
  <c r="AO59" i="3"/>
  <c r="AO7" i="2"/>
  <c r="AO32" i="2"/>
  <c r="AO36" i="2"/>
  <c r="AO57" i="2"/>
  <c r="AO90" i="2"/>
  <c r="AO6" i="3"/>
  <c r="AO10" i="3"/>
  <c r="AO31" i="3"/>
  <c r="AO35" i="3"/>
  <c r="AO56" i="3"/>
  <c r="AO60" i="3"/>
  <c r="AA111" i="3"/>
  <c r="BW111" i="3" s="1"/>
  <c r="AA109" i="3"/>
  <c r="BW109" i="3" s="1"/>
  <c r="AA114" i="3"/>
  <c r="BW114" i="3" s="1"/>
  <c r="AA112" i="3"/>
  <c r="BW112" i="3" s="1"/>
  <c r="AA110" i="3"/>
  <c r="BW110" i="3" s="1"/>
  <c r="AA113" i="3"/>
  <c r="BW113" i="3" s="1"/>
  <c r="AO4" i="2"/>
  <c r="AO8" i="2"/>
  <c r="AO33" i="2"/>
  <c r="AO54" i="2"/>
  <c r="AO58" i="2"/>
  <c r="AO91" i="2"/>
  <c r="AO32" i="3"/>
  <c r="AO36" i="3"/>
  <c r="AO57" i="3"/>
  <c r="AO90" i="3"/>
  <c r="AF33" i="3"/>
  <c r="AK33" i="3" s="1"/>
  <c r="AF133" i="2"/>
  <c r="AF135" i="2"/>
  <c r="AF134" i="2"/>
  <c r="AF137" i="2"/>
  <c r="AF132" i="2"/>
  <c r="AF136" i="2"/>
  <c r="AF131" i="2"/>
  <c r="AF23" i="2"/>
  <c r="AF18" i="2"/>
  <c r="AF24" i="2"/>
  <c r="AF21" i="2"/>
  <c r="AF20" i="2"/>
  <c r="AF22" i="2"/>
  <c r="AF19" i="2"/>
  <c r="AO13" i="2"/>
  <c r="AO10" i="2"/>
  <c r="AF132" i="3"/>
  <c r="AK132" i="3" s="1"/>
  <c r="AF134" i="3"/>
  <c r="AK134" i="3" s="1"/>
  <c r="AF135" i="3"/>
  <c r="AK135" i="3" s="1"/>
  <c r="AF137" i="3"/>
  <c r="AK137" i="3" s="1"/>
  <c r="AF131" i="3"/>
  <c r="AF136" i="3"/>
  <c r="AK136" i="3" s="1"/>
  <c r="AF20" i="3"/>
  <c r="AK20" i="3" s="1"/>
  <c r="AF22" i="3"/>
  <c r="AK22" i="3" s="1"/>
  <c r="AF23" i="3"/>
  <c r="AK23" i="3" s="1"/>
  <c r="AF18" i="3"/>
  <c r="AK18" i="3" s="1"/>
  <c r="AF19" i="3"/>
  <c r="AK19" i="3" s="1"/>
  <c r="AF24" i="3"/>
  <c r="AK24" i="3" s="1"/>
  <c r="AF21" i="3"/>
  <c r="AK21" i="3" s="1"/>
  <c r="AO13" i="3"/>
  <c r="AE80" i="2"/>
  <c r="AO6" i="2"/>
  <c r="AE84" i="2"/>
  <c r="AO60" i="2"/>
  <c r="AE81" i="3"/>
  <c r="AO7" i="3"/>
  <c r="AE78" i="2"/>
  <c r="AE79" i="2"/>
  <c r="AE83" i="2"/>
  <c r="AE38" i="3"/>
  <c r="AE66" i="3"/>
  <c r="AE70" i="3"/>
  <c r="AE80" i="3"/>
  <c r="AE84" i="3"/>
  <c r="AE67" i="3"/>
  <c r="AO67" i="3" s="1"/>
  <c r="AE71" i="3"/>
  <c r="AO71" i="3" s="1"/>
  <c r="AA78" i="3"/>
  <c r="BW78" i="3" s="1"/>
  <c r="AA82" i="3"/>
  <c r="BW82" i="3" s="1"/>
  <c r="AE83" i="3"/>
  <c r="AO83" i="3" s="1"/>
  <c r="AE78" i="3"/>
  <c r="AE82" i="3"/>
  <c r="AO82" i="3" s="1"/>
  <c r="AE79" i="3"/>
  <c r="AO79" i="3" s="1"/>
  <c r="AE68" i="3"/>
  <c r="AE72" i="3"/>
  <c r="AE69" i="3"/>
  <c r="AE92" i="3"/>
  <c r="AE92" i="2"/>
  <c r="AF13" i="2"/>
  <c r="AI84" i="2"/>
  <c r="AN84" i="2" s="1"/>
  <c r="AN10" i="2"/>
  <c r="AF10" i="2"/>
  <c r="AN13" i="2"/>
  <c r="AF13" i="3"/>
  <c r="AK13" i="3" s="1"/>
  <c r="AN13" i="3"/>
  <c r="AN8" i="3"/>
  <c r="AN4" i="3"/>
  <c r="AI84" i="3"/>
  <c r="AI80" i="3"/>
  <c r="AN9" i="3"/>
  <c r="AN7" i="3"/>
  <c r="AI83" i="3"/>
  <c r="AI79" i="3"/>
  <c r="AN5" i="3"/>
  <c r="AI81" i="3"/>
  <c r="AN10" i="3"/>
  <c r="AN6" i="3"/>
  <c r="AI82" i="3"/>
  <c r="AI78" i="3"/>
  <c r="AA24" i="2"/>
  <c r="AN7" i="2"/>
  <c r="AI83" i="2"/>
  <c r="AI79" i="2"/>
  <c r="AN8" i="2"/>
  <c r="AN6" i="2"/>
  <c r="AI82" i="2"/>
  <c r="AN9" i="2"/>
  <c r="AN5" i="2"/>
  <c r="AI81" i="2"/>
  <c r="AN4" i="2"/>
  <c r="AA19" i="2"/>
  <c r="AA20" i="2"/>
  <c r="AA23" i="2"/>
  <c r="AF122" i="2"/>
  <c r="AD12" i="3"/>
  <c r="AA67" i="3"/>
  <c r="BW67" i="3" s="1"/>
  <c r="AD68" i="3"/>
  <c r="AA71" i="3"/>
  <c r="BW71" i="3" s="1"/>
  <c r="AD72" i="3"/>
  <c r="AA80" i="3"/>
  <c r="BW80" i="3" s="1"/>
  <c r="AD81" i="3"/>
  <c r="AA81" i="3"/>
  <c r="BW81" i="3" s="1"/>
  <c r="AD82" i="3"/>
  <c r="AA84" i="3"/>
  <c r="BW84" i="3" s="1"/>
  <c r="AF127" i="3"/>
  <c r="AK127" i="3" s="1"/>
  <c r="AF125" i="3"/>
  <c r="AK125" i="3" s="1"/>
  <c r="AF126" i="3"/>
  <c r="AK126" i="3" s="1"/>
  <c r="AF123" i="3"/>
  <c r="AK123" i="3" s="1"/>
  <c r="AF121" i="3"/>
  <c r="AK121" i="3" s="1"/>
  <c r="AF124" i="3"/>
  <c r="AK124" i="3" s="1"/>
  <c r="AF122" i="3"/>
  <c r="AK122" i="3" s="1"/>
  <c r="AF57" i="3"/>
  <c r="AF123" i="2"/>
  <c r="AK123" i="2" s="1"/>
  <c r="AF124" i="2"/>
  <c r="AG66" i="2"/>
  <c r="AI78" i="2"/>
  <c r="AI80" i="2"/>
  <c r="AF4" i="2"/>
  <c r="AF121" i="2"/>
  <c r="AF125" i="2"/>
  <c r="AF126" i="2"/>
  <c r="AF127" i="2"/>
  <c r="AG70" i="2"/>
  <c r="AG71" i="2"/>
  <c r="AJ71" i="2"/>
  <c r="AD79" i="2"/>
  <c r="AB81" i="2"/>
  <c r="AL81" i="2" s="1"/>
  <c r="AE82" i="2"/>
  <c r="AD83" i="2"/>
  <c r="AH67" i="2"/>
  <c r="AH68" i="2"/>
  <c r="AH69" i="2"/>
  <c r="AJ67" i="2"/>
  <c r="AE69" i="2"/>
  <c r="AD70" i="2"/>
  <c r="AJ79" i="2"/>
  <c r="AJ80" i="2"/>
  <c r="AJ81" i="2"/>
  <c r="AJ82" i="2"/>
  <c r="AJ83" i="2"/>
  <c r="AJ84" i="2"/>
  <c r="AI68" i="2"/>
  <c r="AI72" i="2"/>
  <c r="AI40" i="1"/>
  <c r="AI65" i="1" s="1"/>
  <c r="AI89" i="1" s="1"/>
  <c r="AH27" i="1"/>
  <c r="AH53" i="1" s="1"/>
  <c r="AH77" i="1" s="1"/>
  <c r="AF4" i="3"/>
  <c r="AK4" i="3" s="1"/>
  <c r="AF114" i="3"/>
  <c r="AF111" i="3"/>
  <c r="AF103" i="3"/>
  <c r="AK103" i="3" s="1"/>
  <c r="AF98" i="3"/>
  <c r="AK98" i="3" s="1"/>
  <c r="AF116" i="3"/>
  <c r="AF101" i="3"/>
  <c r="AK101" i="3" s="1"/>
  <c r="AF99" i="3"/>
  <c r="AK99" i="3" s="1"/>
  <c r="AF112" i="3"/>
  <c r="AF109" i="3"/>
  <c r="AF97" i="3"/>
  <c r="AF102" i="3"/>
  <c r="AK102" i="3" s="1"/>
  <c r="AF113" i="3"/>
  <c r="AF110" i="3"/>
  <c r="AF100" i="3"/>
  <c r="AK100" i="3" s="1"/>
  <c r="AA116" i="3"/>
  <c r="BW116" i="3" s="1"/>
  <c r="AG27" i="1"/>
  <c r="AG53" i="1" s="1"/>
  <c r="AG77" i="1" s="1"/>
  <c r="AF27" i="1"/>
  <c r="AF53" i="1" s="1"/>
  <c r="AF77" i="1" s="1"/>
  <c r="AB78" i="2"/>
  <c r="AL4" i="2"/>
  <c r="AC81" i="2"/>
  <c r="AM7" i="2"/>
  <c r="AB82" i="2"/>
  <c r="AL8" i="2"/>
  <c r="AC38" i="2"/>
  <c r="AM30" i="2"/>
  <c r="AB38" i="2"/>
  <c r="AL31" i="2"/>
  <c r="AC67" i="2"/>
  <c r="AM55" i="2"/>
  <c r="AB68" i="2"/>
  <c r="AL56" i="2"/>
  <c r="AC71" i="2"/>
  <c r="AM71" i="2" s="1"/>
  <c r="AM59" i="2"/>
  <c r="AB72" i="2"/>
  <c r="AL60" i="2"/>
  <c r="AC78" i="2"/>
  <c r="AM4" i="2"/>
  <c r="AC82" i="2"/>
  <c r="AM82" i="2" s="1"/>
  <c r="AM8" i="2"/>
  <c r="AE38" i="2"/>
  <c r="AE66" i="2"/>
  <c r="AD67" i="2"/>
  <c r="AC68" i="2"/>
  <c r="AM56" i="2"/>
  <c r="AB69" i="2"/>
  <c r="AE70" i="2"/>
  <c r="AD71" i="2"/>
  <c r="AC72" i="2"/>
  <c r="AM60" i="2"/>
  <c r="AL5" i="2"/>
  <c r="AC79" i="2"/>
  <c r="AM5" i="2"/>
  <c r="AB80" i="2"/>
  <c r="AL80" i="2" s="1"/>
  <c r="AL6" i="2"/>
  <c r="AE81" i="2"/>
  <c r="AD82" i="2"/>
  <c r="AN82" i="2" s="1"/>
  <c r="AC83" i="2"/>
  <c r="AM83" i="2" s="1"/>
  <c r="AM9" i="2"/>
  <c r="AB84" i="2"/>
  <c r="AB66" i="2"/>
  <c r="AL54" i="2"/>
  <c r="AE67" i="2"/>
  <c r="AC69" i="2"/>
  <c r="AM57" i="2"/>
  <c r="AB70" i="2"/>
  <c r="AL58" i="2"/>
  <c r="AE71" i="2"/>
  <c r="AB92" i="2"/>
  <c r="AL7" i="2"/>
  <c r="AL57" i="2"/>
  <c r="AC80" i="2"/>
  <c r="AM6" i="2"/>
  <c r="AC84" i="2"/>
  <c r="AM84" i="2" s="1"/>
  <c r="AC66" i="2"/>
  <c r="AM54" i="2"/>
  <c r="AB67" i="2"/>
  <c r="AE68" i="2"/>
  <c r="AC70" i="2"/>
  <c r="AM58" i="2"/>
  <c r="AB71" i="2"/>
  <c r="AE72" i="2"/>
  <c r="AF91" i="2"/>
  <c r="AA114" i="2"/>
  <c r="AA112" i="2"/>
  <c r="AF110" i="2"/>
  <c r="AF102" i="2"/>
  <c r="AF97" i="2"/>
  <c r="AF103" i="2"/>
  <c r="AF100" i="2"/>
  <c r="AF98" i="2"/>
  <c r="AF114" i="2"/>
  <c r="AA111" i="2"/>
  <c r="AA109" i="2"/>
  <c r="AF101" i="2"/>
  <c r="AA116" i="2"/>
  <c r="AF113" i="2"/>
  <c r="AA110" i="2"/>
  <c r="AF99" i="2"/>
  <c r="AA113" i="2"/>
  <c r="AF111" i="2"/>
  <c r="AF109" i="2"/>
  <c r="AF112" i="2"/>
  <c r="AF116" i="2"/>
  <c r="AF58" i="2"/>
  <c r="AF54" i="2"/>
  <c r="AF34" i="2"/>
  <c r="AF30" i="2"/>
  <c r="AF8" i="2"/>
  <c r="AL9" i="2"/>
  <c r="AL59" i="2"/>
  <c r="AI66" i="2"/>
  <c r="AI67" i="2"/>
  <c r="AI69" i="2"/>
  <c r="AH70" i="2"/>
  <c r="AH72" i="2"/>
  <c r="AH79" i="2"/>
  <c r="AH80" i="2"/>
  <c r="AH81" i="2"/>
  <c r="AG82" i="2"/>
  <c r="AG83" i="2"/>
  <c r="AL83" i="2" s="1"/>
  <c r="AG84" i="2"/>
  <c r="AG38" i="2"/>
  <c r="AJ66" i="2"/>
  <c r="AJ68" i="2"/>
  <c r="AJ69" i="2"/>
  <c r="AI70" i="2"/>
  <c r="AI71" i="2"/>
  <c r="AH38" i="2"/>
  <c r="AH74" i="2" s="1"/>
  <c r="AG72" i="2"/>
  <c r="AJ41" i="2"/>
  <c r="AJ65" i="2" s="1"/>
  <c r="AJ89" i="2" s="1"/>
  <c r="AG62" i="2"/>
  <c r="AG67" i="2"/>
  <c r="AG68" i="2"/>
  <c r="AG69" i="2"/>
  <c r="AJ70" i="2"/>
  <c r="AJ72" i="2"/>
  <c r="AC92" i="2"/>
  <c r="AE40" i="1"/>
  <c r="AE65" i="1" s="1"/>
  <c r="AE89" i="1" s="1"/>
  <c r="AE27" i="1"/>
  <c r="AE53" i="1" s="1"/>
  <c r="AE77" i="1" s="1"/>
  <c r="AF9" i="2"/>
  <c r="AF31" i="2"/>
  <c r="AF35" i="2"/>
  <c r="AF55" i="2"/>
  <c r="AF59" i="2"/>
  <c r="AF3" i="3"/>
  <c r="AF17" i="3" s="1"/>
  <c r="AF29" i="3" s="1"/>
  <c r="AF53" i="3" s="1"/>
  <c r="AF77" i="3" s="1"/>
  <c r="AF8" i="3"/>
  <c r="AK8" i="3" s="1"/>
  <c r="AF30" i="3"/>
  <c r="AF34" i="3"/>
  <c r="AK34" i="3" s="1"/>
  <c r="AF54" i="3"/>
  <c r="AK54" i="3" s="1"/>
  <c r="AF58" i="3"/>
  <c r="AK58" i="3" s="1"/>
  <c r="AA3" i="2"/>
  <c r="AA17" i="2" s="1"/>
  <c r="AA29" i="2" s="1"/>
  <c r="AA41" i="2" s="1"/>
  <c r="AA53" i="2" s="1"/>
  <c r="AA65" i="2" s="1"/>
  <c r="AA77" i="2" s="1"/>
  <c r="AA89" i="2" s="1"/>
  <c r="AA21" i="2"/>
  <c r="AF6" i="2"/>
  <c r="AF32" i="2"/>
  <c r="AF36" i="2"/>
  <c r="AF56" i="2"/>
  <c r="AF60" i="2"/>
  <c r="AF90" i="2"/>
  <c r="AF5" i="3"/>
  <c r="AK5" i="3" s="1"/>
  <c r="AF9" i="3"/>
  <c r="AK9" i="3" s="1"/>
  <c r="AF31" i="3"/>
  <c r="AK31" i="3" s="1"/>
  <c r="AF35" i="3"/>
  <c r="AK35" i="3" s="1"/>
  <c r="AF55" i="3"/>
  <c r="AF59" i="3"/>
  <c r="AF90" i="3"/>
  <c r="AK90" i="3" s="1"/>
  <c r="AA3" i="3"/>
  <c r="AF5" i="2"/>
  <c r="AA18" i="2"/>
  <c r="AA22" i="2"/>
  <c r="AF3" i="2"/>
  <c r="AF17" i="2" s="1"/>
  <c r="AF41" i="2" s="1"/>
  <c r="AF65" i="2" s="1"/>
  <c r="AF89" i="2" s="1"/>
  <c r="AF7" i="2"/>
  <c r="AF33" i="2"/>
  <c r="AF57" i="2"/>
  <c r="AF6" i="3"/>
  <c r="AK6" i="3" s="1"/>
  <c r="AF10" i="3"/>
  <c r="AK10" i="3" s="1"/>
  <c r="AF32" i="3"/>
  <c r="AK32" i="3" s="1"/>
  <c r="AF36" i="3"/>
  <c r="AK36" i="3" s="1"/>
  <c r="AF56" i="3"/>
  <c r="AK56" i="3" s="1"/>
  <c r="AF60" i="3"/>
  <c r="AK60" i="3" s="1"/>
  <c r="AF91" i="3"/>
  <c r="AK91" i="3" s="1"/>
  <c r="AD92" i="2"/>
  <c r="AA79" i="3"/>
  <c r="BW79" i="3" s="1"/>
  <c r="AD80" i="3"/>
  <c r="AA83" i="3"/>
  <c r="BW83" i="3" s="1"/>
  <c r="AD84" i="3"/>
  <c r="AD62" i="3"/>
  <c r="AD62" i="2"/>
  <c r="AD81" i="2"/>
  <c r="AD12" i="2"/>
  <c r="AD14" i="2" s="1"/>
  <c r="AA68" i="3"/>
  <c r="BW68" i="3" s="1"/>
  <c r="AD69" i="3"/>
  <c r="AA72" i="3"/>
  <c r="BW72" i="3" s="1"/>
  <c r="AA69" i="3"/>
  <c r="BW69" i="3" s="1"/>
  <c r="AD70" i="3"/>
  <c r="AD38" i="3"/>
  <c r="AA66" i="3"/>
  <c r="BW66" i="3" s="1"/>
  <c r="AD67" i="3"/>
  <c r="AA70" i="3"/>
  <c r="BW70" i="3" s="1"/>
  <c r="AD71" i="3"/>
  <c r="AD68" i="2"/>
  <c r="AD72" i="2"/>
  <c r="AD38" i="2"/>
  <c r="AN38" i="2" s="1"/>
  <c r="AD69" i="2"/>
  <c r="AG74" i="3"/>
  <c r="AI62" i="3"/>
  <c r="AH29" i="3"/>
  <c r="AH53" i="3" s="1"/>
  <c r="AH77" i="3" s="1"/>
  <c r="AJ62" i="3"/>
  <c r="AH66" i="3"/>
  <c r="AG78" i="3"/>
  <c r="AL78" i="3" s="1"/>
  <c r="AI29" i="3"/>
  <c r="AI53" i="3" s="1"/>
  <c r="AI77" i="3" s="1"/>
  <c r="AH78" i="3"/>
  <c r="AM78" i="3" s="1"/>
  <c r="AI62" i="2"/>
  <c r="AI74" i="2" s="1"/>
  <c r="AJ78" i="2"/>
  <c r="AH29" i="2"/>
  <c r="AH53" i="2" s="1"/>
  <c r="AH77" i="2" s="1"/>
  <c r="AJ62" i="2"/>
  <c r="AJ74" i="2" s="1"/>
  <c r="AH66" i="2"/>
  <c r="AG78" i="2"/>
  <c r="AI29" i="2"/>
  <c r="AI53" i="2" s="1"/>
  <c r="AI77" i="2" s="1"/>
  <c r="AH78" i="2"/>
  <c r="AA12" i="3"/>
  <c r="AE12" i="3"/>
  <c r="BV12" i="3" s="1"/>
  <c r="AD78" i="3"/>
  <c r="AB12" i="3"/>
  <c r="AB62" i="3"/>
  <c r="AE62" i="3"/>
  <c r="BV62" i="3" s="1"/>
  <c r="AC12" i="3"/>
  <c r="AC62" i="3"/>
  <c r="AD66" i="3"/>
  <c r="AB12" i="2"/>
  <c r="AB14" i="2" s="1"/>
  <c r="AB62" i="2"/>
  <c r="AC12" i="2"/>
  <c r="AC14" i="2" s="1"/>
  <c r="AC62" i="2"/>
  <c r="AE12" i="2"/>
  <c r="AE62" i="2"/>
  <c r="AD66" i="2"/>
  <c r="AD78" i="2"/>
  <c r="AM83" i="3" l="1"/>
  <c r="AJ74" i="3"/>
  <c r="AN69" i="3"/>
  <c r="BW126" i="2"/>
  <c r="BD85" i="2"/>
  <c r="AL38" i="3"/>
  <c r="AL72" i="3"/>
  <c r="AM38" i="3"/>
  <c r="AN72" i="3"/>
  <c r="AO78" i="3"/>
  <c r="AL71" i="3"/>
  <c r="BW7" i="2"/>
  <c r="BD73" i="2"/>
  <c r="BD49" i="2"/>
  <c r="BW48" i="2"/>
  <c r="AM81" i="3"/>
  <c r="AO84" i="3"/>
  <c r="AL79" i="3"/>
  <c r="AM39" i="3"/>
  <c r="AO81" i="3"/>
  <c r="BD86" i="2"/>
  <c r="BU36" i="2"/>
  <c r="BD48" i="2"/>
  <c r="BU48" i="2" s="1"/>
  <c r="BU33" i="2"/>
  <c r="BD45" i="2"/>
  <c r="BU45" i="2" s="1"/>
  <c r="BW102" i="2"/>
  <c r="BU31" i="2"/>
  <c r="BD43" i="2"/>
  <c r="BU43" i="2" s="1"/>
  <c r="BU35" i="2"/>
  <c r="BD47" i="2"/>
  <c r="BU47" i="2" s="1"/>
  <c r="BU32" i="2"/>
  <c r="BD44" i="2"/>
  <c r="BU44" i="2" s="1"/>
  <c r="BU12" i="2"/>
  <c r="BD14" i="2"/>
  <c r="BU14" i="2" s="1"/>
  <c r="BB85" i="2"/>
  <c r="BD39" i="2"/>
  <c r="BU39" i="2" s="1"/>
  <c r="BE39" i="2"/>
  <c r="BB42" i="2"/>
  <c r="BS42" i="2" s="1"/>
  <c r="BB39" i="2"/>
  <c r="BS39" i="2" s="1"/>
  <c r="AK30" i="3"/>
  <c r="AF39" i="3"/>
  <c r="AK39" i="3" s="1"/>
  <c r="AF39" i="2"/>
  <c r="BF39" i="2"/>
  <c r="BC73" i="2"/>
  <c r="BC85" i="2"/>
  <c r="AA39" i="2"/>
  <c r="BC42" i="2"/>
  <c r="BT42" i="2" s="1"/>
  <c r="BC39" i="2"/>
  <c r="BT39" i="2" s="1"/>
  <c r="BB73" i="2"/>
  <c r="BF73" i="2"/>
  <c r="BF85" i="2"/>
  <c r="AL66" i="3"/>
  <c r="AM66" i="3"/>
  <c r="AO72" i="3"/>
  <c r="BW122" i="2"/>
  <c r="AK121" i="2"/>
  <c r="BW123" i="2"/>
  <c r="AK122" i="2"/>
  <c r="BW109" i="2"/>
  <c r="BW19" i="2"/>
  <c r="BC116" i="2"/>
  <c r="BT116" i="2" s="1"/>
  <c r="BT109" i="2"/>
  <c r="AK126" i="2"/>
  <c r="AM82" i="3"/>
  <c r="AL68" i="3"/>
  <c r="BE67" i="2"/>
  <c r="BT33" i="2"/>
  <c r="BT30" i="2"/>
  <c r="BT31" i="2"/>
  <c r="BW110" i="2"/>
  <c r="BT34" i="2"/>
  <c r="BT35" i="2"/>
  <c r="BT36" i="2"/>
  <c r="BV12" i="2"/>
  <c r="BT32" i="2"/>
  <c r="BE79" i="2"/>
  <c r="AK125" i="2"/>
  <c r="BE80" i="2"/>
  <c r="BW125" i="2"/>
  <c r="AK124" i="2"/>
  <c r="BW124" i="2"/>
  <c r="AA127" i="2"/>
  <c r="BW127" i="2" s="1"/>
  <c r="BW44" i="2"/>
  <c r="BW43" i="2"/>
  <c r="BW46" i="2"/>
  <c r="BW45" i="2"/>
  <c r="BW42" i="2"/>
  <c r="BW47" i="2"/>
  <c r="AK33" i="2"/>
  <c r="AK132" i="2"/>
  <c r="AK133" i="2"/>
  <c r="BW18" i="2"/>
  <c r="BF79" i="2"/>
  <c r="AA82" i="2"/>
  <c r="BE68" i="2"/>
  <c r="AL67" i="3"/>
  <c r="AO80" i="3"/>
  <c r="AL70" i="3"/>
  <c r="AL84" i="3"/>
  <c r="AL69" i="3"/>
  <c r="AL80" i="3"/>
  <c r="AN70" i="3"/>
  <c r="AM71" i="3"/>
  <c r="AO69" i="3"/>
  <c r="AN84" i="3"/>
  <c r="AN68" i="3"/>
  <c r="AO68" i="3"/>
  <c r="AL81" i="3"/>
  <c r="AL82" i="3"/>
  <c r="AN62" i="3"/>
  <c r="AC74" i="3"/>
  <c r="AM74" i="3" s="1"/>
  <c r="AM62" i="3"/>
  <c r="AN67" i="3"/>
  <c r="AO66" i="3"/>
  <c r="AB74" i="3"/>
  <c r="AL74" i="3" s="1"/>
  <c r="AL62" i="3"/>
  <c r="AI74" i="3"/>
  <c r="AN71" i="3"/>
  <c r="AN80" i="3"/>
  <c r="AN82" i="3"/>
  <c r="AM68" i="3"/>
  <c r="AN66" i="3"/>
  <c r="AO70" i="3"/>
  <c r="AD86" i="3"/>
  <c r="AG14" i="3"/>
  <c r="AN78" i="3"/>
  <c r="AK54" i="2"/>
  <c r="BF78" i="2"/>
  <c r="AK59" i="2"/>
  <c r="AN80" i="2"/>
  <c r="AL71" i="2"/>
  <c r="AG74" i="2"/>
  <c r="AK34" i="2"/>
  <c r="AK101" i="2"/>
  <c r="AK91" i="2"/>
  <c r="BW24" i="2"/>
  <c r="AK137" i="2"/>
  <c r="AK36" i="2"/>
  <c r="BW6" i="2"/>
  <c r="BE82" i="2"/>
  <c r="BE78" i="2"/>
  <c r="BE71" i="2"/>
  <c r="AN83" i="2"/>
  <c r="AN68" i="2"/>
  <c r="AN62" i="2"/>
  <c r="AO66" i="2"/>
  <c r="AN70" i="2"/>
  <c r="AN66" i="2"/>
  <c r="AN72" i="2"/>
  <c r="AG86" i="2"/>
  <c r="AH86" i="2"/>
  <c r="BU38" i="2"/>
  <c r="AO67" i="2"/>
  <c r="AK9" i="2"/>
  <c r="AA68" i="2"/>
  <c r="AK102" i="2"/>
  <c r="BF84" i="2"/>
  <c r="BW23" i="2"/>
  <c r="AA69" i="2"/>
  <c r="AM72" i="3"/>
  <c r="AJ86" i="3"/>
  <c r="AN81" i="3"/>
  <c r="AM67" i="3"/>
  <c r="BU38" i="3"/>
  <c r="AN38" i="3"/>
  <c r="AM70" i="3"/>
  <c r="AK8" i="2"/>
  <c r="BW112" i="2"/>
  <c r="AO69" i="2"/>
  <c r="BV31" i="2"/>
  <c r="BV5" i="2"/>
  <c r="BF82" i="2"/>
  <c r="BW98" i="2"/>
  <c r="AO72" i="2"/>
  <c r="AO68" i="2"/>
  <c r="AN69" i="2"/>
  <c r="AA67" i="2"/>
  <c r="BW113" i="2"/>
  <c r="AO71" i="2"/>
  <c r="AM69" i="2"/>
  <c r="AN71" i="2"/>
  <c r="AK13" i="2"/>
  <c r="AO83" i="2"/>
  <c r="AO80" i="2"/>
  <c r="AK134" i="2"/>
  <c r="BW9" i="2"/>
  <c r="BF80" i="2"/>
  <c r="BW58" i="2"/>
  <c r="AK57" i="2"/>
  <c r="AK31" i="2"/>
  <c r="AK98" i="2"/>
  <c r="AO70" i="2"/>
  <c r="AN67" i="2"/>
  <c r="AO79" i="2"/>
  <c r="AA66" i="2"/>
  <c r="AA84" i="2"/>
  <c r="BW134" i="2"/>
  <c r="BW5" i="2"/>
  <c r="BW91" i="2"/>
  <c r="BW136" i="2"/>
  <c r="BW137" i="2"/>
  <c r="AA81" i="2"/>
  <c r="BW13" i="2"/>
  <c r="BE72" i="2"/>
  <c r="BW54" i="2"/>
  <c r="BW135" i="2"/>
  <c r="AF71" i="3"/>
  <c r="AK71" i="3" s="1"/>
  <c r="AK7" i="2"/>
  <c r="AK60" i="2"/>
  <c r="AK103" i="2"/>
  <c r="AK4" i="2"/>
  <c r="AK135" i="2"/>
  <c r="AC86" i="3"/>
  <c r="AC14" i="3"/>
  <c r="AM12" i="3"/>
  <c r="AD14" i="3"/>
  <c r="AH86" i="3"/>
  <c r="AH14" i="3"/>
  <c r="AN79" i="3"/>
  <c r="AB86" i="3"/>
  <c r="AL86" i="3" s="1"/>
  <c r="AB14" i="3"/>
  <c r="AL12" i="3"/>
  <c r="AN83" i="3"/>
  <c r="BF108" i="3"/>
  <c r="BF65" i="3"/>
  <c r="BF17" i="3"/>
  <c r="BF96" i="3"/>
  <c r="BF53" i="3"/>
  <c r="BF120" i="3"/>
  <c r="BF77" i="3"/>
  <c r="BF29" i="3"/>
  <c r="BF130" i="3"/>
  <c r="BF89" i="3"/>
  <c r="BF41" i="3"/>
  <c r="BW20" i="2"/>
  <c r="AO82" i="2"/>
  <c r="BD83" i="2"/>
  <c r="BU83" i="2" s="1"/>
  <c r="BD81" i="2"/>
  <c r="BU81" i="2" s="1"/>
  <c r="BD66" i="2"/>
  <c r="BU30" i="2"/>
  <c r="BS32" i="2"/>
  <c r="BW60" i="2"/>
  <c r="BF72" i="2"/>
  <c r="BD74" i="2"/>
  <c r="AA105" i="2"/>
  <c r="BW105" i="2" s="1"/>
  <c r="AK32" i="2"/>
  <c r="AA79" i="2"/>
  <c r="BV32" i="2"/>
  <c r="BF120" i="2"/>
  <c r="BF77" i="2"/>
  <c r="BF29" i="2"/>
  <c r="BF108" i="2"/>
  <c r="BF65" i="2"/>
  <c r="BF17" i="2"/>
  <c r="BF130" i="2"/>
  <c r="BF41" i="2"/>
  <c r="BF96" i="2"/>
  <c r="BF53" i="2"/>
  <c r="BF89" i="2"/>
  <c r="BW10" i="2"/>
  <c r="BC83" i="2"/>
  <c r="BT83" i="2" s="1"/>
  <c r="BS5" i="2"/>
  <c r="BB79" i="2"/>
  <c r="BS79" i="2" s="1"/>
  <c r="BC86" i="2"/>
  <c r="BC14" i="2"/>
  <c r="BB66" i="2"/>
  <c r="BS66" i="2" s="1"/>
  <c r="BS30" i="2"/>
  <c r="BW32" i="2"/>
  <c r="BF74" i="2"/>
  <c r="AI11" i="5" s="1"/>
  <c r="BS109" i="2"/>
  <c r="BB116" i="2"/>
  <c r="BS116" i="2" s="1"/>
  <c r="AA139" i="2"/>
  <c r="BW139" i="2" s="1"/>
  <c r="BV6" i="2"/>
  <c r="AN81" i="2"/>
  <c r="AK55" i="2"/>
  <c r="BW111" i="2"/>
  <c r="AA70" i="2"/>
  <c r="AO78" i="2"/>
  <c r="AK136" i="2"/>
  <c r="BW4" i="2"/>
  <c r="AA12" i="2"/>
  <c r="AA14" i="2" s="1"/>
  <c r="BD80" i="2"/>
  <c r="BU80" i="2" s="1"/>
  <c r="BC78" i="2"/>
  <c r="BT78" i="2" s="1"/>
  <c r="BF81" i="2"/>
  <c r="BD84" i="2"/>
  <c r="BU84" i="2" s="1"/>
  <c r="BC79" i="2"/>
  <c r="BT79" i="2" s="1"/>
  <c r="BC81" i="2"/>
  <c r="BT81" i="2" s="1"/>
  <c r="BB14" i="2"/>
  <c r="BB86" i="2"/>
  <c r="BB78" i="2"/>
  <c r="BS78" i="2" s="1"/>
  <c r="BS4" i="2"/>
  <c r="BE83" i="2"/>
  <c r="BE69" i="2"/>
  <c r="BS34" i="2"/>
  <c r="BF70" i="2"/>
  <c r="BW34" i="2"/>
  <c r="BE66" i="2"/>
  <c r="BW33" i="2"/>
  <c r="BF66" i="2"/>
  <c r="BW30" i="2"/>
  <c r="BD70" i="2"/>
  <c r="BU34" i="2"/>
  <c r="BB74" i="2"/>
  <c r="BC66" i="2"/>
  <c r="BT66" i="2" s="1"/>
  <c r="BC74" i="2"/>
  <c r="BW55" i="2"/>
  <c r="BW131" i="2"/>
  <c r="BS55" i="2"/>
  <c r="BB67" i="2"/>
  <c r="BS67" i="2" s="1"/>
  <c r="BS58" i="2"/>
  <c r="BB70" i="2"/>
  <c r="BS70" i="2" s="1"/>
  <c r="BD67" i="2"/>
  <c r="BD71" i="2"/>
  <c r="BW97" i="2"/>
  <c r="BW99" i="2"/>
  <c r="BW101" i="2"/>
  <c r="BW103" i="2"/>
  <c r="BV4" i="2"/>
  <c r="AA130" i="2"/>
  <c r="AA120" i="2"/>
  <c r="AA96" i="2"/>
  <c r="AA108" i="2"/>
  <c r="BC84" i="2"/>
  <c r="BT84" i="2" s="1"/>
  <c r="BB80" i="2"/>
  <c r="BS80" i="2" s="1"/>
  <c r="BS6" i="2"/>
  <c r="BW35" i="2"/>
  <c r="BC71" i="2"/>
  <c r="BT71" i="2" s="1"/>
  <c r="BW57" i="2"/>
  <c r="BF69" i="2"/>
  <c r="BB69" i="2"/>
  <c r="BS69" i="2" s="1"/>
  <c r="BS57" i="2"/>
  <c r="BW59" i="2"/>
  <c r="BF71" i="2"/>
  <c r="BD69" i="2"/>
  <c r="BW100" i="2"/>
  <c r="AK90" i="2"/>
  <c r="AK100" i="2"/>
  <c r="BV35" i="2"/>
  <c r="BS7" i="2"/>
  <c r="BB81" i="2"/>
  <c r="BS81" i="2" s="1"/>
  <c r="BE84" i="2"/>
  <c r="BV10" i="2"/>
  <c r="BS9" i="2"/>
  <c r="BB83" i="2"/>
  <c r="BS83" i="2" s="1"/>
  <c r="BD82" i="2"/>
  <c r="BU82" i="2" s="1"/>
  <c r="BS31" i="2"/>
  <c r="BF67" i="2"/>
  <c r="BW31" i="2"/>
  <c r="BS33" i="2"/>
  <c r="BC69" i="2"/>
  <c r="BT69" i="2" s="1"/>
  <c r="BC70" i="2"/>
  <c r="BT70" i="2" s="1"/>
  <c r="BS121" i="2"/>
  <c r="BB127" i="2"/>
  <c r="BS127" i="2" s="1"/>
  <c r="AN78" i="2"/>
  <c r="AA72" i="2"/>
  <c r="AK5" i="2"/>
  <c r="AK6" i="2"/>
  <c r="AA71" i="2"/>
  <c r="AA80" i="2"/>
  <c r="BW21" i="2"/>
  <c r="AK35" i="2"/>
  <c r="AK97" i="2"/>
  <c r="BW114" i="2"/>
  <c r="AO81" i="2"/>
  <c r="AN79" i="2"/>
  <c r="AK10" i="2"/>
  <c r="AA83" i="2"/>
  <c r="AA78" i="2"/>
  <c r="AO84" i="2"/>
  <c r="BV30" i="2"/>
  <c r="BV36" i="2"/>
  <c r="BW8" i="2"/>
  <c r="BF83" i="2"/>
  <c r="BD79" i="2"/>
  <c r="BU79" i="2" s="1"/>
  <c r="BB82" i="2"/>
  <c r="BS82" i="2" s="1"/>
  <c r="BS8" i="2"/>
  <c r="BE14" i="2"/>
  <c r="BE86" i="2"/>
  <c r="BD78" i="2"/>
  <c r="BU78" i="2" s="1"/>
  <c r="BC82" i="2"/>
  <c r="BT82" i="2" s="1"/>
  <c r="BF14" i="2"/>
  <c r="AI4" i="5" s="1"/>
  <c r="BF86" i="2"/>
  <c r="AI10" i="5" s="1"/>
  <c r="BE81" i="2"/>
  <c r="BC80" i="2"/>
  <c r="BT80" i="2" s="1"/>
  <c r="BB84" i="2"/>
  <c r="BS84" i="2" s="1"/>
  <c r="BS10" i="2"/>
  <c r="BB72" i="2"/>
  <c r="BS72" i="2" s="1"/>
  <c r="BS36" i="2"/>
  <c r="BW36" i="2"/>
  <c r="BC67" i="2"/>
  <c r="BT67" i="2" s="1"/>
  <c r="BS35" i="2"/>
  <c r="BE70" i="2"/>
  <c r="BW56" i="2"/>
  <c r="BF68" i="2"/>
  <c r="BS56" i="2"/>
  <c r="BB68" i="2"/>
  <c r="BS68" i="2" s="1"/>
  <c r="BW90" i="2"/>
  <c r="BC68" i="2"/>
  <c r="BT68" i="2" s="1"/>
  <c r="BC72" i="2"/>
  <c r="BT72" i="2" s="1"/>
  <c r="BF116" i="2"/>
  <c r="BW116" i="2" s="1"/>
  <c r="BS59" i="2"/>
  <c r="BB71" i="2"/>
  <c r="BS71" i="2" s="1"/>
  <c r="BD68" i="2"/>
  <c r="BD72" i="2"/>
  <c r="BW132" i="2"/>
  <c r="BW133" i="2"/>
  <c r="BV8" i="2"/>
  <c r="BV92" i="2"/>
  <c r="BV92" i="3"/>
  <c r="BV62" i="2"/>
  <c r="BV38" i="2"/>
  <c r="BV38" i="3"/>
  <c r="AK22" i="2"/>
  <c r="BW22" i="2"/>
  <c r="AA14" i="3"/>
  <c r="BW14" i="3" s="1"/>
  <c r="AJ5" i="5" s="1"/>
  <c r="BW12" i="3"/>
  <c r="AK114" i="3"/>
  <c r="AF29" i="2"/>
  <c r="AF53" i="2" s="1"/>
  <c r="AF77" i="2" s="1"/>
  <c r="AF81" i="3"/>
  <c r="AK81" i="3" s="1"/>
  <c r="AK18" i="2"/>
  <c r="AK21" i="2"/>
  <c r="AK24" i="2"/>
  <c r="AK19" i="2"/>
  <c r="AK131" i="3"/>
  <c r="AF139" i="3"/>
  <c r="AK139" i="3" s="1"/>
  <c r="AK23" i="2"/>
  <c r="AF139" i="2"/>
  <c r="AK131" i="2"/>
  <c r="AK20" i="2"/>
  <c r="AK110" i="2"/>
  <c r="AE14" i="2"/>
  <c r="AE74" i="3"/>
  <c r="AO74" i="3" s="1"/>
  <c r="AE14" i="3"/>
  <c r="AF41" i="3"/>
  <c r="AF65" i="3" s="1"/>
  <c r="AF89" i="3" s="1"/>
  <c r="AF69" i="3"/>
  <c r="AK69" i="3" s="1"/>
  <c r="AK57" i="3"/>
  <c r="AF78" i="2"/>
  <c r="AF70" i="2"/>
  <c r="AF67" i="3"/>
  <c r="AK67" i="3" s="1"/>
  <c r="AK112" i="3"/>
  <c r="AD74" i="3"/>
  <c r="AK58" i="2"/>
  <c r="AF66" i="2"/>
  <c r="AF70" i="3"/>
  <c r="AK70" i="3" s="1"/>
  <c r="AK116" i="3"/>
  <c r="AK109" i="3"/>
  <c r="AF72" i="3"/>
  <c r="AK72" i="3" s="1"/>
  <c r="AF68" i="3"/>
  <c r="AK68" i="3" s="1"/>
  <c r="AF12" i="3"/>
  <c r="AF14" i="3" s="1"/>
  <c r="AF67" i="2"/>
  <c r="AK113" i="2"/>
  <c r="AL66" i="2"/>
  <c r="AM67" i="2"/>
  <c r="AM68" i="2"/>
  <c r="AD86" i="2"/>
  <c r="AF69" i="2"/>
  <c r="AD74" i="2"/>
  <c r="AN74" i="2" s="1"/>
  <c r="AE74" i="2"/>
  <c r="AO74" i="2" s="1"/>
  <c r="AF71" i="2"/>
  <c r="AL70" i="2"/>
  <c r="AK30" i="2"/>
  <c r="AF68" i="2"/>
  <c r="AK97" i="3"/>
  <c r="AF105" i="3"/>
  <c r="AK105" i="3" s="1"/>
  <c r="AK110" i="3"/>
  <c r="AF38" i="3"/>
  <c r="AK111" i="3"/>
  <c r="AK113" i="3"/>
  <c r="AB86" i="2"/>
  <c r="AL86" i="2" s="1"/>
  <c r="AL12" i="2"/>
  <c r="AF82" i="2"/>
  <c r="AK111" i="2"/>
  <c r="AK112" i="2"/>
  <c r="AL67" i="2"/>
  <c r="AL84" i="2"/>
  <c r="AC74" i="2"/>
  <c r="AM74" i="2" s="1"/>
  <c r="AM62" i="2"/>
  <c r="AK116" i="2"/>
  <c r="AK114" i="2"/>
  <c r="AM79" i="2"/>
  <c r="AM72" i="2"/>
  <c r="AL69" i="2"/>
  <c r="AL72" i="2"/>
  <c r="AL68" i="2"/>
  <c r="AL38" i="2"/>
  <c r="AM81" i="2"/>
  <c r="AC86" i="2"/>
  <c r="AM12" i="2"/>
  <c r="AF105" i="2"/>
  <c r="AK99" i="2"/>
  <c r="AM70" i="2"/>
  <c r="AM66" i="2"/>
  <c r="AM80" i="2"/>
  <c r="AB74" i="2"/>
  <c r="AL62" i="2"/>
  <c r="AK109" i="2"/>
  <c r="AM78" i="2"/>
  <c r="AM38" i="2"/>
  <c r="AL82" i="2"/>
  <c r="AL78" i="2"/>
  <c r="AF62" i="3"/>
  <c r="AF72" i="2"/>
  <c r="AK59" i="3"/>
  <c r="AF12" i="2"/>
  <c r="AF14" i="2" s="1"/>
  <c r="AK56" i="2"/>
  <c r="AF66" i="3"/>
  <c r="AK66" i="3" s="1"/>
  <c r="AF78" i="3"/>
  <c r="AK78" i="3" s="1"/>
  <c r="AF62" i="2"/>
  <c r="AF79" i="2"/>
  <c r="AA89" i="3"/>
  <c r="AA41" i="3"/>
  <c r="AA77" i="3"/>
  <c r="AA29" i="3"/>
  <c r="AA65" i="3"/>
  <c r="AA17" i="3"/>
  <c r="AA53" i="3"/>
  <c r="AF82" i="3"/>
  <c r="AK82" i="3" s="1"/>
  <c r="AF79" i="3"/>
  <c r="AK79" i="3" s="1"/>
  <c r="AK55" i="3"/>
  <c r="AF84" i="3"/>
  <c r="AK84" i="3" s="1"/>
  <c r="AF81" i="2"/>
  <c r="AF84" i="2"/>
  <c r="AF83" i="2"/>
  <c r="AF38" i="2"/>
  <c r="AF80" i="3"/>
  <c r="AK80" i="3" s="1"/>
  <c r="AF83" i="3"/>
  <c r="AK83" i="3" s="1"/>
  <c r="AF80" i="2"/>
  <c r="AJ86" i="2"/>
  <c r="AE86" i="3"/>
  <c r="AE86" i="2"/>
  <c r="AL74" i="2" l="1"/>
  <c r="AK39" i="2"/>
  <c r="BW39" i="2"/>
  <c r="AK4" i="5"/>
  <c r="AI12" i="5"/>
  <c r="AK82" i="2"/>
  <c r="AK127" i="2"/>
  <c r="BW79" i="2"/>
  <c r="BW82" i="2"/>
  <c r="BW69" i="2"/>
  <c r="AK68" i="2"/>
  <c r="BW66" i="2"/>
  <c r="BW78" i="2"/>
  <c r="BW84" i="2"/>
  <c r="AN74" i="3"/>
  <c r="AO86" i="3"/>
  <c r="BW67" i="2"/>
  <c r="AK67" i="2"/>
  <c r="AM86" i="2"/>
  <c r="BW68" i="2"/>
  <c r="AK84" i="2"/>
  <c r="AK70" i="2"/>
  <c r="AK69" i="2"/>
  <c r="AK81" i="2"/>
  <c r="BW81" i="2"/>
  <c r="AK78" i="2"/>
  <c r="AK139" i="2"/>
  <c r="BW12" i="2"/>
  <c r="BW80" i="2"/>
  <c r="AK83" i="2"/>
  <c r="AK66" i="2"/>
  <c r="AO86" i="2"/>
  <c r="AK80" i="2"/>
  <c r="AK79" i="2"/>
  <c r="BW71" i="2"/>
  <c r="AK71" i="2"/>
  <c r="BW72" i="2"/>
  <c r="AM86" i="3"/>
  <c r="AK72" i="2"/>
  <c r="BW14" i="2"/>
  <c r="AI5" i="5" s="1"/>
  <c r="AK105" i="2"/>
  <c r="BW83" i="2"/>
  <c r="BW70" i="2"/>
  <c r="AF74" i="3"/>
  <c r="AK12" i="3"/>
  <c r="AF86" i="3"/>
  <c r="AF74" i="2"/>
  <c r="AF86" i="2"/>
  <c r="AK12" i="2"/>
  <c r="Z12" i="2"/>
  <c r="BR12" i="2" s="1"/>
  <c r="Y12" i="2"/>
  <c r="X12" i="2"/>
  <c r="BP12" i="2" s="1"/>
  <c r="W12" i="2"/>
  <c r="V12" i="2"/>
  <c r="U12" i="2"/>
  <c r="BU86" i="2" s="1"/>
  <c r="T12" i="2"/>
  <c r="S62" i="2"/>
  <c r="BK62" i="2" s="1"/>
  <c r="R62" i="2"/>
  <c r="Q62" i="2"/>
  <c r="BI62" i="2" s="1"/>
  <c r="P62" i="2"/>
  <c r="BH62" i="2" s="1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T62" i="2"/>
  <c r="BL62" i="2" s="1"/>
  <c r="BJ62" i="2" l="1"/>
  <c r="BT62" i="2"/>
  <c r="AO62" i="2"/>
  <c r="BT74" i="2"/>
  <c r="AJ6" i="5"/>
  <c r="AI6" i="5"/>
  <c r="BG62" i="2"/>
  <c r="AA62" i="2"/>
  <c r="BS62" i="2"/>
  <c r="BO12" i="2"/>
  <c r="W14" i="2"/>
  <c r="J56" i="5" s="1"/>
  <c r="BL12" i="2"/>
  <c r="T14" i="2"/>
  <c r="BN12" i="2"/>
  <c r="V14" i="2"/>
  <c r="I56" i="5" s="1"/>
  <c r="BM12" i="2"/>
  <c r="U14" i="2"/>
  <c r="Y14" i="2"/>
  <c r="L56" i="5" s="1"/>
  <c r="BQ12" i="2"/>
  <c r="Z14" i="2"/>
  <c r="M56" i="5" s="1"/>
  <c r="X14" i="2"/>
  <c r="K56" i="5" s="1"/>
  <c r="Z38" i="2"/>
  <c r="Y38" i="2"/>
  <c r="X38" i="2"/>
  <c r="W38" i="2"/>
  <c r="V38" i="2"/>
  <c r="U38" i="2"/>
  <c r="T38" i="2"/>
  <c r="S38" i="2"/>
  <c r="R38" i="2"/>
  <c r="Q38" i="2"/>
  <c r="BS74" i="2" s="1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Y91" i="1"/>
  <c r="BQ91" i="1" s="1"/>
  <c r="X91" i="1"/>
  <c r="BP91" i="1" s="1"/>
  <c r="W91" i="1"/>
  <c r="BO91" i="1" s="1"/>
  <c r="V91" i="1"/>
  <c r="BN91" i="1" s="1"/>
  <c r="U91" i="1"/>
  <c r="BM91" i="1" s="1"/>
  <c r="T91" i="1"/>
  <c r="BL91" i="1" s="1"/>
  <c r="S91" i="1"/>
  <c r="BK91" i="1" s="1"/>
  <c r="R91" i="1"/>
  <c r="BJ91" i="1" s="1"/>
  <c r="Q91" i="1"/>
  <c r="P91" i="1"/>
  <c r="BH91" i="1" s="1"/>
  <c r="O91" i="1"/>
  <c r="BG91" i="1" s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Y90" i="1"/>
  <c r="BQ90" i="1" s="1"/>
  <c r="X90" i="1"/>
  <c r="BP90" i="1" s="1"/>
  <c r="W90" i="1"/>
  <c r="BO90" i="1" s="1"/>
  <c r="V90" i="1"/>
  <c r="BN90" i="1" s="1"/>
  <c r="U90" i="1"/>
  <c r="T90" i="1"/>
  <c r="S90" i="1"/>
  <c r="BK90" i="1" s="1"/>
  <c r="R90" i="1"/>
  <c r="Q90" i="1"/>
  <c r="P90" i="1"/>
  <c r="O90" i="1"/>
  <c r="N90" i="1"/>
  <c r="M90" i="1"/>
  <c r="M92" i="1" s="1"/>
  <c r="M127" i="1" s="1"/>
  <c r="L90" i="1"/>
  <c r="L92" i="1" s="1"/>
  <c r="L127" i="1" s="1"/>
  <c r="K90" i="1"/>
  <c r="J90" i="1"/>
  <c r="J92" i="1" s="1"/>
  <c r="J127" i="1" s="1"/>
  <c r="I90" i="1"/>
  <c r="I92" i="1" s="1"/>
  <c r="I127" i="1" s="1"/>
  <c r="H90" i="1"/>
  <c r="G90" i="1"/>
  <c r="G92" i="1" s="1"/>
  <c r="G127" i="1" s="1"/>
  <c r="F90" i="1"/>
  <c r="F92" i="1" s="1"/>
  <c r="F127" i="1" s="1"/>
  <c r="E90" i="1"/>
  <c r="D90" i="1"/>
  <c r="D92" i="1" s="1"/>
  <c r="D127" i="1" s="1"/>
  <c r="C90" i="1"/>
  <c r="C92" i="1" s="1"/>
  <c r="C127" i="1" s="1"/>
  <c r="B90" i="1"/>
  <c r="Z92" i="3"/>
  <c r="BR92" i="3" s="1"/>
  <c r="Y92" i="3"/>
  <c r="BQ92" i="3" s="1"/>
  <c r="X92" i="3"/>
  <c r="BP92" i="3" s="1"/>
  <c r="W92" i="3"/>
  <c r="BO92" i="3" s="1"/>
  <c r="V92" i="3"/>
  <c r="BN92" i="3" s="1"/>
  <c r="U92" i="3"/>
  <c r="T92" i="3"/>
  <c r="BL92" i="3" s="1"/>
  <c r="S92" i="3"/>
  <c r="BK92" i="3" s="1"/>
  <c r="R92" i="3"/>
  <c r="Q92" i="3"/>
  <c r="BI92" i="3" s="1"/>
  <c r="P92" i="3"/>
  <c r="BH92" i="3" s="1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Z92" i="2"/>
  <c r="BR92" i="2" s="1"/>
  <c r="Y92" i="2"/>
  <c r="BQ92" i="2" s="1"/>
  <c r="X92" i="2"/>
  <c r="BP92" i="2" s="1"/>
  <c r="W92" i="2"/>
  <c r="BO92" i="2" s="1"/>
  <c r="V92" i="2"/>
  <c r="BN92" i="2" s="1"/>
  <c r="U92" i="2"/>
  <c r="S92" i="2"/>
  <c r="BK92" i="2" s="1"/>
  <c r="R92" i="2"/>
  <c r="Q92" i="2"/>
  <c r="BI92" i="2" s="1"/>
  <c r="P92" i="2"/>
  <c r="BH92" i="2" s="1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AI92" i="3" l="1"/>
  <c r="AN92" i="3" s="1"/>
  <c r="BM92" i="2"/>
  <c r="BU92" i="2"/>
  <c r="BM92" i="3"/>
  <c r="BU92" i="3"/>
  <c r="H56" i="5"/>
  <c r="H65" i="5" s="1"/>
  <c r="BM14" i="2"/>
  <c r="G56" i="5"/>
  <c r="G65" i="5" s="1"/>
  <c r="BL14" i="2"/>
  <c r="BT38" i="2"/>
  <c r="AA38" i="2"/>
  <c r="BJ92" i="2"/>
  <c r="BT92" i="2"/>
  <c r="AO38" i="2"/>
  <c r="J65" i="5"/>
  <c r="I65" i="5"/>
  <c r="AG92" i="3"/>
  <c r="AL92" i="3" s="1"/>
  <c r="AF92" i="3"/>
  <c r="AA92" i="3"/>
  <c r="BS92" i="3"/>
  <c r="BG92" i="3"/>
  <c r="AJ92" i="3"/>
  <c r="AO92" i="3"/>
  <c r="AH92" i="3"/>
  <c r="AM92" i="3" s="1"/>
  <c r="BJ92" i="3"/>
  <c r="BT92" i="3"/>
  <c r="BI90" i="1"/>
  <c r="BS90" i="1"/>
  <c r="BI91" i="1"/>
  <c r="BS91" i="1"/>
  <c r="AJ92" i="2"/>
  <c r="AO92" i="2"/>
  <c r="BI38" i="2"/>
  <c r="BM38" i="2"/>
  <c r="BW62" i="2"/>
  <c r="AK62" i="2"/>
  <c r="AA86" i="2"/>
  <c r="BJ38" i="2"/>
  <c r="BN38" i="2"/>
  <c r="BG92" i="2"/>
  <c r="AA92" i="2"/>
  <c r="BW92" i="2" s="1"/>
  <c r="BS92" i="2"/>
  <c r="BH38" i="2"/>
  <c r="BL38" i="2"/>
  <c r="BG38" i="2"/>
  <c r="BS38" i="2"/>
  <c r="BK38" i="2"/>
  <c r="BO38" i="2"/>
  <c r="L22" i="5"/>
  <c r="L20" i="5"/>
  <c r="L21" i="5"/>
  <c r="BQ38" i="2"/>
  <c r="U92" i="1"/>
  <c r="BM92" i="1" s="1"/>
  <c r="BM90" i="1"/>
  <c r="T92" i="1"/>
  <c r="D7" i="4" s="1"/>
  <c r="BL90" i="1"/>
  <c r="Z90" i="1"/>
  <c r="BV90" i="1" s="1"/>
  <c r="BF90" i="1"/>
  <c r="BR90" i="1"/>
  <c r="R92" i="1"/>
  <c r="BJ90" i="1"/>
  <c r="Z91" i="1"/>
  <c r="BV91" i="1" s="1"/>
  <c r="BF91" i="1"/>
  <c r="BR91" i="1"/>
  <c r="P92" i="1"/>
  <c r="BH90" i="1"/>
  <c r="O92" i="1"/>
  <c r="BG90" i="1"/>
  <c r="BP38" i="2"/>
  <c r="BR38" i="2"/>
  <c r="AI90" i="1"/>
  <c r="AI91" i="1"/>
  <c r="M22" i="5"/>
  <c r="M21" i="5"/>
  <c r="M20" i="5"/>
  <c r="Y92" i="1"/>
  <c r="BQ92" i="1" s="1"/>
  <c r="K22" i="5"/>
  <c r="K20" i="5"/>
  <c r="K21" i="5"/>
  <c r="N60" i="5"/>
  <c r="AD90" i="1"/>
  <c r="X92" i="1"/>
  <c r="BP92" i="1" s="1"/>
  <c r="V92" i="1"/>
  <c r="BN92" i="1" s="1"/>
  <c r="AD91" i="1"/>
  <c r="BU91" i="1" s="1"/>
  <c r="AB91" i="1"/>
  <c r="AH90" i="1"/>
  <c r="AH91" i="1"/>
  <c r="H92" i="1"/>
  <c r="AI92" i="2"/>
  <c r="AN92" i="2" s="1"/>
  <c r="AG90" i="1"/>
  <c r="AB90" i="1"/>
  <c r="AG91" i="1"/>
  <c r="E92" i="1"/>
  <c r="Q92" i="1"/>
  <c r="W92" i="1"/>
  <c r="BO92" i="1" s="1"/>
  <c r="AH92" i="2"/>
  <c r="AM92" i="2" s="1"/>
  <c r="AF90" i="1"/>
  <c r="AE90" i="1"/>
  <c r="AA90" i="1"/>
  <c r="AF91" i="1"/>
  <c r="AE91" i="1"/>
  <c r="AA91" i="1"/>
  <c r="B92" i="1"/>
  <c r="B127" i="1" s="1"/>
  <c r="N92" i="1"/>
  <c r="AG92" i="2"/>
  <c r="AL92" i="2" s="1"/>
  <c r="AF92" i="2"/>
  <c r="K92" i="1"/>
  <c r="S92" i="1"/>
  <c r="AC91" i="1"/>
  <c r="AC90" i="1"/>
  <c r="BT90" i="1" s="1"/>
  <c r="Z62" i="3"/>
  <c r="BR62" i="3" s="1"/>
  <c r="Y62" i="3"/>
  <c r="BQ62" i="3" s="1"/>
  <c r="X62" i="3"/>
  <c r="BP62" i="3" s="1"/>
  <c r="W62" i="3"/>
  <c r="BO62" i="3" s="1"/>
  <c r="V62" i="3"/>
  <c r="BN62" i="3" s="1"/>
  <c r="U62" i="3"/>
  <c r="T62" i="3"/>
  <c r="BL62" i="3" s="1"/>
  <c r="S62" i="3"/>
  <c r="BK62" i="3" s="1"/>
  <c r="R62" i="3"/>
  <c r="BT62" i="3" s="1"/>
  <c r="Q62" i="3"/>
  <c r="BI62" i="3" s="1"/>
  <c r="P62" i="3"/>
  <c r="BH62" i="3" s="1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M62" i="3" l="1"/>
  <c r="BU62" i="3"/>
  <c r="AO62" i="3"/>
  <c r="BJ62" i="3"/>
  <c r="AA62" i="3"/>
  <c r="BG62" i="3"/>
  <c r="BS62" i="3"/>
  <c r="BW92" i="3"/>
  <c r="AK92" i="3"/>
  <c r="BS92" i="1"/>
  <c r="AA74" i="2"/>
  <c r="BW74" i="2" s="1"/>
  <c r="AK92" i="2"/>
  <c r="BW38" i="2"/>
  <c r="AK38" i="2"/>
  <c r="BW86" i="2"/>
  <c r="AK86" i="2"/>
  <c r="Q127" i="1"/>
  <c r="BI92" i="1"/>
  <c r="P127" i="1"/>
  <c r="BH92" i="1"/>
  <c r="R127" i="1"/>
  <c r="BJ92" i="1"/>
  <c r="AM91" i="1"/>
  <c r="BT91" i="1"/>
  <c r="S127" i="1"/>
  <c r="BK92" i="1"/>
  <c r="N127" i="1"/>
  <c r="Z92" i="1"/>
  <c r="BV92" i="1" s="1"/>
  <c r="G7" i="4" s="1"/>
  <c r="BF92" i="1"/>
  <c r="BR92" i="1"/>
  <c r="O127" i="1"/>
  <c r="BG92" i="1"/>
  <c r="T127" i="1"/>
  <c r="BL92" i="1"/>
  <c r="AN90" i="1"/>
  <c r="BU90" i="1"/>
  <c r="AL91" i="1"/>
  <c r="AM90" i="1"/>
  <c r="AG92" i="1"/>
  <c r="E127" i="1"/>
  <c r="AH92" i="1"/>
  <c r="H127" i="1"/>
  <c r="AI92" i="1"/>
  <c r="K127" i="1"/>
  <c r="AB92" i="1"/>
  <c r="AD92" i="1"/>
  <c r="AN91" i="1"/>
  <c r="O15" i="4"/>
  <c r="P15" i="4" s="1"/>
  <c r="AJ91" i="1"/>
  <c r="AL90" i="1"/>
  <c r="AE92" i="1"/>
  <c r="AF92" i="1"/>
  <c r="AK90" i="1"/>
  <c r="AA92" i="1"/>
  <c r="AK91" i="1"/>
  <c r="AC92" i="1"/>
  <c r="BT92" i="1" s="1"/>
  <c r="AJ90" i="1"/>
  <c r="Z26" i="2"/>
  <c r="Y26" i="2"/>
  <c r="X26" i="2"/>
  <c r="W26" i="2"/>
  <c r="AD26" i="2" s="1"/>
  <c r="V26" i="2"/>
  <c r="U26" i="2"/>
  <c r="T26" i="2"/>
  <c r="S26" i="2"/>
  <c r="BK26" i="2" s="1"/>
  <c r="R26" i="2"/>
  <c r="BJ26" i="2" s="1"/>
  <c r="Q26" i="2"/>
  <c r="P26" i="2"/>
  <c r="O26" i="2"/>
  <c r="N26" i="2"/>
  <c r="M26" i="2"/>
  <c r="M117" i="2" s="1"/>
  <c r="L26" i="2"/>
  <c r="L117" i="2" s="1"/>
  <c r="K26" i="2"/>
  <c r="J26" i="2"/>
  <c r="J117" i="2" s="1"/>
  <c r="I26" i="2"/>
  <c r="I117" i="2" s="1"/>
  <c r="H26" i="2"/>
  <c r="G26" i="2"/>
  <c r="G117" i="2" s="1"/>
  <c r="F26" i="2"/>
  <c r="F117" i="2" s="1"/>
  <c r="E26" i="2"/>
  <c r="D26" i="2"/>
  <c r="C26" i="2"/>
  <c r="BM26" i="2" l="1"/>
  <c r="BU26" i="2"/>
  <c r="BL26" i="2"/>
  <c r="BU50" i="2"/>
  <c r="BT26" i="2"/>
  <c r="BI26" i="2"/>
  <c r="AC50" i="2"/>
  <c r="BT50" i="2" s="1"/>
  <c r="AA51" i="2"/>
  <c r="AA50" i="2"/>
  <c r="W50" i="2"/>
  <c r="BW62" i="3"/>
  <c r="AA86" i="3"/>
  <c r="AK62" i="3"/>
  <c r="AK74" i="2"/>
  <c r="BF50" i="2"/>
  <c r="BF51" i="2"/>
  <c r="BB50" i="2"/>
  <c r="BS50" i="2" s="1"/>
  <c r="R117" i="2"/>
  <c r="S50" i="2"/>
  <c r="BK50" i="2" s="1"/>
  <c r="C117" i="2"/>
  <c r="AF51" i="2"/>
  <c r="K117" i="2"/>
  <c r="AI26" i="2"/>
  <c r="AN26" i="2" s="1"/>
  <c r="BG26" i="2"/>
  <c r="O117" i="2"/>
  <c r="P50" i="2"/>
  <c r="BH50" i="2" s="1"/>
  <c r="S117" i="2"/>
  <c r="T50" i="2"/>
  <c r="BL50" i="2" s="1"/>
  <c r="H117" i="2"/>
  <c r="AH26" i="2"/>
  <c r="BH26" i="2"/>
  <c r="P117" i="2"/>
  <c r="BS26" i="2"/>
  <c r="Q50" i="2"/>
  <c r="BI50" i="2" s="1"/>
  <c r="N117" i="2"/>
  <c r="AJ26" i="2"/>
  <c r="O50" i="2"/>
  <c r="D117" i="2"/>
  <c r="AF26" i="2"/>
  <c r="AC26" i="2"/>
  <c r="U50" i="2"/>
  <c r="BM50" i="2" s="1"/>
  <c r="E117" i="2"/>
  <c r="AG26" i="2"/>
  <c r="AB26" i="2"/>
  <c r="Q117" i="2"/>
  <c r="R50" i="2"/>
  <c r="BJ50" i="2" s="1"/>
  <c r="V50" i="2"/>
  <c r="Y50" i="2"/>
  <c r="X50" i="2"/>
  <c r="AL92" i="1"/>
  <c r="AN92" i="1"/>
  <c r="BU92" i="1"/>
  <c r="AP50" i="2"/>
  <c r="Z50" i="2"/>
  <c r="AM92" i="1"/>
  <c r="C28" i="4"/>
  <c r="AE26" i="2"/>
  <c r="AA26" i="2"/>
  <c r="AK92" i="1"/>
  <c r="AJ92" i="1"/>
  <c r="Y60" i="1"/>
  <c r="BQ60" i="1" s="1"/>
  <c r="X60" i="1"/>
  <c r="BP60" i="1" s="1"/>
  <c r="W60" i="1"/>
  <c r="BO60" i="1" s="1"/>
  <c r="V60" i="1"/>
  <c r="BN60" i="1" s="1"/>
  <c r="U60" i="1"/>
  <c r="BM60" i="1" s="1"/>
  <c r="T60" i="1"/>
  <c r="BL60" i="1" s="1"/>
  <c r="S60" i="1"/>
  <c r="BK60" i="1" s="1"/>
  <c r="R60" i="1"/>
  <c r="BJ60" i="1" s="1"/>
  <c r="Q60" i="1"/>
  <c r="P60" i="1"/>
  <c r="BH60" i="1" s="1"/>
  <c r="O60" i="1"/>
  <c r="BG60" i="1" s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Y59" i="1"/>
  <c r="BQ59" i="1" s="1"/>
  <c r="X59" i="1"/>
  <c r="BP59" i="1" s="1"/>
  <c r="W59" i="1"/>
  <c r="BO59" i="1" s="1"/>
  <c r="V59" i="1"/>
  <c r="BN59" i="1" s="1"/>
  <c r="U59" i="1"/>
  <c r="BM59" i="1" s="1"/>
  <c r="T59" i="1"/>
  <c r="BL59" i="1" s="1"/>
  <c r="S59" i="1"/>
  <c r="BK59" i="1" s="1"/>
  <c r="R59" i="1"/>
  <c r="BJ59" i="1" s="1"/>
  <c r="Q59" i="1"/>
  <c r="P59" i="1"/>
  <c r="BH59" i="1" s="1"/>
  <c r="O59" i="1"/>
  <c r="BG59" i="1" s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Y58" i="1"/>
  <c r="BQ58" i="1" s="1"/>
  <c r="X58" i="1"/>
  <c r="BP58" i="1" s="1"/>
  <c r="W58" i="1"/>
  <c r="BO58" i="1" s="1"/>
  <c r="V58" i="1"/>
  <c r="BN58" i="1" s="1"/>
  <c r="U58" i="1"/>
  <c r="BM58" i="1" s="1"/>
  <c r="T58" i="1"/>
  <c r="S58" i="1"/>
  <c r="BK58" i="1" s="1"/>
  <c r="R58" i="1"/>
  <c r="BJ58" i="1" s="1"/>
  <c r="Q58" i="1"/>
  <c r="P58" i="1"/>
  <c r="O58" i="1"/>
  <c r="BG58" i="1" s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Y57" i="1"/>
  <c r="BQ57" i="1" s="1"/>
  <c r="X57" i="1"/>
  <c r="BP57" i="1" s="1"/>
  <c r="W57" i="1"/>
  <c r="BO57" i="1" s="1"/>
  <c r="V57" i="1"/>
  <c r="BN57" i="1" s="1"/>
  <c r="U57" i="1"/>
  <c r="BM57" i="1" s="1"/>
  <c r="T57" i="1"/>
  <c r="BL57" i="1" s="1"/>
  <c r="S57" i="1"/>
  <c r="BK57" i="1" s="1"/>
  <c r="R57" i="1"/>
  <c r="BJ57" i="1" s="1"/>
  <c r="Q57" i="1"/>
  <c r="P57" i="1"/>
  <c r="BH57" i="1" s="1"/>
  <c r="O57" i="1"/>
  <c r="BG57" i="1" s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Y56" i="1"/>
  <c r="BQ56" i="1" s="1"/>
  <c r="X56" i="1"/>
  <c r="BP56" i="1" s="1"/>
  <c r="W56" i="1"/>
  <c r="BO56" i="1" s="1"/>
  <c r="V56" i="1"/>
  <c r="BN56" i="1" s="1"/>
  <c r="U56" i="1"/>
  <c r="BM56" i="1" s="1"/>
  <c r="T56" i="1"/>
  <c r="BL56" i="1" s="1"/>
  <c r="S56" i="1"/>
  <c r="BK56" i="1" s="1"/>
  <c r="R56" i="1"/>
  <c r="BJ56" i="1" s="1"/>
  <c r="Q56" i="1"/>
  <c r="P56" i="1"/>
  <c r="BH56" i="1" s="1"/>
  <c r="O56" i="1"/>
  <c r="BG56" i="1" s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Y55" i="1"/>
  <c r="BQ55" i="1" s="1"/>
  <c r="X55" i="1"/>
  <c r="BP55" i="1" s="1"/>
  <c r="W55" i="1"/>
  <c r="BO55" i="1" s="1"/>
  <c r="V55" i="1"/>
  <c r="BN55" i="1" s="1"/>
  <c r="U55" i="1"/>
  <c r="BM55" i="1" s="1"/>
  <c r="T55" i="1"/>
  <c r="S55" i="1"/>
  <c r="BK55" i="1" s="1"/>
  <c r="R55" i="1"/>
  <c r="BJ55" i="1" s="1"/>
  <c r="Q55" i="1"/>
  <c r="P55" i="1"/>
  <c r="O55" i="1"/>
  <c r="BG55" i="1" s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Y54" i="1"/>
  <c r="BQ54" i="1" s="1"/>
  <c r="X54" i="1"/>
  <c r="BP54" i="1" s="1"/>
  <c r="W54" i="1"/>
  <c r="BO54" i="1" s="1"/>
  <c r="V54" i="1"/>
  <c r="BN54" i="1" s="1"/>
  <c r="U54" i="1"/>
  <c r="BM54" i="1" s="1"/>
  <c r="T54" i="1"/>
  <c r="S54" i="1"/>
  <c r="BK54" i="1" s="1"/>
  <c r="R54" i="1"/>
  <c r="BJ54" i="1" s="1"/>
  <c r="Q54" i="1"/>
  <c r="P54" i="1"/>
  <c r="BH54" i="1" s="1"/>
  <c r="O54" i="1"/>
  <c r="BG54" i="1" s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Z84" i="3"/>
  <c r="BR84" i="3" s="1"/>
  <c r="Y84" i="3"/>
  <c r="BQ84" i="3" s="1"/>
  <c r="X84" i="3"/>
  <c r="BP84" i="3" s="1"/>
  <c r="W84" i="3"/>
  <c r="BO84" i="3" s="1"/>
  <c r="V84" i="3"/>
  <c r="BN84" i="3" s="1"/>
  <c r="U84" i="3"/>
  <c r="BM84" i="3" s="1"/>
  <c r="T84" i="3"/>
  <c r="BL84" i="3" s="1"/>
  <c r="S84" i="3"/>
  <c r="BK84" i="3" s="1"/>
  <c r="R84" i="3"/>
  <c r="BJ84" i="3" s="1"/>
  <c r="Q84" i="3"/>
  <c r="BI84" i="3" s="1"/>
  <c r="P84" i="3"/>
  <c r="BH84" i="3" s="1"/>
  <c r="O84" i="3"/>
  <c r="BG84" i="3" s="1"/>
  <c r="N84" i="3"/>
  <c r="M84" i="3"/>
  <c r="L84" i="3"/>
  <c r="K84" i="3"/>
  <c r="J84" i="3"/>
  <c r="I84" i="3"/>
  <c r="H84" i="3"/>
  <c r="G84" i="3"/>
  <c r="F84" i="3"/>
  <c r="E84" i="3"/>
  <c r="D84" i="3"/>
  <c r="C84" i="3"/>
  <c r="Z83" i="3"/>
  <c r="BR83" i="3" s="1"/>
  <c r="Y83" i="3"/>
  <c r="BQ83" i="3" s="1"/>
  <c r="X83" i="3"/>
  <c r="BP83" i="3" s="1"/>
  <c r="W83" i="3"/>
  <c r="BO83" i="3" s="1"/>
  <c r="V83" i="3"/>
  <c r="BN83" i="3" s="1"/>
  <c r="U83" i="3"/>
  <c r="BM83" i="3" s="1"/>
  <c r="T83" i="3"/>
  <c r="BL83" i="3" s="1"/>
  <c r="S83" i="3"/>
  <c r="BK83" i="3" s="1"/>
  <c r="R83" i="3"/>
  <c r="BJ83" i="3" s="1"/>
  <c r="Q83" i="3"/>
  <c r="BI83" i="3" s="1"/>
  <c r="P83" i="3"/>
  <c r="BH83" i="3" s="1"/>
  <c r="O83" i="3"/>
  <c r="BG83" i="3" s="1"/>
  <c r="N83" i="3"/>
  <c r="M83" i="3"/>
  <c r="L83" i="3"/>
  <c r="K83" i="3"/>
  <c r="J83" i="3"/>
  <c r="I83" i="3"/>
  <c r="H83" i="3"/>
  <c r="G83" i="3"/>
  <c r="F83" i="3"/>
  <c r="E83" i="3"/>
  <c r="D83" i="3"/>
  <c r="C83" i="3"/>
  <c r="Z82" i="3"/>
  <c r="BR82" i="3" s="1"/>
  <c r="Y82" i="3"/>
  <c r="BQ82" i="3" s="1"/>
  <c r="X82" i="3"/>
  <c r="BP82" i="3" s="1"/>
  <c r="W82" i="3"/>
  <c r="BO82" i="3" s="1"/>
  <c r="V82" i="3"/>
  <c r="BN82" i="3" s="1"/>
  <c r="U82" i="3"/>
  <c r="BM82" i="3" s="1"/>
  <c r="T82" i="3"/>
  <c r="BL82" i="3" s="1"/>
  <c r="S82" i="3"/>
  <c r="BK82" i="3" s="1"/>
  <c r="R82" i="3"/>
  <c r="BJ82" i="3" s="1"/>
  <c r="Q82" i="3"/>
  <c r="BI82" i="3" s="1"/>
  <c r="P82" i="3"/>
  <c r="BH82" i="3" s="1"/>
  <c r="O82" i="3"/>
  <c r="BG82" i="3" s="1"/>
  <c r="N82" i="3"/>
  <c r="M82" i="3"/>
  <c r="L82" i="3"/>
  <c r="K82" i="3"/>
  <c r="J82" i="3"/>
  <c r="I82" i="3"/>
  <c r="H82" i="3"/>
  <c r="G82" i="3"/>
  <c r="F82" i="3"/>
  <c r="E82" i="3"/>
  <c r="D82" i="3"/>
  <c r="C82" i="3"/>
  <c r="Z81" i="3"/>
  <c r="BR81" i="3" s="1"/>
  <c r="Y81" i="3"/>
  <c r="BQ81" i="3" s="1"/>
  <c r="X81" i="3"/>
  <c r="BP81" i="3" s="1"/>
  <c r="W81" i="3"/>
  <c r="BO81" i="3" s="1"/>
  <c r="V81" i="3"/>
  <c r="BN81" i="3" s="1"/>
  <c r="U81" i="3"/>
  <c r="BM81" i="3" s="1"/>
  <c r="T81" i="3"/>
  <c r="BL81" i="3" s="1"/>
  <c r="S81" i="3"/>
  <c r="BK81" i="3" s="1"/>
  <c r="R81" i="3"/>
  <c r="BJ81" i="3" s="1"/>
  <c r="Q81" i="3"/>
  <c r="BI81" i="3" s="1"/>
  <c r="P81" i="3"/>
  <c r="BH81" i="3" s="1"/>
  <c r="O81" i="3"/>
  <c r="BG81" i="3" s="1"/>
  <c r="N81" i="3"/>
  <c r="M81" i="3"/>
  <c r="L81" i="3"/>
  <c r="K81" i="3"/>
  <c r="J81" i="3"/>
  <c r="I81" i="3"/>
  <c r="H81" i="3"/>
  <c r="G81" i="3"/>
  <c r="F81" i="3"/>
  <c r="E81" i="3"/>
  <c r="D81" i="3"/>
  <c r="C81" i="3"/>
  <c r="Z80" i="3"/>
  <c r="BR80" i="3" s="1"/>
  <c r="Y80" i="3"/>
  <c r="BQ80" i="3" s="1"/>
  <c r="X80" i="3"/>
  <c r="BP80" i="3" s="1"/>
  <c r="W80" i="3"/>
  <c r="BO80" i="3" s="1"/>
  <c r="V80" i="3"/>
  <c r="BN80" i="3" s="1"/>
  <c r="U80" i="3"/>
  <c r="BM80" i="3" s="1"/>
  <c r="T80" i="3"/>
  <c r="BL80" i="3" s="1"/>
  <c r="S80" i="3"/>
  <c r="BK80" i="3" s="1"/>
  <c r="R80" i="3"/>
  <c r="BJ80" i="3" s="1"/>
  <c r="Q80" i="3"/>
  <c r="BI80" i="3" s="1"/>
  <c r="P80" i="3"/>
  <c r="BH80" i="3" s="1"/>
  <c r="O80" i="3"/>
  <c r="BG80" i="3" s="1"/>
  <c r="N80" i="3"/>
  <c r="M80" i="3"/>
  <c r="L80" i="3"/>
  <c r="K80" i="3"/>
  <c r="J80" i="3"/>
  <c r="I80" i="3"/>
  <c r="H80" i="3"/>
  <c r="G80" i="3"/>
  <c r="F80" i="3"/>
  <c r="E80" i="3"/>
  <c r="D80" i="3"/>
  <c r="C80" i="3"/>
  <c r="Z79" i="3"/>
  <c r="BR79" i="3" s="1"/>
  <c r="Y79" i="3"/>
  <c r="BQ79" i="3" s="1"/>
  <c r="X79" i="3"/>
  <c r="BP79" i="3" s="1"/>
  <c r="W79" i="3"/>
  <c r="BO79" i="3" s="1"/>
  <c r="V79" i="3"/>
  <c r="BN79" i="3" s="1"/>
  <c r="U79" i="3"/>
  <c r="BM79" i="3" s="1"/>
  <c r="T79" i="3"/>
  <c r="BL79" i="3" s="1"/>
  <c r="S79" i="3"/>
  <c r="BK79" i="3" s="1"/>
  <c r="R79" i="3"/>
  <c r="BJ79" i="3" s="1"/>
  <c r="Q79" i="3"/>
  <c r="BI79" i="3" s="1"/>
  <c r="P79" i="3"/>
  <c r="BH79" i="3" s="1"/>
  <c r="O79" i="3"/>
  <c r="BG79" i="3" s="1"/>
  <c r="N79" i="3"/>
  <c r="M79" i="3"/>
  <c r="L79" i="3"/>
  <c r="K79" i="3"/>
  <c r="J79" i="3"/>
  <c r="I79" i="3"/>
  <c r="H79" i="3"/>
  <c r="G79" i="3"/>
  <c r="F79" i="3"/>
  <c r="E79" i="3"/>
  <c r="D79" i="3"/>
  <c r="C79" i="3"/>
  <c r="Z78" i="3"/>
  <c r="BR78" i="3" s="1"/>
  <c r="Y78" i="3"/>
  <c r="BQ78" i="3" s="1"/>
  <c r="X78" i="3"/>
  <c r="BP78" i="3" s="1"/>
  <c r="W78" i="3"/>
  <c r="BO78" i="3" s="1"/>
  <c r="V78" i="3"/>
  <c r="BN78" i="3" s="1"/>
  <c r="U78" i="3"/>
  <c r="BM78" i="3" s="1"/>
  <c r="T78" i="3"/>
  <c r="BL78" i="3" s="1"/>
  <c r="S78" i="3"/>
  <c r="BK78" i="3" s="1"/>
  <c r="R78" i="3"/>
  <c r="BJ78" i="3" s="1"/>
  <c r="Q78" i="3"/>
  <c r="BI78" i="3" s="1"/>
  <c r="P78" i="3"/>
  <c r="BH78" i="3" s="1"/>
  <c r="O78" i="3"/>
  <c r="BG78" i="3" s="1"/>
  <c r="N78" i="3"/>
  <c r="M78" i="3"/>
  <c r="L78" i="3"/>
  <c r="K78" i="3"/>
  <c r="J78" i="3"/>
  <c r="I78" i="3"/>
  <c r="H78" i="3"/>
  <c r="G78" i="3"/>
  <c r="F78" i="3"/>
  <c r="E78" i="3"/>
  <c r="D78" i="3"/>
  <c r="C78" i="3"/>
  <c r="Z84" i="2"/>
  <c r="BR84" i="2" s="1"/>
  <c r="Y84" i="2"/>
  <c r="BQ84" i="2" s="1"/>
  <c r="X84" i="2"/>
  <c r="BP84" i="2" s="1"/>
  <c r="W84" i="2"/>
  <c r="BO84" i="2" s="1"/>
  <c r="V84" i="2"/>
  <c r="BN84" i="2" s="1"/>
  <c r="U84" i="2"/>
  <c r="BM84" i="2" s="1"/>
  <c r="T84" i="2"/>
  <c r="BL84" i="2" s="1"/>
  <c r="S84" i="2"/>
  <c r="BK84" i="2" s="1"/>
  <c r="R84" i="2"/>
  <c r="BJ84" i="2" s="1"/>
  <c r="Q84" i="2"/>
  <c r="BI84" i="2" s="1"/>
  <c r="P84" i="2"/>
  <c r="BH84" i="2" s="1"/>
  <c r="O84" i="2"/>
  <c r="BG84" i="2" s="1"/>
  <c r="N84" i="2"/>
  <c r="M84" i="2"/>
  <c r="L84" i="2"/>
  <c r="K84" i="2"/>
  <c r="J84" i="2"/>
  <c r="I84" i="2"/>
  <c r="H84" i="2"/>
  <c r="G84" i="2"/>
  <c r="F84" i="2"/>
  <c r="E84" i="2"/>
  <c r="D84" i="2"/>
  <c r="C84" i="2"/>
  <c r="Z83" i="2"/>
  <c r="BR83" i="2" s="1"/>
  <c r="Y83" i="2"/>
  <c r="BQ83" i="2" s="1"/>
  <c r="X83" i="2"/>
  <c r="BP83" i="2" s="1"/>
  <c r="W83" i="2"/>
  <c r="BO83" i="2" s="1"/>
  <c r="V83" i="2"/>
  <c r="BN83" i="2" s="1"/>
  <c r="U83" i="2"/>
  <c r="BM83" i="2" s="1"/>
  <c r="T83" i="2"/>
  <c r="BL83" i="2" s="1"/>
  <c r="S83" i="2"/>
  <c r="BK83" i="2" s="1"/>
  <c r="R83" i="2"/>
  <c r="BJ83" i="2" s="1"/>
  <c r="Q83" i="2"/>
  <c r="BI83" i="2" s="1"/>
  <c r="P83" i="2"/>
  <c r="BH83" i="2" s="1"/>
  <c r="O83" i="2"/>
  <c r="BG83" i="2" s="1"/>
  <c r="N83" i="2"/>
  <c r="M83" i="2"/>
  <c r="L83" i="2"/>
  <c r="K83" i="2"/>
  <c r="J83" i="2"/>
  <c r="I83" i="2"/>
  <c r="H83" i="2"/>
  <c r="G83" i="2"/>
  <c r="F83" i="2"/>
  <c r="E83" i="2"/>
  <c r="D83" i="2"/>
  <c r="C83" i="2"/>
  <c r="Z82" i="2"/>
  <c r="BR82" i="2" s="1"/>
  <c r="Y82" i="2"/>
  <c r="BQ82" i="2" s="1"/>
  <c r="X82" i="2"/>
  <c r="BP82" i="2" s="1"/>
  <c r="W82" i="2"/>
  <c r="BO82" i="2" s="1"/>
  <c r="V82" i="2"/>
  <c r="BN82" i="2" s="1"/>
  <c r="U82" i="2"/>
  <c r="BM82" i="2" s="1"/>
  <c r="T82" i="2"/>
  <c r="BL82" i="2" s="1"/>
  <c r="S82" i="2"/>
  <c r="BK82" i="2" s="1"/>
  <c r="R82" i="2"/>
  <c r="BJ82" i="2" s="1"/>
  <c r="Q82" i="2"/>
  <c r="BI82" i="2" s="1"/>
  <c r="P82" i="2"/>
  <c r="BH82" i="2" s="1"/>
  <c r="O82" i="2"/>
  <c r="BG82" i="2" s="1"/>
  <c r="N82" i="2"/>
  <c r="M82" i="2"/>
  <c r="L82" i="2"/>
  <c r="K82" i="2"/>
  <c r="J82" i="2"/>
  <c r="I82" i="2"/>
  <c r="H82" i="2"/>
  <c r="G82" i="2"/>
  <c r="F82" i="2"/>
  <c r="E82" i="2"/>
  <c r="D82" i="2"/>
  <c r="C82" i="2"/>
  <c r="Z81" i="2"/>
  <c r="BR81" i="2" s="1"/>
  <c r="Y81" i="2"/>
  <c r="BQ81" i="2" s="1"/>
  <c r="X81" i="2"/>
  <c r="BP81" i="2" s="1"/>
  <c r="W81" i="2"/>
  <c r="BO81" i="2" s="1"/>
  <c r="V81" i="2"/>
  <c r="BN81" i="2" s="1"/>
  <c r="U81" i="2"/>
  <c r="BM81" i="2" s="1"/>
  <c r="T81" i="2"/>
  <c r="BL81" i="2" s="1"/>
  <c r="S81" i="2"/>
  <c r="BK81" i="2" s="1"/>
  <c r="R81" i="2"/>
  <c r="BJ81" i="2" s="1"/>
  <c r="Q81" i="2"/>
  <c r="BI81" i="2" s="1"/>
  <c r="P81" i="2"/>
  <c r="BH81" i="2" s="1"/>
  <c r="O81" i="2"/>
  <c r="BG81" i="2" s="1"/>
  <c r="N81" i="2"/>
  <c r="M81" i="2"/>
  <c r="L81" i="2"/>
  <c r="K81" i="2"/>
  <c r="J81" i="2"/>
  <c r="I81" i="2"/>
  <c r="H81" i="2"/>
  <c r="G81" i="2"/>
  <c r="F81" i="2"/>
  <c r="E81" i="2"/>
  <c r="D81" i="2"/>
  <c r="C81" i="2"/>
  <c r="Z80" i="2"/>
  <c r="BR80" i="2" s="1"/>
  <c r="Y80" i="2"/>
  <c r="BQ80" i="2" s="1"/>
  <c r="X80" i="2"/>
  <c r="BP80" i="2" s="1"/>
  <c r="W80" i="2"/>
  <c r="BO80" i="2" s="1"/>
  <c r="V80" i="2"/>
  <c r="BN80" i="2" s="1"/>
  <c r="U80" i="2"/>
  <c r="BM80" i="2" s="1"/>
  <c r="T80" i="2"/>
  <c r="BL80" i="2" s="1"/>
  <c r="S80" i="2"/>
  <c r="BK80" i="2" s="1"/>
  <c r="R80" i="2"/>
  <c r="BJ80" i="2" s="1"/>
  <c r="Q80" i="2"/>
  <c r="BI80" i="2" s="1"/>
  <c r="P80" i="2"/>
  <c r="BH80" i="2" s="1"/>
  <c r="O80" i="2"/>
  <c r="BG80" i="2" s="1"/>
  <c r="N80" i="2"/>
  <c r="M80" i="2"/>
  <c r="L80" i="2"/>
  <c r="K80" i="2"/>
  <c r="J80" i="2"/>
  <c r="I80" i="2"/>
  <c r="H80" i="2"/>
  <c r="G80" i="2"/>
  <c r="F80" i="2"/>
  <c r="E80" i="2"/>
  <c r="D80" i="2"/>
  <c r="C80" i="2"/>
  <c r="Z79" i="2"/>
  <c r="BR79" i="2" s="1"/>
  <c r="Y79" i="2"/>
  <c r="BQ79" i="2" s="1"/>
  <c r="X79" i="2"/>
  <c r="BP79" i="2" s="1"/>
  <c r="W79" i="2"/>
  <c r="BO79" i="2" s="1"/>
  <c r="V79" i="2"/>
  <c r="BN79" i="2" s="1"/>
  <c r="U79" i="2"/>
  <c r="BM79" i="2" s="1"/>
  <c r="T79" i="2"/>
  <c r="BL79" i="2" s="1"/>
  <c r="S79" i="2"/>
  <c r="BK79" i="2" s="1"/>
  <c r="R79" i="2"/>
  <c r="BJ79" i="2" s="1"/>
  <c r="Q79" i="2"/>
  <c r="BI79" i="2" s="1"/>
  <c r="P79" i="2"/>
  <c r="BH79" i="2" s="1"/>
  <c r="O79" i="2"/>
  <c r="BG79" i="2" s="1"/>
  <c r="N79" i="2"/>
  <c r="M79" i="2"/>
  <c r="L79" i="2"/>
  <c r="K79" i="2"/>
  <c r="J79" i="2"/>
  <c r="I79" i="2"/>
  <c r="H79" i="2"/>
  <c r="G79" i="2"/>
  <c r="F79" i="2"/>
  <c r="E79" i="2"/>
  <c r="D79" i="2"/>
  <c r="C79" i="2"/>
  <c r="Z78" i="2"/>
  <c r="BR78" i="2" s="1"/>
  <c r="Y78" i="2"/>
  <c r="BQ78" i="2" s="1"/>
  <c r="X78" i="2"/>
  <c r="BP78" i="2" s="1"/>
  <c r="W78" i="2"/>
  <c r="BO78" i="2" s="1"/>
  <c r="V78" i="2"/>
  <c r="BN78" i="2" s="1"/>
  <c r="U78" i="2"/>
  <c r="BM78" i="2" s="1"/>
  <c r="T78" i="2"/>
  <c r="BL78" i="2" s="1"/>
  <c r="S78" i="2"/>
  <c r="BK78" i="2" s="1"/>
  <c r="R78" i="2"/>
  <c r="BJ78" i="2" s="1"/>
  <c r="Q78" i="2"/>
  <c r="BI78" i="2" s="1"/>
  <c r="P78" i="2"/>
  <c r="BH78" i="2" s="1"/>
  <c r="O78" i="2"/>
  <c r="BG78" i="2" s="1"/>
  <c r="N78" i="2"/>
  <c r="M78" i="2"/>
  <c r="L78" i="2"/>
  <c r="K78" i="2"/>
  <c r="J78" i="2"/>
  <c r="I78" i="2"/>
  <c r="H78" i="2"/>
  <c r="G78" i="2"/>
  <c r="F78" i="2"/>
  <c r="E78" i="2"/>
  <c r="D78" i="2"/>
  <c r="C78" i="2"/>
  <c r="P74" i="2"/>
  <c r="BH74" i="2" s="1"/>
  <c r="Z72" i="2"/>
  <c r="BR72" i="2" s="1"/>
  <c r="Y72" i="2"/>
  <c r="BQ72" i="2" s="1"/>
  <c r="X72" i="2"/>
  <c r="BP72" i="2" s="1"/>
  <c r="W72" i="2"/>
  <c r="BO72" i="2" s="1"/>
  <c r="V72" i="2"/>
  <c r="BN72" i="2" s="1"/>
  <c r="U72" i="2"/>
  <c r="T72" i="2"/>
  <c r="BL72" i="2" s="1"/>
  <c r="S72" i="2"/>
  <c r="BK72" i="2" s="1"/>
  <c r="R72" i="2"/>
  <c r="BJ72" i="2" s="1"/>
  <c r="Q72" i="2"/>
  <c r="BI72" i="2" s="1"/>
  <c r="P72" i="2"/>
  <c r="BH72" i="2" s="1"/>
  <c r="O72" i="2"/>
  <c r="BG72" i="2" s="1"/>
  <c r="N72" i="2"/>
  <c r="M72" i="2"/>
  <c r="L72" i="2"/>
  <c r="K72" i="2"/>
  <c r="J72" i="2"/>
  <c r="I72" i="2"/>
  <c r="H72" i="2"/>
  <c r="G72" i="2"/>
  <c r="F72" i="2"/>
  <c r="E72" i="2"/>
  <c r="D72" i="2"/>
  <c r="C72" i="2"/>
  <c r="Z71" i="2"/>
  <c r="BR71" i="2" s="1"/>
  <c r="Y71" i="2"/>
  <c r="BQ71" i="2" s="1"/>
  <c r="X71" i="2"/>
  <c r="BP71" i="2" s="1"/>
  <c r="W71" i="2"/>
  <c r="BO71" i="2" s="1"/>
  <c r="V71" i="2"/>
  <c r="BN71" i="2" s="1"/>
  <c r="U71" i="2"/>
  <c r="T71" i="2"/>
  <c r="BL71" i="2" s="1"/>
  <c r="S71" i="2"/>
  <c r="BK71" i="2" s="1"/>
  <c r="R71" i="2"/>
  <c r="BJ71" i="2" s="1"/>
  <c r="Q71" i="2"/>
  <c r="BI71" i="2" s="1"/>
  <c r="P71" i="2"/>
  <c r="BH71" i="2" s="1"/>
  <c r="O71" i="2"/>
  <c r="BG71" i="2" s="1"/>
  <c r="N71" i="2"/>
  <c r="M71" i="2"/>
  <c r="L71" i="2"/>
  <c r="K71" i="2"/>
  <c r="J71" i="2"/>
  <c r="I71" i="2"/>
  <c r="H71" i="2"/>
  <c r="G71" i="2"/>
  <c r="F71" i="2"/>
  <c r="E71" i="2"/>
  <c r="D71" i="2"/>
  <c r="C71" i="2"/>
  <c r="Z70" i="2"/>
  <c r="BR70" i="2" s="1"/>
  <c r="Y70" i="2"/>
  <c r="BQ70" i="2" s="1"/>
  <c r="X70" i="2"/>
  <c r="BP70" i="2" s="1"/>
  <c r="W70" i="2"/>
  <c r="BO70" i="2" s="1"/>
  <c r="V70" i="2"/>
  <c r="BN70" i="2" s="1"/>
  <c r="U70" i="2"/>
  <c r="T70" i="2"/>
  <c r="BL70" i="2" s="1"/>
  <c r="S70" i="2"/>
  <c r="BK70" i="2" s="1"/>
  <c r="R70" i="2"/>
  <c r="BJ70" i="2" s="1"/>
  <c r="Q70" i="2"/>
  <c r="BI70" i="2" s="1"/>
  <c r="P70" i="2"/>
  <c r="BH70" i="2" s="1"/>
  <c r="O70" i="2"/>
  <c r="BG70" i="2" s="1"/>
  <c r="N70" i="2"/>
  <c r="M70" i="2"/>
  <c r="L70" i="2"/>
  <c r="K70" i="2"/>
  <c r="J70" i="2"/>
  <c r="I70" i="2"/>
  <c r="H70" i="2"/>
  <c r="G70" i="2"/>
  <c r="F70" i="2"/>
  <c r="E70" i="2"/>
  <c r="D70" i="2"/>
  <c r="C70" i="2"/>
  <c r="Z69" i="2"/>
  <c r="BR69" i="2" s="1"/>
  <c r="Y69" i="2"/>
  <c r="BQ69" i="2" s="1"/>
  <c r="X69" i="2"/>
  <c r="BP69" i="2" s="1"/>
  <c r="W69" i="2"/>
  <c r="BO69" i="2" s="1"/>
  <c r="V69" i="2"/>
  <c r="BN69" i="2" s="1"/>
  <c r="U69" i="2"/>
  <c r="T69" i="2"/>
  <c r="BL69" i="2" s="1"/>
  <c r="S69" i="2"/>
  <c r="BK69" i="2" s="1"/>
  <c r="R69" i="2"/>
  <c r="BJ69" i="2" s="1"/>
  <c r="Q69" i="2"/>
  <c r="BI69" i="2" s="1"/>
  <c r="P69" i="2"/>
  <c r="BH69" i="2" s="1"/>
  <c r="O69" i="2"/>
  <c r="BG69" i="2" s="1"/>
  <c r="N69" i="2"/>
  <c r="M69" i="2"/>
  <c r="L69" i="2"/>
  <c r="K69" i="2"/>
  <c r="J69" i="2"/>
  <c r="I69" i="2"/>
  <c r="H69" i="2"/>
  <c r="G69" i="2"/>
  <c r="F69" i="2"/>
  <c r="E69" i="2"/>
  <c r="D69" i="2"/>
  <c r="C69" i="2"/>
  <c r="Z68" i="2"/>
  <c r="BR68" i="2" s="1"/>
  <c r="Y68" i="2"/>
  <c r="BQ68" i="2" s="1"/>
  <c r="X68" i="2"/>
  <c r="BP68" i="2" s="1"/>
  <c r="W68" i="2"/>
  <c r="BO68" i="2" s="1"/>
  <c r="V68" i="2"/>
  <c r="BN68" i="2" s="1"/>
  <c r="U68" i="2"/>
  <c r="T68" i="2"/>
  <c r="BL68" i="2" s="1"/>
  <c r="S68" i="2"/>
  <c r="BK68" i="2" s="1"/>
  <c r="R68" i="2"/>
  <c r="BJ68" i="2" s="1"/>
  <c r="Q68" i="2"/>
  <c r="BI68" i="2" s="1"/>
  <c r="P68" i="2"/>
  <c r="BH68" i="2" s="1"/>
  <c r="O68" i="2"/>
  <c r="BG68" i="2" s="1"/>
  <c r="N68" i="2"/>
  <c r="M68" i="2"/>
  <c r="L68" i="2"/>
  <c r="K68" i="2"/>
  <c r="J68" i="2"/>
  <c r="I68" i="2"/>
  <c r="H68" i="2"/>
  <c r="G68" i="2"/>
  <c r="F68" i="2"/>
  <c r="E68" i="2"/>
  <c r="D68" i="2"/>
  <c r="C68" i="2"/>
  <c r="Z67" i="2"/>
  <c r="BR67" i="2" s="1"/>
  <c r="Y67" i="2"/>
  <c r="BQ67" i="2" s="1"/>
  <c r="X67" i="2"/>
  <c r="BP67" i="2" s="1"/>
  <c r="W67" i="2"/>
  <c r="BO67" i="2" s="1"/>
  <c r="V67" i="2"/>
  <c r="BN67" i="2" s="1"/>
  <c r="U67" i="2"/>
  <c r="T67" i="2"/>
  <c r="BL67" i="2" s="1"/>
  <c r="S67" i="2"/>
  <c r="BK67" i="2" s="1"/>
  <c r="R67" i="2"/>
  <c r="BJ67" i="2" s="1"/>
  <c r="Q67" i="2"/>
  <c r="BI67" i="2" s="1"/>
  <c r="P67" i="2"/>
  <c r="BH67" i="2" s="1"/>
  <c r="O67" i="2"/>
  <c r="BG67" i="2" s="1"/>
  <c r="N67" i="2"/>
  <c r="M67" i="2"/>
  <c r="L67" i="2"/>
  <c r="K67" i="2"/>
  <c r="J67" i="2"/>
  <c r="I67" i="2"/>
  <c r="H67" i="2"/>
  <c r="G67" i="2"/>
  <c r="F67" i="2"/>
  <c r="E67" i="2"/>
  <c r="D67" i="2"/>
  <c r="C67" i="2"/>
  <c r="Z66" i="2"/>
  <c r="BR66" i="2" s="1"/>
  <c r="Y66" i="2"/>
  <c r="BQ66" i="2" s="1"/>
  <c r="X66" i="2"/>
  <c r="BP66" i="2" s="1"/>
  <c r="W66" i="2"/>
  <c r="BO66" i="2" s="1"/>
  <c r="V66" i="2"/>
  <c r="BN66" i="2" s="1"/>
  <c r="U66" i="2"/>
  <c r="T66" i="2"/>
  <c r="BL66" i="2" s="1"/>
  <c r="S66" i="2"/>
  <c r="BK66" i="2" s="1"/>
  <c r="R66" i="2"/>
  <c r="BJ66" i="2" s="1"/>
  <c r="Q66" i="2"/>
  <c r="BI66" i="2" s="1"/>
  <c r="P66" i="2"/>
  <c r="BH66" i="2" s="1"/>
  <c r="O66" i="2"/>
  <c r="BG66" i="2" s="1"/>
  <c r="N66" i="2"/>
  <c r="M66" i="2"/>
  <c r="L66" i="2"/>
  <c r="K66" i="2"/>
  <c r="J66" i="2"/>
  <c r="I66" i="2"/>
  <c r="H66" i="2"/>
  <c r="G66" i="2"/>
  <c r="F66" i="2"/>
  <c r="E66" i="2"/>
  <c r="D66" i="2"/>
  <c r="C66" i="2"/>
  <c r="Z72" i="3"/>
  <c r="BR72" i="3" s="1"/>
  <c r="Y72" i="3"/>
  <c r="BQ72" i="3" s="1"/>
  <c r="X72" i="3"/>
  <c r="BP72" i="3" s="1"/>
  <c r="W72" i="3"/>
  <c r="BO72" i="3" s="1"/>
  <c r="V72" i="3"/>
  <c r="BN72" i="3" s="1"/>
  <c r="U72" i="3"/>
  <c r="T72" i="3"/>
  <c r="BL72" i="3" s="1"/>
  <c r="S72" i="3"/>
  <c r="BK72" i="3" s="1"/>
  <c r="R72" i="3"/>
  <c r="BJ72" i="3" s="1"/>
  <c r="Q72" i="3"/>
  <c r="BI72" i="3" s="1"/>
  <c r="P72" i="3"/>
  <c r="BH72" i="3" s="1"/>
  <c r="O72" i="3"/>
  <c r="BG72" i="3" s="1"/>
  <c r="N72" i="3"/>
  <c r="M72" i="3"/>
  <c r="L72" i="3"/>
  <c r="K72" i="3"/>
  <c r="J72" i="3"/>
  <c r="I72" i="3"/>
  <c r="H72" i="3"/>
  <c r="G72" i="3"/>
  <c r="F72" i="3"/>
  <c r="E72" i="3"/>
  <c r="D72" i="3"/>
  <c r="C72" i="3"/>
  <c r="Z71" i="3"/>
  <c r="BR71" i="3" s="1"/>
  <c r="Y71" i="3"/>
  <c r="BQ71" i="3" s="1"/>
  <c r="X71" i="3"/>
  <c r="BP71" i="3" s="1"/>
  <c r="W71" i="3"/>
  <c r="BO71" i="3" s="1"/>
  <c r="V71" i="3"/>
  <c r="BN71" i="3" s="1"/>
  <c r="U71" i="3"/>
  <c r="T71" i="3"/>
  <c r="BL71" i="3" s="1"/>
  <c r="S71" i="3"/>
  <c r="BK71" i="3" s="1"/>
  <c r="R71" i="3"/>
  <c r="BJ71" i="3" s="1"/>
  <c r="Q71" i="3"/>
  <c r="BI71" i="3" s="1"/>
  <c r="P71" i="3"/>
  <c r="BH71" i="3" s="1"/>
  <c r="O71" i="3"/>
  <c r="BG71" i="3" s="1"/>
  <c r="N71" i="3"/>
  <c r="M71" i="3"/>
  <c r="L71" i="3"/>
  <c r="K71" i="3"/>
  <c r="J71" i="3"/>
  <c r="I71" i="3"/>
  <c r="H71" i="3"/>
  <c r="G71" i="3"/>
  <c r="F71" i="3"/>
  <c r="E71" i="3"/>
  <c r="D71" i="3"/>
  <c r="C71" i="3"/>
  <c r="Z70" i="3"/>
  <c r="BR70" i="3" s="1"/>
  <c r="Y70" i="3"/>
  <c r="BQ70" i="3" s="1"/>
  <c r="X70" i="3"/>
  <c r="BP70" i="3" s="1"/>
  <c r="W70" i="3"/>
  <c r="BO70" i="3" s="1"/>
  <c r="V70" i="3"/>
  <c r="BN70" i="3" s="1"/>
  <c r="U70" i="3"/>
  <c r="T70" i="3"/>
  <c r="BL70" i="3" s="1"/>
  <c r="S70" i="3"/>
  <c r="BK70" i="3" s="1"/>
  <c r="R70" i="3"/>
  <c r="BJ70" i="3" s="1"/>
  <c r="Q70" i="3"/>
  <c r="BI70" i="3" s="1"/>
  <c r="P70" i="3"/>
  <c r="BH70" i="3" s="1"/>
  <c r="O70" i="3"/>
  <c r="BG70" i="3" s="1"/>
  <c r="N70" i="3"/>
  <c r="M70" i="3"/>
  <c r="L70" i="3"/>
  <c r="K70" i="3"/>
  <c r="J70" i="3"/>
  <c r="I70" i="3"/>
  <c r="H70" i="3"/>
  <c r="G70" i="3"/>
  <c r="F70" i="3"/>
  <c r="E70" i="3"/>
  <c r="D70" i="3"/>
  <c r="C70" i="3"/>
  <c r="Z69" i="3"/>
  <c r="BR69" i="3" s="1"/>
  <c r="Y69" i="3"/>
  <c r="BQ69" i="3" s="1"/>
  <c r="X69" i="3"/>
  <c r="BP69" i="3" s="1"/>
  <c r="W69" i="3"/>
  <c r="BO69" i="3" s="1"/>
  <c r="V69" i="3"/>
  <c r="BN69" i="3" s="1"/>
  <c r="U69" i="3"/>
  <c r="T69" i="3"/>
  <c r="BL69" i="3" s="1"/>
  <c r="S69" i="3"/>
  <c r="BK69" i="3" s="1"/>
  <c r="R69" i="3"/>
  <c r="BJ69" i="3" s="1"/>
  <c r="Q69" i="3"/>
  <c r="BI69" i="3" s="1"/>
  <c r="P69" i="3"/>
  <c r="BH69" i="3" s="1"/>
  <c r="O69" i="3"/>
  <c r="BG69" i="3" s="1"/>
  <c r="N69" i="3"/>
  <c r="M69" i="3"/>
  <c r="L69" i="3"/>
  <c r="K69" i="3"/>
  <c r="J69" i="3"/>
  <c r="I69" i="3"/>
  <c r="H69" i="3"/>
  <c r="G69" i="3"/>
  <c r="F69" i="3"/>
  <c r="E69" i="3"/>
  <c r="D69" i="3"/>
  <c r="C69" i="3"/>
  <c r="Z68" i="3"/>
  <c r="BR68" i="3" s="1"/>
  <c r="Y68" i="3"/>
  <c r="BQ68" i="3" s="1"/>
  <c r="X68" i="3"/>
  <c r="BP68" i="3" s="1"/>
  <c r="W68" i="3"/>
  <c r="BO68" i="3" s="1"/>
  <c r="V68" i="3"/>
  <c r="BN68" i="3" s="1"/>
  <c r="U68" i="3"/>
  <c r="T68" i="3"/>
  <c r="BL68" i="3" s="1"/>
  <c r="S68" i="3"/>
  <c r="BK68" i="3" s="1"/>
  <c r="R68" i="3"/>
  <c r="BJ68" i="3" s="1"/>
  <c r="Q68" i="3"/>
  <c r="BI68" i="3" s="1"/>
  <c r="P68" i="3"/>
  <c r="BH68" i="3" s="1"/>
  <c r="O68" i="3"/>
  <c r="BG68" i="3" s="1"/>
  <c r="N68" i="3"/>
  <c r="M68" i="3"/>
  <c r="L68" i="3"/>
  <c r="K68" i="3"/>
  <c r="J68" i="3"/>
  <c r="I68" i="3"/>
  <c r="H68" i="3"/>
  <c r="G68" i="3"/>
  <c r="F68" i="3"/>
  <c r="E68" i="3"/>
  <c r="D68" i="3"/>
  <c r="C68" i="3"/>
  <c r="Z67" i="3"/>
  <c r="BR67" i="3" s="1"/>
  <c r="Y67" i="3"/>
  <c r="BQ67" i="3" s="1"/>
  <c r="X67" i="3"/>
  <c r="BP67" i="3" s="1"/>
  <c r="W67" i="3"/>
  <c r="BO67" i="3" s="1"/>
  <c r="V67" i="3"/>
  <c r="BN67" i="3" s="1"/>
  <c r="U67" i="3"/>
  <c r="T67" i="3"/>
  <c r="BL67" i="3" s="1"/>
  <c r="S67" i="3"/>
  <c r="BK67" i="3" s="1"/>
  <c r="R67" i="3"/>
  <c r="BJ67" i="3" s="1"/>
  <c r="Q67" i="3"/>
  <c r="BI67" i="3" s="1"/>
  <c r="P67" i="3"/>
  <c r="BH67" i="3" s="1"/>
  <c r="O67" i="3"/>
  <c r="BG67" i="3" s="1"/>
  <c r="N67" i="3"/>
  <c r="M67" i="3"/>
  <c r="L67" i="3"/>
  <c r="K67" i="3"/>
  <c r="J67" i="3"/>
  <c r="I67" i="3"/>
  <c r="H67" i="3"/>
  <c r="G67" i="3"/>
  <c r="F67" i="3"/>
  <c r="E67" i="3"/>
  <c r="D67" i="3"/>
  <c r="C67" i="3"/>
  <c r="Z66" i="3"/>
  <c r="BR66" i="3" s="1"/>
  <c r="Y66" i="3"/>
  <c r="BQ66" i="3" s="1"/>
  <c r="X66" i="3"/>
  <c r="BP66" i="3" s="1"/>
  <c r="W66" i="3"/>
  <c r="BO66" i="3" s="1"/>
  <c r="V66" i="3"/>
  <c r="BN66" i="3" s="1"/>
  <c r="U66" i="3"/>
  <c r="T66" i="3"/>
  <c r="BL66" i="3" s="1"/>
  <c r="S66" i="3"/>
  <c r="BK66" i="3" s="1"/>
  <c r="R66" i="3"/>
  <c r="BJ66" i="3" s="1"/>
  <c r="Q66" i="3"/>
  <c r="BI66" i="3" s="1"/>
  <c r="P66" i="3"/>
  <c r="BH66" i="3" s="1"/>
  <c r="O66" i="3"/>
  <c r="BG66" i="3" s="1"/>
  <c r="N66" i="3"/>
  <c r="M66" i="3"/>
  <c r="L66" i="3"/>
  <c r="K66" i="3"/>
  <c r="J66" i="3"/>
  <c r="I66" i="3"/>
  <c r="H66" i="3"/>
  <c r="G66" i="3"/>
  <c r="F66" i="3"/>
  <c r="E66" i="3"/>
  <c r="D66" i="3"/>
  <c r="C66" i="3"/>
  <c r="Z86" i="2"/>
  <c r="BR86" i="2" s="1"/>
  <c r="Y86" i="2"/>
  <c r="BQ86" i="2" s="1"/>
  <c r="X74" i="2"/>
  <c r="BP74" i="2" s="1"/>
  <c r="W86" i="2"/>
  <c r="BO86" i="2" s="1"/>
  <c r="V86" i="2"/>
  <c r="BN86" i="2" s="1"/>
  <c r="U74" i="2"/>
  <c r="T74" i="2"/>
  <c r="BL74" i="2" s="1"/>
  <c r="L74" i="2"/>
  <c r="H74" i="2"/>
  <c r="Y10" i="1"/>
  <c r="BQ10" i="1" s="1"/>
  <c r="X10" i="1"/>
  <c r="BP10" i="1" s="1"/>
  <c r="W10" i="1"/>
  <c r="BO10" i="1" s="1"/>
  <c r="V10" i="1"/>
  <c r="BN10" i="1" s="1"/>
  <c r="U10" i="1"/>
  <c r="BM10" i="1" s="1"/>
  <c r="T10" i="1"/>
  <c r="S10" i="1"/>
  <c r="BK10" i="1" s="1"/>
  <c r="R10" i="1"/>
  <c r="BJ10" i="1" s="1"/>
  <c r="Q10" i="1"/>
  <c r="P10" i="1"/>
  <c r="BH10" i="1" s="1"/>
  <c r="O10" i="1"/>
  <c r="BG10" i="1" s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Y9" i="1"/>
  <c r="BQ9" i="1" s="1"/>
  <c r="X9" i="1"/>
  <c r="BP9" i="1" s="1"/>
  <c r="W9" i="1"/>
  <c r="BO9" i="1" s="1"/>
  <c r="V9" i="1"/>
  <c r="BN9" i="1" s="1"/>
  <c r="U9" i="1"/>
  <c r="BM9" i="1" s="1"/>
  <c r="T9" i="1"/>
  <c r="S9" i="1"/>
  <c r="BK9" i="1" s="1"/>
  <c r="R9" i="1"/>
  <c r="BJ9" i="1" s="1"/>
  <c r="Q9" i="1"/>
  <c r="P9" i="1"/>
  <c r="BH9" i="1" s="1"/>
  <c r="O9" i="1"/>
  <c r="BG9" i="1" s="1"/>
  <c r="N9" i="1"/>
  <c r="M9" i="1"/>
  <c r="L9" i="1"/>
  <c r="K9" i="1"/>
  <c r="J9" i="1"/>
  <c r="I9" i="1"/>
  <c r="H9" i="1"/>
  <c r="G9" i="1"/>
  <c r="F9" i="1"/>
  <c r="E9" i="1"/>
  <c r="D9" i="1"/>
  <c r="C9" i="1"/>
  <c r="B9" i="1"/>
  <c r="Y8" i="1"/>
  <c r="BQ8" i="1" s="1"/>
  <c r="X8" i="1"/>
  <c r="BP8" i="1" s="1"/>
  <c r="W8" i="1"/>
  <c r="BO8" i="1" s="1"/>
  <c r="V8" i="1"/>
  <c r="BN8" i="1" s="1"/>
  <c r="U8" i="1"/>
  <c r="BM8" i="1" s="1"/>
  <c r="T8" i="1"/>
  <c r="S8" i="1"/>
  <c r="BK8" i="1" s="1"/>
  <c r="R8" i="1"/>
  <c r="BJ8" i="1" s="1"/>
  <c r="Q8" i="1"/>
  <c r="P8" i="1"/>
  <c r="BH8" i="1" s="1"/>
  <c r="O8" i="1"/>
  <c r="BG8" i="1" s="1"/>
  <c r="N8" i="1"/>
  <c r="M8" i="1"/>
  <c r="L8" i="1"/>
  <c r="K8" i="1"/>
  <c r="J8" i="1"/>
  <c r="I8" i="1"/>
  <c r="H8" i="1"/>
  <c r="G8" i="1"/>
  <c r="F8" i="1"/>
  <c r="E8" i="1"/>
  <c r="D8" i="1"/>
  <c r="C8" i="1"/>
  <c r="B8" i="1"/>
  <c r="Y7" i="1"/>
  <c r="BQ7" i="1" s="1"/>
  <c r="X7" i="1"/>
  <c r="BP7" i="1" s="1"/>
  <c r="W7" i="1"/>
  <c r="BO7" i="1" s="1"/>
  <c r="V7" i="1"/>
  <c r="BN7" i="1" s="1"/>
  <c r="U7" i="1"/>
  <c r="BM7" i="1" s="1"/>
  <c r="T7" i="1"/>
  <c r="S7" i="1"/>
  <c r="BK7" i="1" s="1"/>
  <c r="R7" i="1"/>
  <c r="BJ7" i="1" s="1"/>
  <c r="Q7" i="1"/>
  <c r="P7" i="1"/>
  <c r="BH7" i="1" s="1"/>
  <c r="O7" i="1"/>
  <c r="BG7" i="1" s="1"/>
  <c r="N7" i="1"/>
  <c r="M7" i="1"/>
  <c r="L7" i="1"/>
  <c r="K7" i="1"/>
  <c r="J7" i="1"/>
  <c r="I7" i="1"/>
  <c r="H7" i="1"/>
  <c r="G7" i="1"/>
  <c r="F7" i="1"/>
  <c r="E7" i="1"/>
  <c r="D7" i="1"/>
  <c r="C7" i="1"/>
  <c r="B7" i="1"/>
  <c r="Y6" i="1"/>
  <c r="BQ6" i="1" s="1"/>
  <c r="X6" i="1"/>
  <c r="BP6" i="1" s="1"/>
  <c r="W6" i="1"/>
  <c r="BO6" i="1" s="1"/>
  <c r="V6" i="1"/>
  <c r="BN6" i="1" s="1"/>
  <c r="U6" i="1"/>
  <c r="BM6" i="1" s="1"/>
  <c r="T6" i="1"/>
  <c r="S6" i="1"/>
  <c r="BK6" i="1" s="1"/>
  <c r="R6" i="1"/>
  <c r="BJ6" i="1" s="1"/>
  <c r="Q6" i="1"/>
  <c r="P6" i="1"/>
  <c r="BH6" i="1" s="1"/>
  <c r="O6" i="1"/>
  <c r="BG6" i="1" s="1"/>
  <c r="N6" i="1"/>
  <c r="M6" i="1"/>
  <c r="L6" i="1"/>
  <c r="K6" i="1"/>
  <c r="J6" i="1"/>
  <c r="I6" i="1"/>
  <c r="H6" i="1"/>
  <c r="G6" i="1"/>
  <c r="F6" i="1"/>
  <c r="E6" i="1"/>
  <c r="D6" i="1"/>
  <c r="C6" i="1"/>
  <c r="B6" i="1"/>
  <c r="Y5" i="1"/>
  <c r="BQ5" i="1" s="1"/>
  <c r="X5" i="1"/>
  <c r="BP5" i="1" s="1"/>
  <c r="W5" i="1"/>
  <c r="BO5" i="1" s="1"/>
  <c r="V5" i="1"/>
  <c r="BN5" i="1" s="1"/>
  <c r="U5" i="1"/>
  <c r="BM5" i="1" s="1"/>
  <c r="T5" i="1"/>
  <c r="S5" i="1"/>
  <c r="BK5" i="1" s="1"/>
  <c r="R5" i="1"/>
  <c r="BJ5" i="1" s="1"/>
  <c r="Q5" i="1"/>
  <c r="P5" i="1"/>
  <c r="BH5" i="1" s="1"/>
  <c r="O5" i="1"/>
  <c r="BG5" i="1" s="1"/>
  <c r="N5" i="1"/>
  <c r="M5" i="1"/>
  <c r="L5" i="1"/>
  <c r="K5" i="1"/>
  <c r="J5" i="1"/>
  <c r="I5" i="1"/>
  <c r="H5" i="1"/>
  <c r="G5" i="1"/>
  <c r="F5" i="1"/>
  <c r="E5" i="1"/>
  <c r="D5" i="1"/>
  <c r="C5" i="1"/>
  <c r="B5" i="1"/>
  <c r="Y4" i="1"/>
  <c r="BQ4" i="1" s="1"/>
  <c r="X4" i="1"/>
  <c r="BP4" i="1" s="1"/>
  <c r="W4" i="1"/>
  <c r="BO4" i="1" s="1"/>
  <c r="V4" i="1"/>
  <c r="BN4" i="1" s="1"/>
  <c r="U4" i="1"/>
  <c r="BM4" i="1" s="1"/>
  <c r="T4" i="1"/>
  <c r="S4" i="1"/>
  <c r="BK4" i="1" s="1"/>
  <c r="R4" i="1"/>
  <c r="BJ4" i="1" s="1"/>
  <c r="Q4" i="1"/>
  <c r="BS4" i="1" s="1"/>
  <c r="P4" i="1"/>
  <c r="BH4" i="1" s="1"/>
  <c r="O4" i="1"/>
  <c r="BG4" i="1" s="1"/>
  <c r="N4" i="1"/>
  <c r="M4" i="1"/>
  <c r="L4" i="1"/>
  <c r="K4" i="1"/>
  <c r="J4" i="1"/>
  <c r="I4" i="1"/>
  <c r="H4" i="1"/>
  <c r="G4" i="1"/>
  <c r="F4" i="1"/>
  <c r="E4" i="1"/>
  <c r="D4" i="1"/>
  <c r="C4" i="1"/>
  <c r="B4" i="1"/>
  <c r="Z12" i="3"/>
  <c r="BR12" i="3" s="1"/>
  <c r="Y12" i="3"/>
  <c r="BQ12" i="3" s="1"/>
  <c r="X12" i="3"/>
  <c r="BP12" i="3" s="1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S12" i="2"/>
  <c r="R12" i="2"/>
  <c r="Q12" i="2"/>
  <c r="P12" i="2"/>
  <c r="O12" i="2"/>
  <c r="N12" i="2"/>
  <c r="M12" i="2"/>
  <c r="L12" i="2"/>
  <c r="K12" i="2"/>
  <c r="J12" i="2"/>
  <c r="J14" i="2" s="1"/>
  <c r="I12" i="2"/>
  <c r="H12" i="2"/>
  <c r="G12" i="2"/>
  <c r="F12" i="2"/>
  <c r="F14" i="2" s="1"/>
  <c r="E12" i="2"/>
  <c r="E14" i="2" s="1"/>
  <c r="D12" i="2"/>
  <c r="C12" i="2"/>
  <c r="N48" i="2"/>
  <c r="M48" i="2"/>
  <c r="L48" i="2"/>
  <c r="K48" i="2"/>
  <c r="J48" i="2"/>
  <c r="I48" i="2"/>
  <c r="H48" i="2"/>
  <c r="G48" i="2"/>
  <c r="F48" i="2"/>
  <c r="E48" i="2"/>
  <c r="D48" i="2"/>
  <c r="C48" i="2"/>
  <c r="N47" i="2"/>
  <c r="M47" i="2"/>
  <c r="L47" i="2"/>
  <c r="K47" i="2"/>
  <c r="J47" i="2"/>
  <c r="I47" i="2"/>
  <c r="H47" i="2"/>
  <c r="G47" i="2"/>
  <c r="F47" i="2"/>
  <c r="E47" i="2"/>
  <c r="D47" i="2"/>
  <c r="C47" i="2"/>
  <c r="N46" i="2"/>
  <c r="M46" i="2"/>
  <c r="L46" i="2"/>
  <c r="K46" i="2"/>
  <c r="J46" i="2"/>
  <c r="I46" i="2"/>
  <c r="H46" i="2"/>
  <c r="G46" i="2"/>
  <c r="F46" i="2"/>
  <c r="E46" i="2"/>
  <c r="D46" i="2"/>
  <c r="C46" i="2"/>
  <c r="N45" i="2"/>
  <c r="M45" i="2"/>
  <c r="L45" i="2"/>
  <c r="K45" i="2"/>
  <c r="J45" i="2"/>
  <c r="I45" i="2"/>
  <c r="H45" i="2"/>
  <c r="G45" i="2"/>
  <c r="F45" i="2"/>
  <c r="E45" i="2"/>
  <c r="D45" i="2"/>
  <c r="C45" i="2"/>
  <c r="N44" i="2"/>
  <c r="M44" i="2"/>
  <c r="L44" i="2"/>
  <c r="K44" i="2"/>
  <c r="J44" i="2"/>
  <c r="I44" i="2"/>
  <c r="H44" i="2"/>
  <c r="G44" i="2"/>
  <c r="F44" i="2"/>
  <c r="E44" i="2"/>
  <c r="D44" i="2"/>
  <c r="C44" i="2"/>
  <c r="N43" i="2"/>
  <c r="M43" i="2"/>
  <c r="L43" i="2"/>
  <c r="K43" i="2"/>
  <c r="J43" i="2"/>
  <c r="I43" i="2"/>
  <c r="H43" i="2"/>
  <c r="G43" i="2"/>
  <c r="F43" i="2"/>
  <c r="E43" i="2"/>
  <c r="D43" i="2"/>
  <c r="C43" i="2"/>
  <c r="N42" i="2"/>
  <c r="M42" i="2"/>
  <c r="L42" i="2"/>
  <c r="K42" i="2"/>
  <c r="J42" i="2"/>
  <c r="I42" i="2"/>
  <c r="H42" i="2"/>
  <c r="G42" i="2"/>
  <c r="F42" i="2"/>
  <c r="E42" i="2"/>
  <c r="D42" i="2"/>
  <c r="C42" i="2"/>
  <c r="N48" i="3"/>
  <c r="M48" i="3"/>
  <c r="L48" i="3"/>
  <c r="K48" i="3"/>
  <c r="J48" i="3"/>
  <c r="I48" i="3"/>
  <c r="H48" i="3"/>
  <c r="G48" i="3"/>
  <c r="F48" i="3"/>
  <c r="E48" i="3"/>
  <c r="D48" i="3"/>
  <c r="C48" i="3"/>
  <c r="N47" i="3"/>
  <c r="M47" i="3"/>
  <c r="L47" i="3"/>
  <c r="K47" i="3"/>
  <c r="J47" i="3"/>
  <c r="I47" i="3"/>
  <c r="H47" i="3"/>
  <c r="G47" i="3"/>
  <c r="F47" i="3"/>
  <c r="E47" i="3"/>
  <c r="D47" i="3"/>
  <c r="C47" i="3"/>
  <c r="N46" i="3"/>
  <c r="M46" i="3"/>
  <c r="L46" i="3"/>
  <c r="K46" i="3"/>
  <c r="J46" i="3"/>
  <c r="I46" i="3"/>
  <c r="H46" i="3"/>
  <c r="G46" i="3"/>
  <c r="F46" i="3"/>
  <c r="E46" i="3"/>
  <c r="D46" i="3"/>
  <c r="C46" i="3"/>
  <c r="N45" i="3"/>
  <c r="M45" i="3"/>
  <c r="L45" i="3"/>
  <c r="K45" i="3"/>
  <c r="J45" i="3"/>
  <c r="I45" i="3"/>
  <c r="H45" i="3"/>
  <c r="G45" i="3"/>
  <c r="F45" i="3"/>
  <c r="E45" i="3"/>
  <c r="D45" i="3"/>
  <c r="C45" i="3"/>
  <c r="N44" i="3"/>
  <c r="M44" i="3"/>
  <c r="L44" i="3"/>
  <c r="K44" i="3"/>
  <c r="J44" i="3"/>
  <c r="I44" i="3"/>
  <c r="H44" i="3"/>
  <c r="G44" i="3"/>
  <c r="F44" i="3"/>
  <c r="E44" i="3"/>
  <c r="D44" i="3"/>
  <c r="C44" i="3"/>
  <c r="N43" i="3"/>
  <c r="M43" i="3"/>
  <c r="L43" i="3"/>
  <c r="K43" i="3"/>
  <c r="J43" i="3"/>
  <c r="I43" i="3"/>
  <c r="H43" i="3"/>
  <c r="G43" i="3"/>
  <c r="F43" i="3"/>
  <c r="E43" i="3"/>
  <c r="D43" i="3"/>
  <c r="C43" i="3"/>
  <c r="N42" i="3"/>
  <c r="M42" i="3"/>
  <c r="L42" i="3"/>
  <c r="K42" i="3"/>
  <c r="J42" i="3"/>
  <c r="I42" i="3"/>
  <c r="H42" i="3"/>
  <c r="G42" i="3"/>
  <c r="F42" i="3"/>
  <c r="E42" i="3"/>
  <c r="D42" i="3"/>
  <c r="C42" i="3"/>
  <c r="Y34" i="1"/>
  <c r="X34" i="1"/>
  <c r="W34" i="1"/>
  <c r="V34" i="1"/>
  <c r="U34" i="1"/>
  <c r="T34" i="1"/>
  <c r="BT34" i="1" s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Y33" i="1"/>
  <c r="X33" i="1"/>
  <c r="W33" i="1"/>
  <c r="V33" i="1"/>
  <c r="U33" i="1"/>
  <c r="T33" i="1"/>
  <c r="BT33" i="1" s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Y32" i="1"/>
  <c r="X32" i="1"/>
  <c r="W32" i="1"/>
  <c r="V32" i="1"/>
  <c r="U32" i="1"/>
  <c r="T32" i="1"/>
  <c r="BT32" i="1" s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Y31" i="1"/>
  <c r="X31" i="1"/>
  <c r="W31" i="1"/>
  <c r="V31" i="1"/>
  <c r="U31" i="1"/>
  <c r="T31" i="1"/>
  <c r="BT31" i="1" s="1"/>
  <c r="S31" i="1"/>
  <c r="R31" i="1"/>
  <c r="Q31" i="1"/>
  <c r="P31" i="1"/>
  <c r="O31" i="1"/>
  <c r="N31" i="1"/>
  <c r="M31" i="1"/>
  <c r="L31" i="1"/>
  <c r="K31" i="1"/>
  <c r="J31" i="1"/>
  <c r="I31" i="1"/>
  <c r="H31" i="1"/>
  <c r="F31" i="1"/>
  <c r="E31" i="1"/>
  <c r="D31" i="1"/>
  <c r="C31" i="1"/>
  <c r="B31" i="1"/>
  <c r="Y30" i="1"/>
  <c r="X30" i="1"/>
  <c r="W30" i="1"/>
  <c r="V30" i="1"/>
  <c r="U30" i="1"/>
  <c r="T30" i="1"/>
  <c r="BT30" i="1" s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Y29" i="1"/>
  <c r="X29" i="1"/>
  <c r="W29" i="1"/>
  <c r="V29" i="1"/>
  <c r="U29" i="1"/>
  <c r="T29" i="1"/>
  <c r="BT29" i="1" s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N74" i="3" s="1"/>
  <c r="M38" i="3"/>
  <c r="M74" i="3" s="1"/>
  <c r="L38" i="3"/>
  <c r="K38" i="3"/>
  <c r="J38" i="3"/>
  <c r="J74" i="3" s="1"/>
  <c r="I38" i="3"/>
  <c r="I74" i="3" s="1"/>
  <c r="H38" i="3"/>
  <c r="H74" i="3" s="1"/>
  <c r="G38" i="3"/>
  <c r="F38" i="3"/>
  <c r="F74" i="3" s="1"/>
  <c r="E38" i="3"/>
  <c r="E74" i="3" s="1"/>
  <c r="D38" i="3"/>
  <c r="D74" i="3" s="1"/>
  <c r="C38" i="3"/>
  <c r="S74" i="2"/>
  <c r="BK74" i="2" s="1"/>
  <c r="O74" i="2"/>
  <c r="BG74" i="2" s="1"/>
  <c r="M74" i="2"/>
  <c r="K74" i="2"/>
  <c r="I74" i="2"/>
  <c r="G74" i="2"/>
  <c r="E74" i="2"/>
  <c r="C74" i="2"/>
  <c r="B40" i="1"/>
  <c r="B77" i="1" s="1"/>
  <c r="C40" i="1"/>
  <c r="C77" i="1" s="1"/>
  <c r="D40" i="1"/>
  <c r="D77" i="1" s="1"/>
  <c r="E40" i="1"/>
  <c r="E77" i="1" s="1"/>
  <c r="F40" i="1"/>
  <c r="F77" i="1" s="1"/>
  <c r="G40" i="1"/>
  <c r="G77" i="1" s="1"/>
  <c r="H40" i="1"/>
  <c r="H77" i="1" s="1"/>
  <c r="I40" i="1"/>
  <c r="I77" i="1" s="1"/>
  <c r="J40" i="1"/>
  <c r="J77" i="1" s="1"/>
  <c r="K40" i="1"/>
  <c r="K77" i="1" s="1"/>
  <c r="L40" i="1"/>
  <c r="L77" i="1" s="1"/>
  <c r="M40" i="1"/>
  <c r="M77" i="1" s="1"/>
  <c r="N40" i="1"/>
  <c r="N77" i="1" s="1"/>
  <c r="O40" i="1"/>
  <c r="O77" i="1" s="1"/>
  <c r="P40" i="1"/>
  <c r="P77" i="1" s="1"/>
  <c r="Q40" i="1"/>
  <c r="Q77" i="1" s="1"/>
  <c r="R40" i="1"/>
  <c r="R77" i="1" s="1"/>
  <c r="S40" i="1"/>
  <c r="S77" i="1" s="1"/>
  <c r="T40" i="1"/>
  <c r="T77" i="1" s="1"/>
  <c r="U40" i="1"/>
  <c r="U77" i="1" s="1"/>
  <c r="V40" i="1"/>
  <c r="V77" i="1" s="1"/>
  <c r="W40" i="1"/>
  <c r="W77" i="1" s="1"/>
  <c r="X40" i="1"/>
  <c r="X77" i="1" s="1"/>
  <c r="Y40" i="1"/>
  <c r="Y77" i="1" s="1"/>
  <c r="B27" i="1"/>
  <c r="B89" i="1" s="1"/>
  <c r="C27" i="1"/>
  <c r="C89" i="1" s="1"/>
  <c r="D27" i="1"/>
  <c r="D89" i="1" s="1"/>
  <c r="E27" i="1"/>
  <c r="E89" i="1" s="1"/>
  <c r="F27" i="1"/>
  <c r="F89" i="1" s="1"/>
  <c r="G27" i="1"/>
  <c r="G89" i="1" s="1"/>
  <c r="H27" i="1"/>
  <c r="H89" i="1" s="1"/>
  <c r="I27" i="1"/>
  <c r="I89" i="1" s="1"/>
  <c r="J27" i="1"/>
  <c r="J89" i="1" s="1"/>
  <c r="K27" i="1"/>
  <c r="K89" i="1" s="1"/>
  <c r="L27" i="1"/>
  <c r="L89" i="1" s="1"/>
  <c r="M27" i="1"/>
  <c r="M89" i="1" s="1"/>
  <c r="N27" i="1"/>
  <c r="N89" i="1" s="1"/>
  <c r="O27" i="1"/>
  <c r="O89" i="1" s="1"/>
  <c r="P27" i="1"/>
  <c r="P89" i="1" s="1"/>
  <c r="Q27" i="1"/>
  <c r="Q89" i="1" s="1"/>
  <c r="R27" i="1"/>
  <c r="R89" i="1" s="1"/>
  <c r="S27" i="1"/>
  <c r="S89" i="1" s="1"/>
  <c r="T27" i="1"/>
  <c r="T89" i="1" s="1"/>
  <c r="U27" i="1"/>
  <c r="U89" i="1" s="1"/>
  <c r="V27" i="1"/>
  <c r="V89" i="1" s="1"/>
  <c r="W27" i="1"/>
  <c r="W89" i="1" s="1"/>
  <c r="X27" i="1"/>
  <c r="X89" i="1" s="1"/>
  <c r="Y27" i="1"/>
  <c r="Y89" i="1" s="1"/>
  <c r="B15" i="1"/>
  <c r="B53" i="1" s="1"/>
  <c r="C15" i="1"/>
  <c r="C53" i="1" s="1"/>
  <c r="D15" i="1"/>
  <c r="D53" i="1" s="1"/>
  <c r="E15" i="1"/>
  <c r="E53" i="1" s="1"/>
  <c r="F15" i="1"/>
  <c r="F53" i="1" s="1"/>
  <c r="G15" i="1"/>
  <c r="G53" i="1" s="1"/>
  <c r="H15" i="1"/>
  <c r="H53" i="1" s="1"/>
  <c r="I15" i="1"/>
  <c r="I53" i="1" s="1"/>
  <c r="J15" i="1"/>
  <c r="J53" i="1" s="1"/>
  <c r="K15" i="1"/>
  <c r="K53" i="1" s="1"/>
  <c r="L15" i="1"/>
  <c r="L53" i="1" s="1"/>
  <c r="M15" i="1"/>
  <c r="M53" i="1" s="1"/>
  <c r="N15" i="1"/>
  <c r="N53" i="1" s="1"/>
  <c r="O15" i="1"/>
  <c r="O53" i="1" s="1"/>
  <c r="P15" i="1"/>
  <c r="P53" i="1" s="1"/>
  <c r="Q15" i="1"/>
  <c r="Q53" i="1" s="1"/>
  <c r="R15" i="1"/>
  <c r="R53" i="1" s="1"/>
  <c r="S15" i="1"/>
  <c r="S53" i="1" s="1"/>
  <c r="T15" i="1"/>
  <c r="T53" i="1" s="1"/>
  <c r="U15" i="1"/>
  <c r="U53" i="1" s="1"/>
  <c r="V15" i="1"/>
  <c r="V53" i="1" s="1"/>
  <c r="W15" i="1"/>
  <c r="W53" i="1" s="1"/>
  <c r="X15" i="1"/>
  <c r="X53" i="1" s="1"/>
  <c r="Y15" i="1"/>
  <c r="Y53" i="1" s="1"/>
  <c r="N50" i="2"/>
  <c r="L50" i="2"/>
  <c r="J50" i="2"/>
  <c r="H50" i="2"/>
  <c r="F50" i="2"/>
  <c r="D50" i="2"/>
  <c r="C3" i="3"/>
  <c r="C41" i="3" s="1"/>
  <c r="C77" i="3" s="1"/>
  <c r="D3" i="3"/>
  <c r="D29" i="3" s="1"/>
  <c r="E3" i="3"/>
  <c r="E41" i="3" s="1"/>
  <c r="E77" i="3" s="1"/>
  <c r="F3" i="3"/>
  <c r="F41" i="3" s="1"/>
  <c r="F77" i="3" s="1"/>
  <c r="G3" i="3"/>
  <c r="G29" i="3" s="1"/>
  <c r="H3" i="3"/>
  <c r="H41" i="3" s="1"/>
  <c r="H77" i="3" s="1"/>
  <c r="I3" i="3"/>
  <c r="I41" i="3" s="1"/>
  <c r="I77" i="3" s="1"/>
  <c r="J3" i="3"/>
  <c r="J41" i="3" s="1"/>
  <c r="J77" i="3" s="1"/>
  <c r="K3" i="3"/>
  <c r="K29" i="3" s="1"/>
  <c r="L3" i="3"/>
  <c r="L41" i="3" s="1"/>
  <c r="L77" i="3" s="1"/>
  <c r="M3" i="3"/>
  <c r="M41" i="3" s="1"/>
  <c r="M77" i="3" s="1"/>
  <c r="N3" i="3"/>
  <c r="N29" i="3" s="1"/>
  <c r="O3" i="3"/>
  <c r="O41" i="3" s="1"/>
  <c r="O77" i="3" s="1"/>
  <c r="P3" i="3"/>
  <c r="P29" i="3" s="1"/>
  <c r="Q3" i="3"/>
  <c r="Q41" i="3" s="1"/>
  <c r="Q77" i="3" s="1"/>
  <c r="R3" i="3"/>
  <c r="R29" i="3" s="1"/>
  <c r="S3" i="3"/>
  <c r="S41" i="3" s="1"/>
  <c r="S77" i="3" s="1"/>
  <c r="T3" i="3"/>
  <c r="T41" i="3" s="1"/>
  <c r="T77" i="3" s="1"/>
  <c r="U3" i="3"/>
  <c r="U41" i="3" s="1"/>
  <c r="U77" i="3" s="1"/>
  <c r="V3" i="3"/>
  <c r="V41" i="3" s="1"/>
  <c r="V77" i="3" s="1"/>
  <c r="W3" i="3"/>
  <c r="W29" i="3" s="1"/>
  <c r="X3" i="3"/>
  <c r="Y3" i="3"/>
  <c r="Z3" i="3"/>
  <c r="Z26" i="3"/>
  <c r="Y26" i="3"/>
  <c r="X26" i="3"/>
  <c r="W26" i="3"/>
  <c r="AD26" i="3" s="1"/>
  <c r="V26" i="3"/>
  <c r="U26" i="3"/>
  <c r="T26" i="3"/>
  <c r="BL26" i="3" s="1"/>
  <c r="S26" i="3"/>
  <c r="BK26" i="3" s="1"/>
  <c r="R26" i="3"/>
  <c r="Q26" i="3"/>
  <c r="P26" i="3"/>
  <c r="BH26" i="3" s="1"/>
  <c r="O26" i="3"/>
  <c r="BG26" i="3" s="1"/>
  <c r="N26" i="3"/>
  <c r="AJ26" i="3" s="1"/>
  <c r="M26" i="3"/>
  <c r="L26" i="3"/>
  <c r="K26" i="3"/>
  <c r="J26" i="3"/>
  <c r="I26" i="3"/>
  <c r="H26" i="3"/>
  <c r="AH26" i="3" s="1"/>
  <c r="G26" i="3"/>
  <c r="F26" i="3"/>
  <c r="E26" i="3"/>
  <c r="D26" i="3"/>
  <c r="Y22" i="1"/>
  <c r="X22" i="1"/>
  <c r="AD22" i="1" s="1"/>
  <c r="W22" i="1"/>
  <c r="U22" i="1"/>
  <c r="T22" i="1"/>
  <c r="S22" i="1"/>
  <c r="BK22" i="1" s="1"/>
  <c r="R22" i="1"/>
  <c r="BJ22" i="1" s="1"/>
  <c r="Q22" i="1"/>
  <c r="P22" i="1"/>
  <c r="O22" i="1"/>
  <c r="BG22" i="1" s="1"/>
  <c r="N22" i="1"/>
  <c r="M22" i="1"/>
  <c r="AI22" i="1" s="1"/>
  <c r="L22" i="1"/>
  <c r="K22" i="1"/>
  <c r="J22" i="1"/>
  <c r="AH22" i="1" s="1"/>
  <c r="AM22" i="1" s="1"/>
  <c r="I22" i="1"/>
  <c r="H22" i="1"/>
  <c r="G22" i="1"/>
  <c r="AG22" i="1" s="1"/>
  <c r="F22" i="1"/>
  <c r="E22" i="1"/>
  <c r="D22" i="1"/>
  <c r="AF22" i="1" s="1"/>
  <c r="C22" i="1"/>
  <c r="B22" i="1"/>
  <c r="Y21" i="1"/>
  <c r="X21" i="1"/>
  <c r="AD21" i="1" s="1"/>
  <c r="W21" i="1"/>
  <c r="U21" i="1"/>
  <c r="T21" i="1"/>
  <c r="S21" i="1"/>
  <c r="BK21" i="1" s="1"/>
  <c r="R21" i="1"/>
  <c r="BJ21" i="1" s="1"/>
  <c r="Q21" i="1"/>
  <c r="P21" i="1"/>
  <c r="O21" i="1"/>
  <c r="BG21" i="1" s="1"/>
  <c r="N21" i="1"/>
  <c r="M21" i="1"/>
  <c r="AI21" i="1" s="1"/>
  <c r="L21" i="1"/>
  <c r="K21" i="1"/>
  <c r="J21" i="1"/>
  <c r="AH21" i="1" s="1"/>
  <c r="AM21" i="1" s="1"/>
  <c r="I21" i="1"/>
  <c r="H21" i="1"/>
  <c r="G21" i="1"/>
  <c r="AG21" i="1" s="1"/>
  <c r="F21" i="1"/>
  <c r="E21" i="1"/>
  <c r="D21" i="1"/>
  <c r="AF21" i="1" s="1"/>
  <c r="C21" i="1"/>
  <c r="B21" i="1"/>
  <c r="Y20" i="1"/>
  <c r="X20" i="1"/>
  <c r="AD20" i="1" s="1"/>
  <c r="W20" i="1"/>
  <c r="U20" i="1"/>
  <c r="T20" i="1"/>
  <c r="S20" i="1"/>
  <c r="BK20" i="1" s="1"/>
  <c r="R20" i="1"/>
  <c r="BJ20" i="1" s="1"/>
  <c r="Q20" i="1"/>
  <c r="P20" i="1"/>
  <c r="O20" i="1"/>
  <c r="BG20" i="1" s="1"/>
  <c r="N20" i="1"/>
  <c r="M20" i="1"/>
  <c r="AI20" i="1" s="1"/>
  <c r="L20" i="1"/>
  <c r="K20" i="1"/>
  <c r="J20" i="1"/>
  <c r="AH20" i="1" s="1"/>
  <c r="AM20" i="1" s="1"/>
  <c r="I20" i="1"/>
  <c r="H20" i="1"/>
  <c r="G20" i="1"/>
  <c r="AG20" i="1" s="1"/>
  <c r="F20" i="1"/>
  <c r="E20" i="1"/>
  <c r="D20" i="1"/>
  <c r="AF20" i="1" s="1"/>
  <c r="C20" i="1"/>
  <c r="B20" i="1"/>
  <c r="Y19" i="1"/>
  <c r="X19" i="1"/>
  <c r="AD19" i="1" s="1"/>
  <c r="W19" i="1"/>
  <c r="U19" i="1"/>
  <c r="T19" i="1"/>
  <c r="S19" i="1"/>
  <c r="BK19" i="1" s="1"/>
  <c r="R19" i="1"/>
  <c r="BJ19" i="1" s="1"/>
  <c r="Q19" i="1"/>
  <c r="P19" i="1"/>
  <c r="O19" i="1"/>
  <c r="BG19" i="1" s="1"/>
  <c r="N19" i="1"/>
  <c r="M19" i="1"/>
  <c r="AI19" i="1" s="1"/>
  <c r="L19" i="1"/>
  <c r="K19" i="1"/>
  <c r="J19" i="1"/>
  <c r="AH19" i="1" s="1"/>
  <c r="AM19" i="1" s="1"/>
  <c r="I19" i="1"/>
  <c r="H19" i="1"/>
  <c r="G19" i="1"/>
  <c r="AG19" i="1" s="1"/>
  <c r="F19" i="1"/>
  <c r="E19" i="1"/>
  <c r="D19" i="1"/>
  <c r="AF19" i="1" s="1"/>
  <c r="C19" i="1"/>
  <c r="B19" i="1"/>
  <c r="Y18" i="1"/>
  <c r="X18" i="1"/>
  <c r="AD18" i="1" s="1"/>
  <c r="W18" i="1"/>
  <c r="U18" i="1"/>
  <c r="T18" i="1"/>
  <c r="S18" i="1"/>
  <c r="BK18" i="1" s="1"/>
  <c r="R18" i="1"/>
  <c r="BJ18" i="1" s="1"/>
  <c r="Q18" i="1"/>
  <c r="P18" i="1"/>
  <c r="O18" i="1"/>
  <c r="BG18" i="1" s="1"/>
  <c r="N18" i="1"/>
  <c r="M18" i="1"/>
  <c r="AI18" i="1" s="1"/>
  <c r="L18" i="1"/>
  <c r="K18" i="1"/>
  <c r="J18" i="1"/>
  <c r="AH18" i="1" s="1"/>
  <c r="AM18" i="1" s="1"/>
  <c r="I18" i="1"/>
  <c r="H18" i="1"/>
  <c r="G18" i="1"/>
  <c r="AG18" i="1" s="1"/>
  <c r="F18" i="1"/>
  <c r="E18" i="1"/>
  <c r="D18" i="1"/>
  <c r="AF18" i="1" s="1"/>
  <c r="C18" i="1"/>
  <c r="B18" i="1"/>
  <c r="Y17" i="1"/>
  <c r="BE42" i="1" s="1"/>
  <c r="X17" i="1"/>
  <c r="AD17" i="1" s="1"/>
  <c r="W17" i="1"/>
  <c r="U17" i="1"/>
  <c r="T17" i="1"/>
  <c r="S17" i="1"/>
  <c r="BK17" i="1" s="1"/>
  <c r="R17" i="1"/>
  <c r="BJ17" i="1" s="1"/>
  <c r="Q17" i="1"/>
  <c r="P17" i="1"/>
  <c r="O17" i="1"/>
  <c r="BG17" i="1" s="1"/>
  <c r="N17" i="1"/>
  <c r="M17" i="1"/>
  <c r="AI17" i="1" s="1"/>
  <c r="L17" i="1"/>
  <c r="K17" i="1"/>
  <c r="J17" i="1"/>
  <c r="AH17" i="1" s="1"/>
  <c r="AM17" i="1" s="1"/>
  <c r="I17" i="1"/>
  <c r="H17" i="1"/>
  <c r="G17" i="1"/>
  <c r="AG17" i="1" s="1"/>
  <c r="F17" i="1"/>
  <c r="E17" i="1"/>
  <c r="D17" i="1"/>
  <c r="AF17" i="1" s="1"/>
  <c r="C17" i="1"/>
  <c r="B17" i="1"/>
  <c r="Y16" i="1"/>
  <c r="X16" i="1"/>
  <c r="W16" i="1"/>
  <c r="U16" i="1"/>
  <c r="T16" i="1"/>
  <c r="S16" i="1"/>
  <c r="BK16" i="1" s="1"/>
  <c r="R16" i="1"/>
  <c r="BJ16" i="1" s="1"/>
  <c r="Q16" i="1"/>
  <c r="P16" i="1"/>
  <c r="BH16" i="1" s="1"/>
  <c r="O16" i="1"/>
  <c r="BG16" i="1" s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C50" i="2"/>
  <c r="C26" i="3"/>
  <c r="C50" i="3" s="1"/>
  <c r="AF26" i="3" l="1"/>
  <c r="G50" i="3"/>
  <c r="BM67" i="2"/>
  <c r="BU67" i="2"/>
  <c r="BM68" i="2"/>
  <c r="BU68" i="2"/>
  <c r="BM69" i="2"/>
  <c r="BU69" i="2"/>
  <c r="BM70" i="2"/>
  <c r="BU70" i="2"/>
  <c r="BG50" i="2"/>
  <c r="BM74" i="2"/>
  <c r="BU74" i="2"/>
  <c r="BM66" i="2"/>
  <c r="BU66" i="2"/>
  <c r="BM71" i="2"/>
  <c r="BU71" i="2"/>
  <c r="BM72" i="2"/>
  <c r="BU72" i="2"/>
  <c r="BM66" i="3"/>
  <c r="BU66" i="3"/>
  <c r="BM67" i="3"/>
  <c r="BU67" i="3"/>
  <c r="BM68" i="3"/>
  <c r="BU68" i="3"/>
  <c r="BM69" i="3"/>
  <c r="BU69" i="3"/>
  <c r="BM70" i="3"/>
  <c r="BU70" i="3"/>
  <c r="BM71" i="3"/>
  <c r="BU71" i="3"/>
  <c r="BM72" i="3"/>
  <c r="BU72" i="3"/>
  <c r="BM26" i="3"/>
  <c r="BU26" i="3"/>
  <c r="BU50" i="3"/>
  <c r="BU12" i="3"/>
  <c r="BU86" i="3"/>
  <c r="BL21" i="1"/>
  <c r="BT21" i="1"/>
  <c r="BL16" i="1"/>
  <c r="BT16" i="1"/>
  <c r="BL20" i="1"/>
  <c r="BT20" i="1"/>
  <c r="BL19" i="1"/>
  <c r="BT19" i="1"/>
  <c r="BL17" i="1"/>
  <c r="BT17" i="1"/>
  <c r="BL18" i="1"/>
  <c r="BT18" i="1"/>
  <c r="BL22" i="1"/>
  <c r="BT22" i="1"/>
  <c r="AC28" i="1"/>
  <c r="BT28" i="1"/>
  <c r="BL4" i="1"/>
  <c r="BT4" i="1"/>
  <c r="BL5" i="1"/>
  <c r="BT5" i="1"/>
  <c r="BL6" i="1"/>
  <c r="BT6" i="1"/>
  <c r="BL7" i="1"/>
  <c r="BT7" i="1"/>
  <c r="BL8" i="1"/>
  <c r="BT8" i="1"/>
  <c r="BL9" i="1"/>
  <c r="BT9" i="1"/>
  <c r="BL10" i="1"/>
  <c r="BT10" i="1"/>
  <c r="BE41" i="1"/>
  <c r="BA41" i="1"/>
  <c r="BT12" i="2"/>
  <c r="BT86" i="2"/>
  <c r="AM26" i="2"/>
  <c r="AC50" i="3"/>
  <c r="BT50" i="3" s="1"/>
  <c r="I50" i="3"/>
  <c r="M50" i="3"/>
  <c r="AJ42" i="3"/>
  <c r="AJ43" i="3"/>
  <c r="AJ44" i="3"/>
  <c r="AJ45" i="3"/>
  <c r="AJ46" i="3"/>
  <c r="AJ47" i="3"/>
  <c r="AJ48" i="3"/>
  <c r="AI42" i="3"/>
  <c r="AI43" i="3"/>
  <c r="AI44" i="3"/>
  <c r="AI45" i="3"/>
  <c r="AI46" i="3"/>
  <c r="AI47" i="3"/>
  <c r="AI48" i="3"/>
  <c r="AB44" i="1"/>
  <c r="AB46" i="1"/>
  <c r="AB42" i="1"/>
  <c r="AB45" i="1"/>
  <c r="AB47" i="1"/>
  <c r="AB41" i="1"/>
  <c r="AB43" i="1"/>
  <c r="BS54" i="1"/>
  <c r="BS55" i="1"/>
  <c r="BS56" i="1"/>
  <c r="BS57" i="1"/>
  <c r="BS58" i="1"/>
  <c r="BS59" i="1"/>
  <c r="BS60" i="1"/>
  <c r="BW50" i="2"/>
  <c r="AI9" i="5"/>
  <c r="K50" i="3"/>
  <c r="AI26" i="3"/>
  <c r="AN26" i="3" s="1"/>
  <c r="Q74" i="3"/>
  <c r="BI74" i="3" s="1"/>
  <c r="Q50" i="3"/>
  <c r="BI50" i="3" s="1"/>
  <c r="BI38" i="3"/>
  <c r="U74" i="3"/>
  <c r="U50" i="3"/>
  <c r="BM50" i="3" s="1"/>
  <c r="BM38" i="3"/>
  <c r="AH42" i="3"/>
  <c r="AM42" i="3" s="1"/>
  <c r="AH43" i="3"/>
  <c r="AH44" i="3"/>
  <c r="AH45" i="3"/>
  <c r="AH46" i="3"/>
  <c r="AH47" i="3"/>
  <c r="AH48" i="3"/>
  <c r="E86" i="3"/>
  <c r="E14" i="3"/>
  <c r="I86" i="3"/>
  <c r="AI12" i="3"/>
  <c r="AI86" i="3" s="1"/>
  <c r="AN86" i="3" s="1"/>
  <c r="I14" i="3"/>
  <c r="M86" i="3"/>
  <c r="M14" i="3"/>
  <c r="Q86" i="3"/>
  <c r="BI86" i="3" s="1"/>
  <c r="BI12" i="3"/>
  <c r="Q14" i="3"/>
  <c r="U86" i="3"/>
  <c r="BM86" i="3" s="1"/>
  <c r="BM12" i="3"/>
  <c r="U14" i="3"/>
  <c r="R74" i="3"/>
  <c r="BJ74" i="3" s="1"/>
  <c r="R50" i="3"/>
  <c r="BJ50" i="3" s="1"/>
  <c r="BJ38" i="3"/>
  <c r="BT38" i="3"/>
  <c r="BT74" i="3"/>
  <c r="V74" i="3"/>
  <c r="BN74" i="3" s="1"/>
  <c r="V50" i="3"/>
  <c r="BN38" i="3"/>
  <c r="AG42" i="3"/>
  <c r="AL42" i="3" s="1"/>
  <c r="AF42" i="3"/>
  <c r="AK42" i="3" s="1"/>
  <c r="AG43" i="3"/>
  <c r="AL43" i="3" s="1"/>
  <c r="AF43" i="3"/>
  <c r="AK43" i="3" s="1"/>
  <c r="AG44" i="3"/>
  <c r="AL44" i="3" s="1"/>
  <c r="AF44" i="3"/>
  <c r="AK44" i="3" s="1"/>
  <c r="AG45" i="3"/>
  <c r="AL45" i="3" s="1"/>
  <c r="AF45" i="3"/>
  <c r="AK45" i="3" s="1"/>
  <c r="AG46" i="3"/>
  <c r="AL46" i="3" s="1"/>
  <c r="AF46" i="3"/>
  <c r="AK46" i="3" s="1"/>
  <c r="AG47" i="3"/>
  <c r="AL47" i="3" s="1"/>
  <c r="AF47" i="3"/>
  <c r="AK47" i="3" s="1"/>
  <c r="AG48" i="3"/>
  <c r="AL48" i="3" s="1"/>
  <c r="AF48" i="3"/>
  <c r="AK48" i="3" s="1"/>
  <c r="F86" i="3"/>
  <c r="F14" i="3"/>
  <c r="J86" i="3"/>
  <c r="J14" i="3"/>
  <c r="N86" i="3"/>
  <c r="N14" i="3"/>
  <c r="R86" i="3"/>
  <c r="BJ86" i="3" s="1"/>
  <c r="BJ12" i="3"/>
  <c r="BT12" i="3"/>
  <c r="BT86" i="3"/>
  <c r="R14" i="3"/>
  <c r="V86" i="3"/>
  <c r="BN86" i="3" s="1"/>
  <c r="BN12" i="3"/>
  <c r="V14" i="3"/>
  <c r="I57" i="5" s="1"/>
  <c r="BW86" i="3"/>
  <c r="AK86" i="3"/>
  <c r="E50" i="3"/>
  <c r="AG26" i="3"/>
  <c r="BI26" i="3"/>
  <c r="BS26" i="3"/>
  <c r="AB26" i="3"/>
  <c r="AF51" i="3"/>
  <c r="O50" i="3"/>
  <c r="AA50" i="3"/>
  <c r="AA51" i="3"/>
  <c r="AA38" i="3"/>
  <c r="BG38" i="3"/>
  <c r="BS38" i="3"/>
  <c r="BS74" i="3"/>
  <c r="S74" i="3"/>
  <c r="BK74" i="3" s="1"/>
  <c r="S50" i="3"/>
  <c r="BK50" i="3" s="1"/>
  <c r="BK38" i="3"/>
  <c r="W50" i="3"/>
  <c r="BO38" i="3"/>
  <c r="C86" i="3"/>
  <c r="C14" i="3"/>
  <c r="G86" i="3"/>
  <c r="G14" i="3"/>
  <c r="K86" i="3"/>
  <c r="K14" i="3"/>
  <c r="O86" i="3"/>
  <c r="BG86" i="3" s="1"/>
  <c r="BG12" i="3"/>
  <c r="BS12" i="3"/>
  <c r="BS86" i="3"/>
  <c r="O14" i="3"/>
  <c r="S86" i="3"/>
  <c r="BK86" i="3" s="1"/>
  <c r="BK12" i="3"/>
  <c r="S14" i="3"/>
  <c r="BO12" i="3"/>
  <c r="W14" i="3"/>
  <c r="J57" i="5" s="1"/>
  <c r="BJ26" i="3"/>
  <c r="BT26" i="3"/>
  <c r="L74" i="3"/>
  <c r="AO38" i="3"/>
  <c r="P74" i="3"/>
  <c r="BH74" i="3" s="1"/>
  <c r="P50" i="3"/>
  <c r="BH50" i="3" s="1"/>
  <c r="BH38" i="3"/>
  <c r="T50" i="3"/>
  <c r="BL50" i="3" s="1"/>
  <c r="BL38" i="3"/>
  <c r="D86" i="3"/>
  <c r="D14" i="3"/>
  <c r="H86" i="3"/>
  <c r="H14" i="3"/>
  <c r="L86" i="3"/>
  <c r="L14" i="3"/>
  <c r="AO12" i="3"/>
  <c r="P86" i="3"/>
  <c r="BH86" i="3" s="1"/>
  <c r="BH12" i="3"/>
  <c r="P14" i="3"/>
  <c r="T86" i="3"/>
  <c r="BL86" i="3" s="1"/>
  <c r="BL12" i="3"/>
  <c r="T14" i="3"/>
  <c r="AA17" i="1"/>
  <c r="AK17" i="1" s="1"/>
  <c r="BH17" i="1"/>
  <c r="BI18" i="1"/>
  <c r="BS18" i="1"/>
  <c r="AA21" i="1"/>
  <c r="AK21" i="1" s="1"/>
  <c r="BH21" i="1"/>
  <c r="BI22" i="1"/>
  <c r="BS22" i="1"/>
  <c r="BS28" i="1"/>
  <c r="BS29" i="1"/>
  <c r="BS30" i="1"/>
  <c r="Z44" i="1"/>
  <c r="Z45" i="1"/>
  <c r="Z46" i="1"/>
  <c r="Z47" i="1"/>
  <c r="BI4" i="1"/>
  <c r="BS78" i="1"/>
  <c r="BI5" i="1"/>
  <c r="BS5" i="1"/>
  <c r="BS79" i="1"/>
  <c r="BI6" i="1"/>
  <c r="BS6" i="1"/>
  <c r="BS80" i="1"/>
  <c r="BI7" i="1"/>
  <c r="BS7" i="1"/>
  <c r="BS81" i="1"/>
  <c r="BI8" i="1"/>
  <c r="BS8" i="1"/>
  <c r="BS82" i="1"/>
  <c r="BI9" i="1"/>
  <c r="BS9" i="1"/>
  <c r="BS83" i="1"/>
  <c r="BI10" i="1"/>
  <c r="BS10" i="1"/>
  <c r="BS84" i="1"/>
  <c r="AA18" i="1"/>
  <c r="AK18" i="1" s="1"/>
  <c r="BH18" i="1"/>
  <c r="AA22" i="1"/>
  <c r="AK22" i="1" s="1"/>
  <c r="BH22" i="1"/>
  <c r="BS31" i="1"/>
  <c r="BS33" i="1"/>
  <c r="BI17" i="1"/>
  <c r="BS17" i="1"/>
  <c r="AA20" i="1"/>
  <c r="AK20" i="1" s="1"/>
  <c r="BH20" i="1"/>
  <c r="BI21" i="1"/>
  <c r="BS21" i="1"/>
  <c r="Z41" i="1"/>
  <c r="Z42" i="1"/>
  <c r="Z43" i="1"/>
  <c r="BS19" i="1"/>
  <c r="BI19" i="1"/>
  <c r="BS32" i="1"/>
  <c r="BS34" i="1"/>
  <c r="BI16" i="1"/>
  <c r="BS16" i="1"/>
  <c r="AA19" i="1"/>
  <c r="AK19" i="1" s="1"/>
  <c r="BH19" i="1"/>
  <c r="BI20" i="1"/>
  <c r="BS20" i="1"/>
  <c r="BI54" i="1"/>
  <c r="BS66" i="1"/>
  <c r="BI55" i="1"/>
  <c r="BS67" i="1"/>
  <c r="BI56" i="1"/>
  <c r="BS68" i="1"/>
  <c r="BI57" i="1"/>
  <c r="BS69" i="1"/>
  <c r="BI58" i="1"/>
  <c r="BS70" i="1"/>
  <c r="BI59" i="1"/>
  <c r="BS71" i="1"/>
  <c r="BI60" i="1"/>
  <c r="BS72" i="1"/>
  <c r="BA42" i="1"/>
  <c r="BR42" i="1" s="1"/>
  <c r="BE46" i="1"/>
  <c r="BA46" i="1"/>
  <c r="BR46" i="1" s="1"/>
  <c r="BR41" i="1"/>
  <c r="BE43" i="1"/>
  <c r="BA43" i="1"/>
  <c r="BR43" i="1" s="1"/>
  <c r="BE47" i="1"/>
  <c r="BA47" i="1"/>
  <c r="BR47" i="1" s="1"/>
  <c r="BE45" i="1"/>
  <c r="BA45" i="1"/>
  <c r="BR45" i="1" s="1"/>
  <c r="BE44" i="1"/>
  <c r="BA44" i="1"/>
  <c r="BR44" i="1" s="1"/>
  <c r="BF51" i="3"/>
  <c r="BF50" i="3"/>
  <c r="BB50" i="3"/>
  <c r="BS50" i="3" s="1"/>
  <c r="C86" i="2"/>
  <c r="C14" i="2"/>
  <c r="O86" i="2"/>
  <c r="BG86" i="2" s="1"/>
  <c r="BG12" i="2"/>
  <c r="O14" i="2"/>
  <c r="B56" i="5" s="1"/>
  <c r="BS12" i="2"/>
  <c r="BS86" i="2"/>
  <c r="D86" i="2"/>
  <c r="D14" i="2"/>
  <c r="H86" i="2"/>
  <c r="H14" i="2"/>
  <c r="L86" i="2"/>
  <c r="L14" i="2"/>
  <c r="AO12" i="2"/>
  <c r="P86" i="2"/>
  <c r="BH86" i="2" s="1"/>
  <c r="BH12" i="2"/>
  <c r="P14" i="2"/>
  <c r="K86" i="2"/>
  <c r="K14" i="2"/>
  <c r="AH42" i="2"/>
  <c r="AI12" i="2"/>
  <c r="AI86" i="2" s="1"/>
  <c r="AN86" i="2" s="1"/>
  <c r="I14" i="2"/>
  <c r="AN12" i="2"/>
  <c r="M14" i="2"/>
  <c r="BI12" i="2"/>
  <c r="Q14" i="2"/>
  <c r="G86" i="2"/>
  <c r="G14" i="2"/>
  <c r="S86" i="2"/>
  <c r="BK86" i="2" s="1"/>
  <c r="BK12" i="2"/>
  <c r="S14" i="2"/>
  <c r="N14" i="2"/>
  <c r="BJ12" i="2"/>
  <c r="R14" i="2"/>
  <c r="AO26" i="2"/>
  <c r="AL26" i="2"/>
  <c r="AN20" i="1"/>
  <c r="AE20" i="1"/>
  <c r="BP38" i="3"/>
  <c r="X50" i="3"/>
  <c r="Y50" i="3"/>
  <c r="E153" i="1"/>
  <c r="I153" i="1"/>
  <c r="M153" i="1"/>
  <c r="Q153" i="1"/>
  <c r="Q41" i="1"/>
  <c r="BI41" i="1" s="1"/>
  <c r="BI28" i="1"/>
  <c r="Q42" i="1"/>
  <c r="BI42" i="1" s="1"/>
  <c r="BI29" i="1"/>
  <c r="Q43" i="1"/>
  <c r="BI43" i="1" s="1"/>
  <c r="BI30" i="1"/>
  <c r="R44" i="1"/>
  <c r="BJ44" i="1" s="1"/>
  <c r="BJ31" i="1"/>
  <c r="N45" i="1"/>
  <c r="Z32" i="1"/>
  <c r="BF32" i="1"/>
  <c r="BR32" i="1"/>
  <c r="V151" i="1"/>
  <c r="V45" i="1"/>
  <c r="BN32" i="1"/>
  <c r="N46" i="1"/>
  <c r="Z33" i="1"/>
  <c r="BF33" i="1"/>
  <c r="BR33" i="1"/>
  <c r="V46" i="1"/>
  <c r="BN33" i="1"/>
  <c r="N47" i="1"/>
  <c r="Z34" i="1"/>
  <c r="BV34" i="1" s="1"/>
  <c r="BF34" i="1"/>
  <c r="BR34" i="1"/>
  <c r="V47" i="1"/>
  <c r="BN34" i="1"/>
  <c r="L24" i="1"/>
  <c r="BF18" i="1"/>
  <c r="BR18" i="1"/>
  <c r="BF22" i="1"/>
  <c r="BR22" i="1"/>
  <c r="X41" i="3"/>
  <c r="X77" i="3" s="1"/>
  <c r="R41" i="1"/>
  <c r="BJ41" i="1" s="1"/>
  <c r="BJ28" i="1"/>
  <c r="N42" i="1"/>
  <c r="Z29" i="1"/>
  <c r="BF29" i="1"/>
  <c r="BR29" i="1"/>
  <c r="V42" i="1"/>
  <c r="BN29" i="1"/>
  <c r="V43" i="1"/>
  <c r="BN30" i="1"/>
  <c r="O44" i="1"/>
  <c r="BG44" i="1" s="1"/>
  <c r="BG31" i="1"/>
  <c r="BO31" i="1"/>
  <c r="W44" i="1"/>
  <c r="BO32" i="1"/>
  <c r="W45" i="1"/>
  <c r="S46" i="1"/>
  <c r="BK46" i="1" s="1"/>
  <c r="BK33" i="1"/>
  <c r="BO34" i="1"/>
  <c r="W47" i="1"/>
  <c r="BF17" i="1"/>
  <c r="BR17" i="1"/>
  <c r="BF21" i="1"/>
  <c r="BR21" i="1"/>
  <c r="O41" i="1"/>
  <c r="BG41" i="1" s="1"/>
  <c r="BG28" i="1"/>
  <c r="S41" i="1"/>
  <c r="BK41" i="1" s="1"/>
  <c r="BK28" i="1"/>
  <c r="BO28" i="1"/>
  <c r="W41" i="1"/>
  <c r="O42" i="1"/>
  <c r="BG42" i="1" s="1"/>
  <c r="BG29" i="1"/>
  <c r="S42" i="1"/>
  <c r="BK42" i="1" s="1"/>
  <c r="BK29" i="1"/>
  <c r="BO29" i="1"/>
  <c r="W42" i="1"/>
  <c r="O43" i="1"/>
  <c r="BG43" i="1" s="1"/>
  <c r="BG30" i="1"/>
  <c r="S43" i="1"/>
  <c r="BK43" i="1" s="1"/>
  <c r="BK30" i="1"/>
  <c r="BO30" i="1"/>
  <c r="W43" i="1"/>
  <c r="P44" i="1"/>
  <c r="BH44" i="1" s="1"/>
  <c r="BH31" i="1"/>
  <c r="T44" i="1"/>
  <c r="BL44" i="1" s="1"/>
  <c r="BL31" i="1"/>
  <c r="BP31" i="1"/>
  <c r="X44" i="1"/>
  <c r="P45" i="1"/>
  <c r="BH45" i="1" s="1"/>
  <c r="BH32" i="1"/>
  <c r="T45" i="1"/>
  <c r="BL45" i="1" s="1"/>
  <c r="BL32" i="1"/>
  <c r="BP32" i="1"/>
  <c r="X45" i="1"/>
  <c r="P46" i="1"/>
  <c r="BH46" i="1" s="1"/>
  <c r="BH33" i="1"/>
  <c r="T46" i="1"/>
  <c r="BL46" i="1" s="1"/>
  <c r="BL33" i="1"/>
  <c r="BP33" i="1"/>
  <c r="X46" i="1"/>
  <c r="P47" i="1"/>
  <c r="BH47" i="1" s="1"/>
  <c r="BH34" i="1"/>
  <c r="T47" i="1"/>
  <c r="BL47" i="1" s="1"/>
  <c r="BL34" i="1"/>
  <c r="BP34" i="1"/>
  <c r="X47" i="1"/>
  <c r="Z4" i="1"/>
  <c r="BF4" i="1"/>
  <c r="BR4" i="1"/>
  <c r="BR78" i="1"/>
  <c r="Z5" i="1"/>
  <c r="BV5" i="1" s="1"/>
  <c r="BF5" i="1"/>
  <c r="BR5" i="1"/>
  <c r="BR79" i="1"/>
  <c r="Z6" i="1"/>
  <c r="BV6" i="1" s="1"/>
  <c r="BF6" i="1"/>
  <c r="BR6" i="1"/>
  <c r="BR80" i="1"/>
  <c r="Z7" i="1"/>
  <c r="BV7" i="1" s="1"/>
  <c r="AA7" i="1"/>
  <c r="BF7" i="1"/>
  <c r="BR7" i="1"/>
  <c r="BR81" i="1"/>
  <c r="Z8" i="1"/>
  <c r="BV8" i="1" s="1"/>
  <c r="BF8" i="1"/>
  <c r="BR8" i="1"/>
  <c r="BR82" i="1"/>
  <c r="Z9" i="1"/>
  <c r="BV9" i="1" s="1"/>
  <c r="BR9" i="1"/>
  <c r="BF9" i="1"/>
  <c r="BR83" i="1"/>
  <c r="Z10" i="1"/>
  <c r="BV10" i="1" s="1"/>
  <c r="BF10" i="1"/>
  <c r="BR10" i="1"/>
  <c r="BR84" i="1"/>
  <c r="T163" i="1"/>
  <c r="BL54" i="1"/>
  <c r="D162" i="1"/>
  <c r="L162" i="1"/>
  <c r="P162" i="1"/>
  <c r="BH55" i="1"/>
  <c r="T162" i="1"/>
  <c r="BL55" i="1"/>
  <c r="AH56" i="1"/>
  <c r="AH57" i="1"/>
  <c r="D161" i="1"/>
  <c r="L161" i="1"/>
  <c r="P161" i="1"/>
  <c r="BH58" i="1"/>
  <c r="T161" i="1"/>
  <c r="BL58" i="1"/>
  <c r="AH59" i="1"/>
  <c r="AH60" i="1"/>
  <c r="BF19" i="1"/>
  <c r="BR19" i="1"/>
  <c r="Y41" i="3"/>
  <c r="Y77" i="3" s="1"/>
  <c r="U153" i="1"/>
  <c r="U41" i="1"/>
  <c r="BM28" i="1"/>
  <c r="U42" i="1"/>
  <c r="BM29" i="1"/>
  <c r="U43" i="1"/>
  <c r="BM30" i="1"/>
  <c r="N44" i="1"/>
  <c r="Z31" i="1"/>
  <c r="BF31" i="1"/>
  <c r="BR31" i="1"/>
  <c r="V44" i="1"/>
  <c r="BN31" i="1"/>
  <c r="R45" i="1"/>
  <c r="BJ45" i="1" s="1"/>
  <c r="BJ32" i="1"/>
  <c r="R46" i="1"/>
  <c r="BJ46" i="1" s="1"/>
  <c r="BJ33" i="1"/>
  <c r="R47" i="1"/>
  <c r="BJ47" i="1" s="1"/>
  <c r="BJ34" i="1"/>
  <c r="T24" i="1"/>
  <c r="D5" i="4" s="1"/>
  <c r="N41" i="1"/>
  <c r="Z28" i="1"/>
  <c r="BF28" i="1"/>
  <c r="BR28" i="1"/>
  <c r="V153" i="1"/>
  <c r="V41" i="1"/>
  <c r="BN28" i="1"/>
  <c r="R42" i="1"/>
  <c r="BJ42" i="1" s="1"/>
  <c r="BJ29" i="1"/>
  <c r="N43" i="1"/>
  <c r="Z30" i="1"/>
  <c r="BF30" i="1"/>
  <c r="BR30" i="1"/>
  <c r="R43" i="1"/>
  <c r="BJ43" i="1" s="1"/>
  <c r="BJ30" i="1"/>
  <c r="S44" i="1"/>
  <c r="BK44" i="1" s="1"/>
  <c r="BK31" i="1"/>
  <c r="O45" i="1"/>
  <c r="BG45" i="1" s="1"/>
  <c r="BG32" i="1"/>
  <c r="S45" i="1"/>
  <c r="BK45" i="1" s="1"/>
  <c r="BK32" i="1"/>
  <c r="O46" i="1"/>
  <c r="BG46" i="1" s="1"/>
  <c r="BG33" i="1"/>
  <c r="BO33" i="1"/>
  <c r="W46" i="1"/>
  <c r="O47" i="1"/>
  <c r="BG47" i="1" s="1"/>
  <c r="BG34" i="1"/>
  <c r="S47" i="1"/>
  <c r="BK47" i="1" s="1"/>
  <c r="BK34" i="1"/>
  <c r="BF16" i="1"/>
  <c r="BR16" i="1"/>
  <c r="BF20" i="1"/>
  <c r="BR20" i="1"/>
  <c r="Z41" i="3"/>
  <c r="Z77" i="3" s="1"/>
  <c r="P41" i="1"/>
  <c r="BH41" i="1" s="1"/>
  <c r="BH28" i="1"/>
  <c r="T41" i="1"/>
  <c r="BL41" i="1" s="1"/>
  <c r="BL28" i="1"/>
  <c r="BP28" i="1"/>
  <c r="X41" i="1"/>
  <c r="P42" i="1"/>
  <c r="BH42" i="1" s="1"/>
  <c r="BH29" i="1"/>
  <c r="T42" i="1"/>
  <c r="BL42" i="1" s="1"/>
  <c r="BL29" i="1"/>
  <c r="BP29" i="1"/>
  <c r="X42" i="1"/>
  <c r="P43" i="1"/>
  <c r="BH43" i="1" s="1"/>
  <c r="BH30" i="1"/>
  <c r="T43" i="1"/>
  <c r="BL43" i="1" s="1"/>
  <c r="BL30" i="1"/>
  <c r="BP30" i="1"/>
  <c r="X43" i="1"/>
  <c r="Q44" i="1"/>
  <c r="BI44" i="1" s="1"/>
  <c r="BI31" i="1"/>
  <c r="U44" i="1"/>
  <c r="BM31" i="1"/>
  <c r="Q45" i="1"/>
  <c r="BI45" i="1" s="1"/>
  <c r="BI32" i="1"/>
  <c r="U45" i="1"/>
  <c r="BM32" i="1"/>
  <c r="Q46" i="1"/>
  <c r="BI46" i="1" s="1"/>
  <c r="BI33" i="1"/>
  <c r="U46" i="1"/>
  <c r="BM33" i="1"/>
  <c r="Q47" i="1"/>
  <c r="BI47" i="1" s="1"/>
  <c r="BI34" i="1"/>
  <c r="U47" i="1"/>
  <c r="BM34" i="1"/>
  <c r="AI47" i="2"/>
  <c r="AI48" i="2"/>
  <c r="Z54" i="1"/>
  <c r="BV54" i="1" s="1"/>
  <c r="BF54" i="1"/>
  <c r="BR54" i="1"/>
  <c r="BR66" i="1"/>
  <c r="Z55" i="1"/>
  <c r="BV55" i="1" s="1"/>
  <c r="BF55" i="1"/>
  <c r="BR55" i="1"/>
  <c r="BR67" i="1"/>
  <c r="Z56" i="1"/>
  <c r="BV56" i="1" s="1"/>
  <c r="BF56" i="1"/>
  <c r="BR56" i="1"/>
  <c r="BR68" i="1"/>
  <c r="Z57" i="1"/>
  <c r="BV57" i="1" s="1"/>
  <c r="BF57" i="1"/>
  <c r="BR57" i="1"/>
  <c r="BR69" i="1"/>
  <c r="Z58" i="1"/>
  <c r="BV58" i="1" s="1"/>
  <c r="BF58" i="1"/>
  <c r="BR58" i="1"/>
  <c r="BR70" i="1"/>
  <c r="Z59" i="1"/>
  <c r="BV59" i="1" s="1"/>
  <c r="BF59" i="1"/>
  <c r="BR59" i="1"/>
  <c r="BR71" i="1"/>
  <c r="Z60" i="1"/>
  <c r="BV60" i="1" s="1"/>
  <c r="BF60" i="1"/>
  <c r="BR60" i="1"/>
  <c r="BR72" i="1"/>
  <c r="M45" i="5"/>
  <c r="AP50" i="3"/>
  <c r="BG50" i="3" s="1"/>
  <c r="AO43" i="1"/>
  <c r="AO47" i="1"/>
  <c r="BQ31" i="1"/>
  <c r="Y44" i="1"/>
  <c r="BQ33" i="1"/>
  <c r="Y46" i="1"/>
  <c r="AO41" i="1"/>
  <c r="AO45" i="1"/>
  <c r="AO44" i="1"/>
  <c r="BQ32" i="1"/>
  <c r="Y45" i="1"/>
  <c r="BQ34" i="1"/>
  <c r="Y47" i="1"/>
  <c r="AO42" i="1"/>
  <c r="AO46" i="1"/>
  <c r="BR38" i="3"/>
  <c r="Z50" i="3"/>
  <c r="BQ28" i="1"/>
  <c r="Y41" i="1"/>
  <c r="BQ29" i="1"/>
  <c r="Y42" i="1"/>
  <c r="BQ30" i="1"/>
  <c r="Y43" i="1"/>
  <c r="Y74" i="3"/>
  <c r="BQ74" i="3" s="1"/>
  <c r="BQ38" i="3"/>
  <c r="AK26" i="2"/>
  <c r="BW26" i="2"/>
  <c r="E152" i="1"/>
  <c r="U152" i="1"/>
  <c r="J151" i="1"/>
  <c r="R151" i="1"/>
  <c r="B158" i="1"/>
  <c r="B168" i="1"/>
  <c r="J12" i="1"/>
  <c r="J14" i="1" s="1"/>
  <c r="J158" i="1"/>
  <c r="J168" i="1"/>
  <c r="V158" i="1"/>
  <c r="V168" i="1"/>
  <c r="N167" i="1"/>
  <c r="N157" i="1"/>
  <c r="J166" i="1"/>
  <c r="J156" i="1"/>
  <c r="V166" i="1"/>
  <c r="V156" i="1"/>
  <c r="D62" i="1"/>
  <c r="D163" i="1"/>
  <c r="AH55" i="1"/>
  <c r="H162" i="1"/>
  <c r="E24" i="1"/>
  <c r="E147" i="1" s="1"/>
  <c r="I24" i="1"/>
  <c r="Q24" i="1"/>
  <c r="E88" i="5" s="1"/>
  <c r="U24" i="1"/>
  <c r="AE19" i="1"/>
  <c r="B153" i="1"/>
  <c r="F153" i="1"/>
  <c r="J153" i="1"/>
  <c r="N153" i="1"/>
  <c r="R153" i="1"/>
  <c r="B152" i="1"/>
  <c r="F152" i="1"/>
  <c r="J152" i="1"/>
  <c r="N152" i="1"/>
  <c r="R152" i="1"/>
  <c r="V152" i="1"/>
  <c r="C151" i="1"/>
  <c r="G151" i="1"/>
  <c r="K151" i="1"/>
  <c r="O151" i="1"/>
  <c r="S151" i="1"/>
  <c r="C158" i="1"/>
  <c r="C168" i="1"/>
  <c r="G158" i="1"/>
  <c r="G168" i="1"/>
  <c r="K12" i="1"/>
  <c r="K158" i="1"/>
  <c r="K168" i="1"/>
  <c r="O158" i="1"/>
  <c r="O168" i="1"/>
  <c r="S158" i="1"/>
  <c r="S168" i="1"/>
  <c r="C167" i="1"/>
  <c r="C157" i="1"/>
  <c r="G157" i="1"/>
  <c r="G167" i="1"/>
  <c r="K157" i="1"/>
  <c r="K167" i="1"/>
  <c r="O167" i="1"/>
  <c r="O157" i="1"/>
  <c r="S157" i="1"/>
  <c r="S167" i="1"/>
  <c r="C156" i="1"/>
  <c r="C166" i="1"/>
  <c r="G156" i="1"/>
  <c r="G166" i="1"/>
  <c r="K166" i="1"/>
  <c r="K156" i="1"/>
  <c r="O156" i="1"/>
  <c r="O166" i="1"/>
  <c r="S156" i="1"/>
  <c r="S166" i="1"/>
  <c r="E163" i="1"/>
  <c r="I62" i="1"/>
  <c r="I163" i="1"/>
  <c r="M62" i="1"/>
  <c r="M163" i="1"/>
  <c r="Q163" i="1"/>
  <c r="U62" i="1"/>
  <c r="BM62" i="1" s="1"/>
  <c r="U163" i="1"/>
  <c r="E162" i="1"/>
  <c r="I162" i="1"/>
  <c r="M162" i="1"/>
  <c r="Q162" i="1"/>
  <c r="U162" i="1"/>
  <c r="E161" i="1"/>
  <c r="I161" i="1"/>
  <c r="M161" i="1"/>
  <c r="Q161" i="1"/>
  <c r="U161" i="1"/>
  <c r="M152" i="1"/>
  <c r="B151" i="1"/>
  <c r="N151" i="1"/>
  <c r="F12" i="1"/>
  <c r="F137" i="1" s="1"/>
  <c r="F168" i="1"/>
  <c r="F158" i="1"/>
  <c r="R12" i="1"/>
  <c r="BJ12" i="1" s="1"/>
  <c r="R168" i="1"/>
  <c r="R158" i="1"/>
  <c r="F167" i="1"/>
  <c r="F157" i="1"/>
  <c r="R167" i="1"/>
  <c r="R157" i="1"/>
  <c r="B156" i="1"/>
  <c r="B166" i="1"/>
  <c r="N166" i="1"/>
  <c r="N156" i="1"/>
  <c r="L62" i="1"/>
  <c r="L163" i="1"/>
  <c r="AH58" i="1"/>
  <c r="H161" i="1"/>
  <c r="B24" i="1"/>
  <c r="B117" i="1" s="1"/>
  <c r="R24" i="1"/>
  <c r="AE18" i="1"/>
  <c r="AE22" i="1"/>
  <c r="C153" i="1"/>
  <c r="G153" i="1"/>
  <c r="K153" i="1"/>
  <c r="O153" i="1"/>
  <c r="S153" i="1"/>
  <c r="C152" i="1"/>
  <c r="K152" i="1"/>
  <c r="O152" i="1"/>
  <c r="S152" i="1"/>
  <c r="AH31" i="1"/>
  <c r="L69" i="1"/>
  <c r="P69" i="1"/>
  <c r="BH69" i="1" s="1"/>
  <c r="X69" i="1"/>
  <c r="BP69" i="1" s="1"/>
  <c r="D70" i="1"/>
  <c r="D151" i="1"/>
  <c r="AH32" i="1"/>
  <c r="H151" i="1"/>
  <c r="L70" i="1"/>
  <c r="L151" i="1"/>
  <c r="P70" i="1"/>
  <c r="BH70" i="1" s="1"/>
  <c r="P151" i="1"/>
  <c r="T151" i="1"/>
  <c r="D71" i="1"/>
  <c r="AH33" i="1"/>
  <c r="L71" i="1"/>
  <c r="P71" i="1"/>
  <c r="BH71" i="1" s="1"/>
  <c r="X71" i="1"/>
  <c r="BP71" i="1" s="1"/>
  <c r="D72" i="1"/>
  <c r="AH34" i="1"/>
  <c r="L72" i="1"/>
  <c r="P72" i="1"/>
  <c r="BH72" i="1" s="1"/>
  <c r="D158" i="1"/>
  <c r="D168" i="1"/>
  <c r="AH4" i="1"/>
  <c r="H158" i="1"/>
  <c r="H168" i="1"/>
  <c r="L158" i="1"/>
  <c r="L168" i="1"/>
  <c r="P158" i="1"/>
  <c r="P168" i="1"/>
  <c r="T158" i="1"/>
  <c r="T168" i="1"/>
  <c r="D79" i="1"/>
  <c r="D157" i="1"/>
  <c r="D167" i="1"/>
  <c r="AH5" i="1"/>
  <c r="H157" i="1"/>
  <c r="H167" i="1"/>
  <c r="L79" i="1"/>
  <c r="L157" i="1"/>
  <c r="L167" i="1"/>
  <c r="P79" i="1"/>
  <c r="BH79" i="1" s="1"/>
  <c r="P157" i="1"/>
  <c r="P167" i="1"/>
  <c r="T157" i="1"/>
  <c r="T167" i="1"/>
  <c r="D80" i="1"/>
  <c r="AH6" i="1"/>
  <c r="L80" i="1"/>
  <c r="P80" i="1"/>
  <c r="BH80" i="1" s="1"/>
  <c r="D81" i="1"/>
  <c r="AH7" i="1"/>
  <c r="L81" i="1"/>
  <c r="P81" i="1"/>
  <c r="BH81" i="1" s="1"/>
  <c r="D82" i="1"/>
  <c r="D156" i="1"/>
  <c r="D166" i="1"/>
  <c r="AH8" i="1"/>
  <c r="H156" i="1"/>
  <c r="H166" i="1"/>
  <c r="L82" i="1"/>
  <c r="L156" i="1"/>
  <c r="L166" i="1"/>
  <c r="P82" i="1"/>
  <c r="BH82" i="1" s="1"/>
  <c r="P156" i="1"/>
  <c r="P166" i="1"/>
  <c r="T156" i="1"/>
  <c r="T166" i="1"/>
  <c r="D83" i="1"/>
  <c r="AH9" i="1"/>
  <c r="L83" i="1"/>
  <c r="P83" i="1"/>
  <c r="BH83" i="1" s="1"/>
  <c r="D84" i="1"/>
  <c r="AH10" i="1"/>
  <c r="L84" i="1"/>
  <c r="P84" i="1"/>
  <c r="BH84" i="1" s="1"/>
  <c r="B163" i="1"/>
  <c r="F62" i="1"/>
  <c r="F163" i="1"/>
  <c r="J62" i="1"/>
  <c r="J163" i="1"/>
  <c r="N163" i="1"/>
  <c r="R62" i="1"/>
  <c r="BJ62" i="1" s="1"/>
  <c r="R163" i="1"/>
  <c r="V163" i="1"/>
  <c r="B162" i="1"/>
  <c r="F162" i="1"/>
  <c r="J162" i="1"/>
  <c r="N162" i="1"/>
  <c r="R162" i="1"/>
  <c r="V162" i="1"/>
  <c r="B161" i="1"/>
  <c r="F161" i="1"/>
  <c r="J161" i="1"/>
  <c r="N161" i="1"/>
  <c r="R161" i="1"/>
  <c r="V161" i="1"/>
  <c r="I152" i="1"/>
  <c r="Q152" i="1"/>
  <c r="F151" i="1"/>
  <c r="N168" i="1"/>
  <c r="N158" i="1"/>
  <c r="B167" i="1"/>
  <c r="B157" i="1"/>
  <c r="J167" i="1"/>
  <c r="J157" i="1"/>
  <c r="V167" i="1"/>
  <c r="V157" i="1"/>
  <c r="F166" i="1"/>
  <c r="F156" i="1"/>
  <c r="R166" i="1"/>
  <c r="R156" i="1"/>
  <c r="AH54" i="1"/>
  <c r="H163" i="1"/>
  <c r="P62" i="1"/>
  <c r="BH62" i="1" s="1"/>
  <c r="P163" i="1"/>
  <c r="F24" i="1"/>
  <c r="N24" i="1"/>
  <c r="C24" i="1"/>
  <c r="C146" i="1" s="1"/>
  <c r="K24" i="1"/>
  <c r="K117" i="1" s="1"/>
  <c r="O24" i="1"/>
  <c r="C88" i="5" s="1"/>
  <c r="AE17" i="1"/>
  <c r="AE21" i="1"/>
  <c r="D153" i="1"/>
  <c r="AH28" i="1"/>
  <c r="H153" i="1"/>
  <c r="L153" i="1"/>
  <c r="P153" i="1"/>
  <c r="T153" i="1"/>
  <c r="D67" i="1"/>
  <c r="D152" i="1"/>
  <c r="AH29" i="1"/>
  <c r="H152" i="1"/>
  <c r="L67" i="1"/>
  <c r="L152" i="1"/>
  <c r="P67" i="1"/>
  <c r="BH67" i="1" s="1"/>
  <c r="P152" i="1"/>
  <c r="T152" i="1"/>
  <c r="D68" i="1"/>
  <c r="AH30" i="1"/>
  <c r="L68" i="1"/>
  <c r="P68" i="1"/>
  <c r="BH68" i="1" s="1"/>
  <c r="D69" i="1"/>
  <c r="E151" i="1"/>
  <c r="I151" i="1"/>
  <c r="M151" i="1"/>
  <c r="Q151" i="1"/>
  <c r="U151" i="1"/>
  <c r="E168" i="1"/>
  <c r="E158" i="1"/>
  <c r="I168" i="1"/>
  <c r="I158" i="1"/>
  <c r="M168" i="1"/>
  <c r="M158" i="1"/>
  <c r="Q168" i="1"/>
  <c r="Q158" i="1"/>
  <c r="U168" i="1"/>
  <c r="U158" i="1"/>
  <c r="E167" i="1"/>
  <c r="E157" i="1"/>
  <c r="I157" i="1"/>
  <c r="I167" i="1"/>
  <c r="M167" i="1"/>
  <c r="M157" i="1"/>
  <c r="Q167" i="1"/>
  <c r="Q157" i="1"/>
  <c r="U157" i="1"/>
  <c r="U167" i="1"/>
  <c r="E166" i="1"/>
  <c r="E156" i="1"/>
  <c r="I156" i="1"/>
  <c r="I166" i="1"/>
  <c r="M166" i="1"/>
  <c r="M156" i="1"/>
  <c r="Q156" i="1"/>
  <c r="Q166" i="1"/>
  <c r="U166" i="1"/>
  <c r="U156" i="1"/>
  <c r="C62" i="1"/>
  <c r="C163" i="1"/>
  <c r="G62" i="1"/>
  <c r="G163" i="1"/>
  <c r="K163" i="1"/>
  <c r="O62" i="1"/>
  <c r="BG62" i="1" s="1"/>
  <c r="O163" i="1"/>
  <c r="S62" i="1"/>
  <c r="BK62" i="1" s="1"/>
  <c r="S163" i="1"/>
  <c r="C162" i="1"/>
  <c r="K162" i="1"/>
  <c r="O162" i="1"/>
  <c r="S162" i="1"/>
  <c r="C161" i="1"/>
  <c r="G161" i="1"/>
  <c r="AI58" i="1"/>
  <c r="K161" i="1"/>
  <c r="O161" i="1"/>
  <c r="S161" i="1"/>
  <c r="AI59" i="1"/>
  <c r="AI60" i="1"/>
  <c r="AN17" i="1"/>
  <c r="AN21" i="1"/>
  <c r="E28" i="4"/>
  <c r="D28" i="4"/>
  <c r="G65" i="1"/>
  <c r="W65" i="1"/>
  <c r="K65" i="1"/>
  <c r="O65" i="1"/>
  <c r="AN22" i="1"/>
  <c r="C65" i="1"/>
  <c r="S65" i="1"/>
  <c r="X72" i="1"/>
  <c r="BP72" i="1" s="1"/>
  <c r="K45" i="5"/>
  <c r="Z74" i="3"/>
  <c r="BR74" i="3" s="1"/>
  <c r="AN19" i="1"/>
  <c r="AN18" i="1"/>
  <c r="Y151" i="1"/>
  <c r="Y62" i="1"/>
  <c r="BQ62" i="1" s="1"/>
  <c r="Y163" i="1"/>
  <c r="Y162" i="1"/>
  <c r="Y161" i="1"/>
  <c r="Y153" i="1"/>
  <c r="Y152" i="1"/>
  <c r="Y168" i="1"/>
  <c r="Y158" i="1"/>
  <c r="Y157" i="1"/>
  <c r="Y167" i="1"/>
  <c r="Y156" i="1"/>
  <c r="Y166" i="1"/>
  <c r="Z86" i="3"/>
  <c r="BR86" i="3" s="1"/>
  <c r="Z14" i="3"/>
  <c r="M57" i="5" s="1"/>
  <c r="X162" i="1"/>
  <c r="X161" i="1"/>
  <c r="AD16" i="1"/>
  <c r="X153" i="1"/>
  <c r="L45" i="5"/>
  <c r="AE26" i="3"/>
  <c r="AO26" i="3" s="1"/>
  <c r="X158" i="1"/>
  <c r="X168" i="1"/>
  <c r="X157" i="1"/>
  <c r="X167" i="1"/>
  <c r="X166" i="1"/>
  <c r="X156" i="1"/>
  <c r="X70" i="1"/>
  <c r="BP70" i="1" s="1"/>
  <c r="X151" i="1"/>
  <c r="X62" i="1"/>
  <c r="BP62" i="1" s="1"/>
  <c r="X163" i="1"/>
  <c r="X152" i="1"/>
  <c r="X67" i="1"/>
  <c r="BP67" i="1" s="1"/>
  <c r="X68" i="1"/>
  <c r="BP68" i="1" s="1"/>
  <c r="X79" i="1"/>
  <c r="BP79" i="1" s="1"/>
  <c r="X80" i="1"/>
  <c r="BP80" i="1" s="1"/>
  <c r="X81" i="1"/>
  <c r="BP81" i="1" s="1"/>
  <c r="X82" i="1"/>
  <c r="BP82" i="1" s="1"/>
  <c r="X83" i="1"/>
  <c r="BP83" i="1" s="1"/>
  <c r="X84" i="1"/>
  <c r="BP84" i="1" s="1"/>
  <c r="AD60" i="1"/>
  <c r="AE42" i="3"/>
  <c r="BV42" i="3" s="1"/>
  <c r="AE43" i="3"/>
  <c r="BV43" i="3" s="1"/>
  <c r="AE44" i="3"/>
  <c r="BV44" i="3" s="1"/>
  <c r="AE45" i="3"/>
  <c r="BV45" i="3" s="1"/>
  <c r="AE46" i="3"/>
  <c r="BV46" i="3" s="1"/>
  <c r="AE47" i="3"/>
  <c r="BV47" i="3" s="1"/>
  <c r="AE48" i="3"/>
  <c r="BV48" i="3" s="1"/>
  <c r="X24" i="1"/>
  <c r="L88" i="5" s="1"/>
  <c r="Y86" i="3"/>
  <c r="BQ86" i="3" s="1"/>
  <c r="Y14" i="3"/>
  <c r="L57" i="5" s="1"/>
  <c r="W152" i="1"/>
  <c r="X86" i="3"/>
  <c r="BP86" i="3" s="1"/>
  <c r="X14" i="3"/>
  <c r="K57" i="5" s="1"/>
  <c r="W153" i="1"/>
  <c r="W167" i="1"/>
  <c r="W157" i="1"/>
  <c r="W156" i="1"/>
  <c r="W166" i="1"/>
  <c r="W168" i="1"/>
  <c r="W158" i="1"/>
  <c r="W151" i="1"/>
  <c r="W163" i="1"/>
  <c r="W162" i="1"/>
  <c r="AD58" i="1"/>
  <c r="W161" i="1"/>
  <c r="H28" i="4"/>
  <c r="F28" i="4"/>
  <c r="W24" i="1"/>
  <c r="K88" i="5" s="1"/>
  <c r="G28" i="4"/>
  <c r="AD42" i="3"/>
  <c r="AD43" i="3"/>
  <c r="AD44" i="3"/>
  <c r="AD45" i="3"/>
  <c r="AD46" i="3"/>
  <c r="AD47" i="3"/>
  <c r="AD48" i="3"/>
  <c r="V62" i="1"/>
  <c r="BN62" i="1" s="1"/>
  <c r="W86" i="3"/>
  <c r="BO86" i="3" s="1"/>
  <c r="AN12" i="3"/>
  <c r="V12" i="1"/>
  <c r="BN12" i="1" s="1"/>
  <c r="AH43" i="2"/>
  <c r="AH44" i="2"/>
  <c r="AH45" i="2"/>
  <c r="AH46" i="2"/>
  <c r="AH47" i="2"/>
  <c r="AH48" i="2"/>
  <c r="AE43" i="2"/>
  <c r="BV43" i="2" s="1"/>
  <c r="AJ44" i="2"/>
  <c r="AE44" i="2"/>
  <c r="BV44" i="2" s="1"/>
  <c r="AJ45" i="2"/>
  <c r="AE45" i="2"/>
  <c r="BV45" i="2" s="1"/>
  <c r="C66" i="1"/>
  <c r="G66" i="1"/>
  <c r="S66" i="1"/>
  <c r="BK66" i="1" s="1"/>
  <c r="C67" i="1"/>
  <c r="O67" i="1"/>
  <c r="BG67" i="1" s="1"/>
  <c r="S67" i="1"/>
  <c r="BK67" i="1" s="1"/>
  <c r="AD29" i="1"/>
  <c r="G68" i="1"/>
  <c r="AI30" i="1"/>
  <c r="O68" i="1"/>
  <c r="BG68" i="1" s="1"/>
  <c r="AI31" i="1"/>
  <c r="O69" i="1"/>
  <c r="BG69" i="1" s="1"/>
  <c r="G70" i="1"/>
  <c r="AI32" i="1"/>
  <c r="AD32" i="1"/>
  <c r="AI33" i="1"/>
  <c r="AD33" i="1"/>
  <c r="AI34" i="1"/>
  <c r="AD34" i="1"/>
  <c r="BU34" i="1" s="1"/>
  <c r="D65" i="1"/>
  <c r="H65" i="1"/>
  <c r="L65" i="1"/>
  <c r="P65" i="1"/>
  <c r="T65" i="1"/>
  <c r="X65" i="1"/>
  <c r="C79" i="1"/>
  <c r="G79" i="1"/>
  <c r="O79" i="1"/>
  <c r="BG79" i="1" s="1"/>
  <c r="C80" i="1"/>
  <c r="G80" i="1"/>
  <c r="O80" i="1"/>
  <c r="BG80" i="1" s="1"/>
  <c r="C81" i="1"/>
  <c r="G81" i="1"/>
  <c r="O81" i="1"/>
  <c r="BG81" i="1" s="1"/>
  <c r="C82" i="1"/>
  <c r="G82" i="1"/>
  <c r="O82" i="1"/>
  <c r="BG82" i="1" s="1"/>
  <c r="C83" i="1"/>
  <c r="G83" i="1"/>
  <c r="O83" i="1"/>
  <c r="BG83" i="1" s="1"/>
  <c r="C84" i="1"/>
  <c r="G84" i="1"/>
  <c r="O84" i="1"/>
  <c r="BG84" i="1" s="1"/>
  <c r="E65" i="1"/>
  <c r="I65" i="1"/>
  <c r="M65" i="1"/>
  <c r="Q65" i="1"/>
  <c r="U65" i="1"/>
  <c r="Y65" i="1"/>
  <c r="AC4" i="1"/>
  <c r="AG55" i="1"/>
  <c r="AB55" i="1"/>
  <c r="AG56" i="1"/>
  <c r="AB56" i="1"/>
  <c r="AG57" i="1"/>
  <c r="AB57" i="1"/>
  <c r="AG58" i="1"/>
  <c r="B65" i="1"/>
  <c r="F65" i="1"/>
  <c r="J65" i="1"/>
  <c r="N65" i="1"/>
  <c r="R65" i="1"/>
  <c r="V65" i="1"/>
  <c r="AG10" i="1"/>
  <c r="AA55" i="1"/>
  <c r="AA56" i="1"/>
  <c r="AA57" i="1"/>
  <c r="AA60" i="1"/>
  <c r="M24" i="1"/>
  <c r="AI16" i="1"/>
  <c r="R17" i="3"/>
  <c r="R53" i="3" s="1"/>
  <c r="J29" i="3"/>
  <c r="J89" i="3" s="1"/>
  <c r="K66" i="1"/>
  <c r="AI28" i="1"/>
  <c r="W66" i="1"/>
  <c r="BO66" i="1" s="1"/>
  <c r="AD28" i="1"/>
  <c r="K67" i="1"/>
  <c r="AI29" i="1"/>
  <c r="W68" i="1"/>
  <c r="BO68" i="1" s="1"/>
  <c r="AD30" i="1"/>
  <c r="W69" i="1"/>
  <c r="BO69" i="1" s="1"/>
  <c r="AD31" i="1"/>
  <c r="AJ42" i="2"/>
  <c r="AE42" i="2"/>
  <c r="BV42" i="2" s="1"/>
  <c r="AJ43" i="2"/>
  <c r="AJ46" i="2"/>
  <c r="AE46" i="2"/>
  <c r="BV46" i="2" s="1"/>
  <c r="AJ47" i="2"/>
  <c r="AE47" i="2"/>
  <c r="BV47" i="2" s="1"/>
  <c r="AJ48" i="2"/>
  <c r="AE48" i="2"/>
  <c r="BV48" i="2" s="1"/>
  <c r="AI4" i="1"/>
  <c r="AD4" i="1"/>
  <c r="BU4" i="1" s="1"/>
  <c r="K79" i="1"/>
  <c r="AI5" i="1"/>
  <c r="W79" i="1"/>
  <c r="BO79" i="1" s="1"/>
  <c r="AD5" i="1"/>
  <c r="BU5" i="1" s="1"/>
  <c r="K80" i="1"/>
  <c r="AI6" i="1"/>
  <c r="W80" i="1"/>
  <c r="BO80" i="1" s="1"/>
  <c r="AD6" i="1"/>
  <c r="BU6" i="1" s="1"/>
  <c r="K81" i="1"/>
  <c r="AI7" i="1"/>
  <c r="W81" i="1"/>
  <c r="BO81" i="1" s="1"/>
  <c r="AD7" i="1"/>
  <c r="BU7" i="1" s="1"/>
  <c r="K82" i="1"/>
  <c r="AI8" i="1"/>
  <c r="W82" i="1"/>
  <c r="BO82" i="1" s="1"/>
  <c r="AD8" i="1"/>
  <c r="BU8" i="1" s="1"/>
  <c r="K83" i="1"/>
  <c r="AI9" i="1"/>
  <c r="W83" i="1"/>
  <c r="BO83" i="1" s="1"/>
  <c r="AD9" i="1"/>
  <c r="BU9" i="1" s="1"/>
  <c r="K84" i="1"/>
  <c r="AI10" i="1"/>
  <c r="W84" i="1"/>
  <c r="BO84" i="1" s="1"/>
  <c r="AD10" i="1"/>
  <c r="BU10" i="1" s="1"/>
  <c r="Y74" i="2"/>
  <c r="BQ74" i="2" s="1"/>
  <c r="X86" i="2"/>
  <c r="BP86" i="2" s="1"/>
  <c r="AF54" i="1"/>
  <c r="AE54" i="1"/>
  <c r="B62" i="1"/>
  <c r="N62" i="1"/>
  <c r="AA54" i="1"/>
  <c r="AE55" i="1"/>
  <c r="AF55" i="1"/>
  <c r="AF56" i="1"/>
  <c r="AE56" i="1"/>
  <c r="AF57" i="1"/>
  <c r="AE57" i="1"/>
  <c r="AF58" i="1"/>
  <c r="AE58" i="1"/>
  <c r="AA58" i="1"/>
  <c r="AE59" i="1"/>
  <c r="AF59" i="1"/>
  <c r="AA59" i="1"/>
  <c r="AF60" i="1"/>
  <c r="AE60" i="1"/>
  <c r="J24" i="1"/>
  <c r="AH16" i="1"/>
  <c r="AM16" i="1" s="1"/>
  <c r="N17" i="3"/>
  <c r="N53" i="3" s="1"/>
  <c r="F29" i="3"/>
  <c r="F89" i="3" s="1"/>
  <c r="H67" i="1"/>
  <c r="H68" i="1"/>
  <c r="H69" i="1"/>
  <c r="H70" i="1"/>
  <c r="H71" i="1"/>
  <c r="H72" i="1"/>
  <c r="AI42" i="2"/>
  <c r="AI43" i="2"/>
  <c r="AI44" i="2"/>
  <c r="AI45" i="2"/>
  <c r="AI46" i="2"/>
  <c r="H79" i="1"/>
  <c r="H80" i="1"/>
  <c r="H81" i="1"/>
  <c r="H82" i="1"/>
  <c r="H83" i="1"/>
  <c r="H84" i="1"/>
  <c r="V74" i="2"/>
  <c r="BN74" i="2" s="1"/>
  <c r="Z74" i="2"/>
  <c r="BR74" i="2" s="1"/>
  <c r="AI54" i="1"/>
  <c r="K62" i="1"/>
  <c r="AD54" i="1"/>
  <c r="W62" i="1"/>
  <c r="BO62" i="1" s="1"/>
  <c r="AI55" i="1"/>
  <c r="AD55" i="1"/>
  <c r="AI56" i="1"/>
  <c r="AD56" i="1"/>
  <c r="AI57" i="1"/>
  <c r="AD57" i="1"/>
  <c r="AD59" i="1"/>
  <c r="BU59" i="1" s="1"/>
  <c r="G24" i="1"/>
  <c r="AG16" i="1"/>
  <c r="Z29" i="3"/>
  <c r="Z89" i="3" s="1"/>
  <c r="R41" i="3"/>
  <c r="R77" i="3" s="1"/>
  <c r="AB50" i="2"/>
  <c r="AG28" i="1"/>
  <c r="AB28" i="1"/>
  <c r="AG29" i="1"/>
  <c r="AB29" i="1"/>
  <c r="AG30" i="1"/>
  <c r="AB30" i="1"/>
  <c r="AB31" i="1"/>
  <c r="AG32" i="1"/>
  <c r="AB32" i="1"/>
  <c r="AG33" i="1"/>
  <c r="AB33" i="1"/>
  <c r="AG34" i="1"/>
  <c r="AB34" i="1"/>
  <c r="AM42" i="2"/>
  <c r="AG4" i="1"/>
  <c r="AG5" i="1"/>
  <c r="AG6" i="1"/>
  <c r="AG7" i="1"/>
  <c r="AG8" i="1"/>
  <c r="AG9" i="1"/>
  <c r="W74" i="2"/>
  <c r="BO74" i="2" s="1"/>
  <c r="H62" i="1"/>
  <c r="D24" i="1"/>
  <c r="AF16" i="1"/>
  <c r="H24" i="1"/>
  <c r="AE16" i="1"/>
  <c r="P24" i="1"/>
  <c r="AA16" i="1"/>
  <c r="AK16" i="1" s="1"/>
  <c r="V29" i="3"/>
  <c r="V65" i="3" s="1"/>
  <c r="N41" i="3"/>
  <c r="N77" i="3" s="1"/>
  <c r="AF28" i="1"/>
  <c r="AE28" i="1"/>
  <c r="AA28" i="1"/>
  <c r="AF29" i="1"/>
  <c r="AE29" i="1"/>
  <c r="AA29" i="1"/>
  <c r="AE30" i="1"/>
  <c r="AF30" i="1"/>
  <c r="AA30" i="1"/>
  <c r="AF31" i="1"/>
  <c r="AA31" i="1"/>
  <c r="AF32" i="1"/>
  <c r="AE32" i="1"/>
  <c r="AA32" i="1"/>
  <c r="AF33" i="1"/>
  <c r="AE33" i="1"/>
  <c r="AA33" i="1"/>
  <c r="AE34" i="1"/>
  <c r="AF34" i="1"/>
  <c r="AA34" i="1"/>
  <c r="AG42" i="2"/>
  <c r="AF42" i="2"/>
  <c r="AB42" i="2"/>
  <c r="AG43" i="2"/>
  <c r="AF43" i="2"/>
  <c r="AB43" i="2"/>
  <c r="AG44" i="2"/>
  <c r="AF44" i="2"/>
  <c r="AB44" i="2"/>
  <c r="AG45" i="2"/>
  <c r="AF45" i="2"/>
  <c r="AB45" i="2"/>
  <c r="AG46" i="2"/>
  <c r="AF46" i="2"/>
  <c r="AB46" i="2"/>
  <c r="AG47" i="2"/>
  <c r="AF47" i="2"/>
  <c r="AB47" i="2"/>
  <c r="AG48" i="2"/>
  <c r="AF48" i="2"/>
  <c r="AB48" i="2"/>
  <c r="AE50" i="2"/>
  <c r="BV50" i="2" s="1"/>
  <c r="B12" i="1"/>
  <c r="AE4" i="1"/>
  <c r="AF4" i="1"/>
  <c r="N12" i="1"/>
  <c r="AA4" i="1"/>
  <c r="AE5" i="1"/>
  <c r="AF5" i="1"/>
  <c r="AA5" i="1"/>
  <c r="AF6" i="1"/>
  <c r="AE6" i="1"/>
  <c r="AA6" i="1"/>
  <c r="AF7" i="1"/>
  <c r="AE7" i="1"/>
  <c r="AE8" i="1"/>
  <c r="AF8" i="1"/>
  <c r="AA8" i="1"/>
  <c r="AE9" i="1"/>
  <c r="AF9" i="1"/>
  <c r="AA9" i="1"/>
  <c r="AF10" i="1"/>
  <c r="AE10" i="1"/>
  <c r="AA10" i="1"/>
  <c r="AG54" i="1"/>
  <c r="E62" i="1"/>
  <c r="Q62" i="1"/>
  <c r="AB54" i="1"/>
  <c r="AB58" i="1"/>
  <c r="AG59" i="1"/>
  <c r="AB59" i="1"/>
  <c r="AG60" i="1"/>
  <c r="AB60" i="1"/>
  <c r="U86" i="2"/>
  <c r="BM86" i="2" s="1"/>
  <c r="T62" i="1"/>
  <c r="BL62" i="1" s="1"/>
  <c r="AC54" i="1"/>
  <c r="AC55" i="1"/>
  <c r="BT55" i="1" s="1"/>
  <c r="AC56" i="1"/>
  <c r="AC57" i="1"/>
  <c r="AC58" i="1"/>
  <c r="AC59" i="1"/>
  <c r="AC60" i="1"/>
  <c r="T79" i="1"/>
  <c r="BL79" i="1" s="1"/>
  <c r="AC5" i="1"/>
  <c r="T80" i="1"/>
  <c r="BL80" i="1" s="1"/>
  <c r="AC6" i="1"/>
  <c r="T81" i="1"/>
  <c r="BL81" i="1" s="1"/>
  <c r="AC7" i="1"/>
  <c r="T82" i="1"/>
  <c r="BL82" i="1" s="1"/>
  <c r="AC8" i="1"/>
  <c r="T83" i="1"/>
  <c r="BL83" i="1" s="1"/>
  <c r="AC9" i="1"/>
  <c r="T84" i="1"/>
  <c r="BL84" i="1" s="1"/>
  <c r="AC10" i="1"/>
  <c r="T67" i="1"/>
  <c r="BL67" i="1" s="1"/>
  <c r="AC29" i="1"/>
  <c r="T68" i="1"/>
  <c r="BL68" i="1" s="1"/>
  <c r="AC30" i="1"/>
  <c r="T69" i="1"/>
  <c r="BL69" i="1" s="1"/>
  <c r="AC31" i="1"/>
  <c r="T70" i="1"/>
  <c r="BL70" i="1" s="1"/>
  <c r="AC32" i="1"/>
  <c r="T71" i="1"/>
  <c r="BL71" i="1" s="1"/>
  <c r="AC33" i="1"/>
  <c r="T72" i="1"/>
  <c r="BL72" i="1" s="1"/>
  <c r="AC34" i="1"/>
  <c r="AD50" i="2"/>
  <c r="AD42" i="2"/>
  <c r="AD43" i="2"/>
  <c r="AD44" i="2"/>
  <c r="AD45" i="2"/>
  <c r="AD46" i="2"/>
  <c r="AD47" i="2"/>
  <c r="AD48" i="2"/>
  <c r="AB4" i="1"/>
  <c r="S79" i="1"/>
  <c r="BK79" i="1" s="1"/>
  <c r="AB5" i="1"/>
  <c r="S80" i="1"/>
  <c r="BK80" i="1" s="1"/>
  <c r="AB6" i="1"/>
  <c r="S81" i="1"/>
  <c r="BK81" i="1" s="1"/>
  <c r="AB7" i="1"/>
  <c r="S82" i="1"/>
  <c r="BK82" i="1" s="1"/>
  <c r="AB8" i="1"/>
  <c r="S83" i="1"/>
  <c r="BK83" i="1" s="1"/>
  <c r="AB9" i="1"/>
  <c r="S84" i="1"/>
  <c r="BK84" i="1" s="1"/>
  <c r="AB10" i="1"/>
  <c r="Z19" i="1"/>
  <c r="AB19" i="1"/>
  <c r="AL19" i="1" s="1"/>
  <c r="Z17" i="1"/>
  <c r="BV17" i="1" s="1"/>
  <c r="AB17" i="1"/>
  <c r="AL17" i="1" s="1"/>
  <c r="S24" i="1"/>
  <c r="Z16" i="1"/>
  <c r="BV16" i="1" s="1"/>
  <c r="AB16" i="1"/>
  <c r="AB18" i="1"/>
  <c r="AL18" i="1" s="1"/>
  <c r="Z18" i="1"/>
  <c r="Z20" i="1"/>
  <c r="AB20" i="1"/>
  <c r="AL20" i="1" s="1"/>
  <c r="Z21" i="1"/>
  <c r="AB21" i="1"/>
  <c r="AL21" i="1" s="1"/>
  <c r="AB22" i="1"/>
  <c r="AL22" i="1" s="1"/>
  <c r="Z22" i="1"/>
  <c r="BV22" i="1" s="1"/>
  <c r="Y24" i="1"/>
  <c r="V24" i="1"/>
  <c r="J88" i="5" s="1"/>
  <c r="AA26" i="3"/>
  <c r="AC26" i="3"/>
  <c r="AM26" i="3" s="1"/>
  <c r="T86" i="2"/>
  <c r="BL86" i="2" s="1"/>
  <c r="I79" i="1"/>
  <c r="Q79" i="1"/>
  <c r="BI79" i="1" s="1"/>
  <c r="Y79" i="1"/>
  <c r="BQ79" i="1" s="1"/>
  <c r="I80" i="1"/>
  <c r="Q80" i="1"/>
  <c r="BI80" i="1" s="1"/>
  <c r="Y80" i="1"/>
  <c r="BQ80" i="1" s="1"/>
  <c r="I81" i="1"/>
  <c r="Q81" i="1"/>
  <c r="BI81" i="1" s="1"/>
  <c r="Y81" i="1"/>
  <c r="BQ81" i="1" s="1"/>
  <c r="M82" i="1"/>
  <c r="Q82" i="1"/>
  <c r="BI82" i="1" s="1"/>
  <c r="Y82" i="1"/>
  <c r="BQ82" i="1" s="1"/>
  <c r="E83" i="1"/>
  <c r="M83" i="1"/>
  <c r="Q83" i="1"/>
  <c r="BI83" i="1" s="1"/>
  <c r="U83" i="1"/>
  <c r="BM83" i="1" s="1"/>
  <c r="Y83" i="1"/>
  <c r="BQ83" i="1" s="1"/>
  <c r="I84" i="1"/>
  <c r="M84" i="1"/>
  <c r="Q84" i="1"/>
  <c r="BI84" i="1" s="1"/>
  <c r="U84" i="1"/>
  <c r="BM84" i="1" s="1"/>
  <c r="Y84" i="1"/>
  <c r="BQ84" i="1" s="1"/>
  <c r="W17" i="3"/>
  <c r="W53" i="3" s="1"/>
  <c r="G17" i="3"/>
  <c r="G53" i="3" s="1"/>
  <c r="O29" i="3"/>
  <c r="O65" i="3" s="1"/>
  <c r="W41" i="3"/>
  <c r="W77" i="3" s="1"/>
  <c r="G41" i="3"/>
  <c r="G77" i="3" s="1"/>
  <c r="V79" i="1"/>
  <c r="BN79" i="1" s="1"/>
  <c r="V80" i="1"/>
  <c r="BN80" i="1" s="1"/>
  <c r="V81" i="1"/>
  <c r="BN81" i="1" s="1"/>
  <c r="V82" i="1"/>
  <c r="BN82" i="1" s="1"/>
  <c r="V83" i="1"/>
  <c r="BN83" i="1" s="1"/>
  <c r="V84" i="1"/>
  <c r="BN84" i="1" s="1"/>
  <c r="E79" i="1"/>
  <c r="M79" i="1"/>
  <c r="U79" i="1"/>
  <c r="BM79" i="1" s="1"/>
  <c r="E80" i="1"/>
  <c r="M80" i="1"/>
  <c r="U80" i="1"/>
  <c r="BM80" i="1" s="1"/>
  <c r="E81" i="1"/>
  <c r="M81" i="1"/>
  <c r="U81" i="1"/>
  <c r="BM81" i="1" s="1"/>
  <c r="E82" i="1"/>
  <c r="I82" i="1"/>
  <c r="U82" i="1"/>
  <c r="BM82" i="1" s="1"/>
  <c r="I83" i="1"/>
  <c r="E84" i="1"/>
  <c r="V17" i="3"/>
  <c r="V53" i="3" s="1"/>
  <c r="F17" i="3"/>
  <c r="F53" i="3" s="1"/>
  <c r="R89" i="3"/>
  <c r="R65" i="3"/>
  <c r="P89" i="3"/>
  <c r="P65" i="3"/>
  <c r="D89" i="3"/>
  <c r="D65" i="3"/>
  <c r="W89" i="3"/>
  <c r="W65" i="3"/>
  <c r="K89" i="3"/>
  <c r="K65" i="3"/>
  <c r="G89" i="3"/>
  <c r="G65" i="3"/>
  <c r="T29" i="3"/>
  <c r="X29" i="3"/>
  <c r="S29" i="3"/>
  <c r="H29" i="3"/>
  <c r="P41" i="3"/>
  <c r="P77" i="3" s="1"/>
  <c r="K41" i="3"/>
  <c r="K77" i="3" s="1"/>
  <c r="Z17" i="3"/>
  <c r="Z53" i="3" s="1"/>
  <c r="T17" i="3"/>
  <c r="T53" i="3" s="1"/>
  <c r="O17" i="3"/>
  <c r="O53" i="3" s="1"/>
  <c r="J17" i="3"/>
  <c r="J53" i="3" s="1"/>
  <c r="D17" i="3"/>
  <c r="D53" i="3" s="1"/>
  <c r="L29" i="3"/>
  <c r="D41" i="3"/>
  <c r="D77" i="3" s="1"/>
  <c r="W74" i="3"/>
  <c r="BO74" i="3" s="1"/>
  <c r="L17" i="3"/>
  <c r="L53" i="3" s="1"/>
  <c r="P17" i="3"/>
  <c r="P53" i="3" s="1"/>
  <c r="K17" i="3"/>
  <c r="K53" i="3" s="1"/>
  <c r="N89" i="3"/>
  <c r="N65" i="3"/>
  <c r="C29" i="3"/>
  <c r="X17" i="3"/>
  <c r="X53" i="3" s="1"/>
  <c r="S17" i="3"/>
  <c r="S53" i="3" s="1"/>
  <c r="H17" i="3"/>
  <c r="H53" i="3" s="1"/>
  <c r="C17" i="3"/>
  <c r="C53" i="3" s="1"/>
  <c r="T74" i="3"/>
  <c r="BL74" i="3" s="1"/>
  <c r="X74" i="3"/>
  <c r="BP74" i="3" s="1"/>
  <c r="D50" i="3"/>
  <c r="H50" i="3"/>
  <c r="L50" i="3"/>
  <c r="Y17" i="3"/>
  <c r="Y53" i="3" s="1"/>
  <c r="U17" i="3"/>
  <c r="U53" i="3" s="1"/>
  <c r="Q17" i="3"/>
  <c r="Q53" i="3" s="1"/>
  <c r="M17" i="3"/>
  <c r="M53" i="3" s="1"/>
  <c r="I17" i="3"/>
  <c r="I53" i="3" s="1"/>
  <c r="E17" i="3"/>
  <c r="E53" i="3" s="1"/>
  <c r="Y29" i="3"/>
  <c r="U29" i="3"/>
  <c r="Q29" i="3"/>
  <c r="M29" i="3"/>
  <c r="I29" i="3"/>
  <c r="E29" i="3"/>
  <c r="N66" i="1"/>
  <c r="BF66" i="1" s="1"/>
  <c r="R66" i="1"/>
  <c r="BJ66" i="1" s="1"/>
  <c r="V66" i="1"/>
  <c r="BN66" i="1" s="1"/>
  <c r="N67" i="1"/>
  <c r="BF67" i="1" s="1"/>
  <c r="R67" i="1"/>
  <c r="BJ67" i="1" s="1"/>
  <c r="V67" i="1"/>
  <c r="BN67" i="1" s="1"/>
  <c r="N68" i="1"/>
  <c r="BF68" i="1" s="1"/>
  <c r="R68" i="1"/>
  <c r="BJ68" i="1" s="1"/>
  <c r="V68" i="1"/>
  <c r="BN68" i="1" s="1"/>
  <c r="N69" i="1"/>
  <c r="BF69" i="1" s="1"/>
  <c r="R69" i="1"/>
  <c r="BJ69" i="1" s="1"/>
  <c r="V69" i="1"/>
  <c r="BN69" i="1" s="1"/>
  <c r="N70" i="1"/>
  <c r="BF70" i="1" s="1"/>
  <c r="V70" i="1"/>
  <c r="BN70" i="1" s="1"/>
  <c r="N71" i="1"/>
  <c r="BF71" i="1" s="1"/>
  <c r="R71" i="1"/>
  <c r="BJ71" i="1" s="1"/>
  <c r="V71" i="1"/>
  <c r="BN71" i="1" s="1"/>
  <c r="N72" i="1"/>
  <c r="BF72" i="1" s="1"/>
  <c r="V72" i="1"/>
  <c r="BN72" i="1" s="1"/>
  <c r="C74" i="3"/>
  <c r="G74" i="3"/>
  <c r="K74" i="3"/>
  <c r="O74" i="3"/>
  <c r="BG74" i="3" s="1"/>
  <c r="F74" i="2"/>
  <c r="J74" i="2"/>
  <c r="N74" i="2"/>
  <c r="R74" i="2"/>
  <c r="BJ74" i="2" s="1"/>
  <c r="B79" i="1"/>
  <c r="F79" i="1"/>
  <c r="N79" i="1"/>
  <c r="BF79" i="1" s="1"/>
  <c r="R79" i="1"/>
  <c r="BJ79" i="1" s="1"/>
  <c r="F80" i="1"/>
  <c r="J80" i="1"/>
  <c r="N80" i="1"/>
  <c r="BF80" i="1" s="1"/>
  <c r="R80" i="1"/>
  <c r="BJ80" i="1" s="1"/>
  <c r="B81" i="1"/>
  <c r="F81" i="1"/>
  <c r="N81" i="1"/>
  <c r="BF81" i="1" s="1"/>
  <c r="R81" i="1"/>
  <c r="BJ81" i="1" s="1"/>
  <c r="F82" i="1"/>
  <c r="J82" i="1"/>
  <c r="N82" i="1"/>
  <c r="BF82" i="1" s="1"/>
  <c r="B83" i="1"/>
  <c r="F83" i="1"/>
  <c r="J83" i="1"/>
  <c r="N83" i="1"/>
  <c r="BF83" i="1" s="1"/>
  <c r="R83" i="1"/>
  <c r="BJ83" i="1" s="1"/>
  <c r="F84" i="1"/>
  <c r="J84" i="1"/>
  <c r="N84" i="1"/>
  <c r="BF84" i="1" s="1"/>
  <c r="D74" i="2"/>
  <c r="J71" i="1"/>
  <c r="E86" i="2"/>
  <c r="I86" i="2"/>
  <c r="M86" i="2"/>
  <c r="Q86" i="2"/>
  <c r="BI86" i="2" s="1"/>
  <c r="F86" i="2"/>
  <c r="J86" i="2"/>
  <c r="N86" i="2"/>
  <c r="R86" i="2"/>
  <c r="BJ86" i="2" s="1"/>
  <c r="R82" i="1"/>
  <c r="BJ82" i="1" s="1"/>
  <c r="B84" i="1"/>
  <c r="R84" i="1"/>
  <c r="BJ84" i="1" s="1"/>
  <c r="B78" i="1"/>
  <c r="Q74" i="2"/>
  <c r="BI74" i="2" s="1"/>
  <c r="F50" i="3"/>
  <c r="J50" i="3"/>
  <c r="AI50" i="3" s="1"/>
  <c r="N50" i="3"/>
  <c r="J66" i="1"/>
  <c r="F67" i="1"/>
  <c r="F68" i="1"/>
  <c r="F69" i="1"/>
  <c r="J69" i="1"/>
  <c r="F70" i="1"/>
  <c r="J70" i="1"/>
  <c r="B71" i="1"/>
  <c r="F71" i="1"/>
  <c r="F72" i="1"/>
  <c r="J72" i="1"/>
  <c r="E50" i="2"/>
  <c r="AG50" i="2" s="1"/>
  <c r="I50" i="2"/>
  <c r="M50" i="2"/>
  <c r="AJ50" i="2" s="1"/>
  <c r="F66" i="1"/>
  <c r="B67" i="1"/>
  <c r="B68" i="1"/>
  <c r="B69" i="1"/>
  <c r="B66" i="1"/>
  <c r="J67" i="1"/>
  <c r="J68" i="1"/>
  <c r="B70" i="1"/>
  <c r="G50" i="2"/>
  <c r="AH50" i="2" s="1"/>
  <c r="K50" i="2"/>
  <c r="H41" i="1"/>
  <c r="D36" i="1"/>
  <c r="D66" i="1"/>
  <c r="L36" i="1"/>
  <c r="L66" i="1"/>
  <c r="X36" i="1"/>
  <c r="X66" i="1"/>
  <c r="BP66" i="1" s="1"/>
  <c r="E36" i="1"/>
  <c r="E66" i="1"/>
  <c r="I36" i="1"/>
  <c r="I66" i="1"/>
  <c r="I41" i="1"/>
  <c r="M36" i="1"/>
  <c r="M66" i="1"/>
  <c r="M41" i="1"/>
  <c r="Q36" i="1"/>
  <c r="Q66" i="1"/>
  <c r="BI66" i="1" s="1"/>
  <c r="U36" i="1"/>
  <c r="U66" i="1"/>
  <c r="BM66" i="1" s="1"/>
  <c r="Y36" i="1"/>
  <c r="Y66" i="1"/>
  <c r="BQ66" i="1" s="1"/>
  <c r="E67" i="1"/>
  <c r="E42" i="1"/>
  <c r="I67" i="1"/>
  <c r="I42" i="1"/>
  <c r="M67" i="1"/>
  <c r="M42" i="1"/>
  <c r="Q67" i="1"/>
  <c r="BI67" i="1" s="1"/>
  <c r="U67" i="1"/>
  <c r="BM67" i="1" s="1"/>
  <c r="Y67" i="1"/>
  <c r="BQ67" i="1" s="1"/>
  <c r="E68" i="1"/>
  <c r="E43" i="1"/>
  <c r="I68" i="1"/>
  <c r="I43" i="1"/>
  <c r="M68" i="1"/>
  <c r="M43" i="1"/>
  <c r="Q68" i="1"/>
  <c r="BI68" i="1" s="1"/>
  <c r="U68" i="1"/>
  <c r="BM68" i="1" s="1"/>
  <c r="Y68" i="1"/>
  <c r="BQ68" i="1" s="1"/>
  <c r="E69" i="1"/>
  <c r="E44" i="1"/>
  <c r="I69" i="1"/>
  <c r="I44" i="1"/>
  <c r="M69" i="1"/>
  <c r="M44" i="1"/>
  <c r="Q69" i="1"/>
  <c r="BI69" i="1" s="1"/>
  <c r="U69" i="1"/>
  <c r="BM69" i="1" s="1"/>
  <c r="Y69" i="1"/>
  <c r="BQ69" i="1" s="1"/>
  <c r="E70" i="1"/>
  <c r="E45" i="1"/>
  <c r="I70" i="1"/>
  <c r="I45" i="1"/>
  <c r="M70" i="1"/>
  <c r="M45" i="1"/>
  <c r="Q70" i="1"/>
  <c r="BI70" i="1" s="1"/>
  <c r="U70" i="1"/>
  <c r="BM70" i="1" s="1"/>
  <c r="Y70" i="1"/>
  <c r="BQ70" i="1" s="1"/>
  <c r="E71" i="1"/>
  <c r="E46" i="1"/>
  <c r="I71" i="1"/>
  <c r="I46" i="1"/>
  <c r="M71" i="1"/>
  <c r="M46" i="1"/>
  <c r="Q71" i="1"/>
  <c r="BI71" i="1" s="1"/>
  <c r="U71" i="1"/>
  <c r="BM71" i="1" s="1"/>
  <c r="Y71" i="1"/>
  <c r="BQ71" i="1" s="1"/>
  <c r="E72" i="1"/>
  <c r="E47" i="1"/>
  <c r="I72" i="1"/>
  <c r="I47" i="1"/>
  <c r="M72" i="1"/>
  <c r="M47" i="1"/>
  <c r="Q72" i="1"/>
  <c r="BI72" i="1" s="1"/>
  <c r="U72" i="1"/>
  <c r="BM72" i="1" s="1"/>
  <c r="Y72" i="1"/>
  <c r="BQ72" i="1" s="1"/>
  <c r="L41" i="1"/>
  <c r="D42" i="1"/>
  <c r="L43" i="1"/>
  <c r="D44" i="1"/>
  <c r="L45" i="1"/>
  <c r="D46" i="1"/>
  <c r="L47" i="1"/>
  <c r="C12" i="1"/>
  <c r="C78" i="1"/>
  <c r="G12" i="1"/>
  <c r="G78" i="1"/>
  <c r="K78" i="1"/>
  <c r="O12" i="1"/>
  <c r="BG12" i="1" s="1"/>
  <c r="O78" i="1"/>
  <c r="BG78" i="1" s="1"/>
  <c r="S12" i="1"/>
  <c r="BK12" i="1" s="1"/>
  <c r="S78" i="1"/>
  <c r="BK78" i="1" s="1"/>
  <c r="W12" i="1"/>
  <c r="BO12" i="1" s="1"/>
  <c r="W78" i="1"/>
  <c r="BO78" i="1" s="1"/>
  <c r="B72" i="1"/>
  <c r="R78" i="1"/>
  <c r="BJ78" i="1" s="1"/>
  <c r="J81" i="1"/>
  <c r="P36" i="1"/>
  <c r="P66" i="1"/>
  <c r="BH66" i="1" s="1"/>
  <c r="H47" i="1"/>
  <c r="B36" i="1"/>
  <c r="B41" i="1"/>
  <c r="F36" i="1"/>
  <c r="F41" i="1"/>
  <c r="J36" i="1"/>
  <c r="J41" i="1"/>
  <c r="N36" i="1"/>
  <c r="R36" i="1"/>
  <c r="V36" i="1"/>
  <c r="B42" i="1"/>
  <c r="F42" i="1"/>
  <c r="J42" i="1"/>
  <c r="B43" i="1"/>
  <c r="F43" i="1"/>
  <c r="J43" i="1"/>
  <c r="B44" i="1"/>
  <c r="F44" i="1"/>
  <c r="J44" i="1"/>
  <c r="B45" i="1"/>
  <c r="F45" i="1"/>
  <c r="J45" i="1"/>
  <c r="B46" i="1"/>
  <c r="F46" i="1"/>
  <c r="J46" i="1"/>
  <c r="B47" i="1"/>
  <c r="F47" i="1"/>
  <c r="J47" i="1"/>
  <c r="D41" i="1"/>
  <c r="H42" i="1"/>
  <c r="H44" i="1"/>
  <c r="H46" i="1"/>
  <c r="R72" i="1"/>
  <c r="BJ72" i="1" s="1"/>
  <c r="J79" i="1"/>
  <c r="B82" i="1"/>
  <c r="H36" i="1"/>
  <c r="H66" i="1"/>
  <c r="T36" i="1"/>
  <c r="BT36" i="1" s="1"/>
  <c r="T66" i="1"/>
  <c r="BL66" i="1" s="1"/>
  <c r="H43" i="1"/>
  <c r="H45" i="1"/>
  <c r="C36" i="1"/>
  <c r="C41" i="1"/>
  <c r="G41" i="1"/>
  <c r="K36" i="1"/>
  <c r="K41" i="1"/>
  <c r="O36" i="1"/>
  <c r="S36" i="1"/>
  <c r="W36" i="1"/>
  <c r="C42" i="1"/>
  <c r="G42" i="1"/>
  <c r="K42" i="1"/>
  <c r="C43" i="1"/>
  <c r="C68" i="1"/>
  <c r="G43" i="1"/>
  <c r="K43" i="1"/>
  <c r="K68" i="1"/>
  <c r="S68" i="1"/>
  <c r="BK68" i="1" s="1"/>
  <c r="C44" i="1"/>
  <c r="C69" i="1"/>
  <c r="K44" i="1"/>
  <c r="K69" i="1"/>
  <c r="S69" i="1"/>
  <c r="BK69" i="1" s="1"/>
  <c r="C45" i="1"/>
  <c r="C70" i="1"/>
  <c r="G45" i="1"/>
  <c r="K45" i="1"/>
  <c r="K70" i="1"/>
  <c r="O70" i="1"/>
  <c r="BG70" i="1" s="1"/>
  <c r="S70" i="1"/>
  <c r="BK70" i="1" s="1"/>
  <c r="W70" i="1"/>
  <c r="BO70" i="1" s="1"/>
  <c r="C71" i="1"/>
  <c r="C46" i="1"/>
  <c r="G71" i="1"/>
  <c r="G46" i="1"/>
  <c r="K71" i="1"/>
  <c r="K46" i="1"/>
  <c r="O71" i="1"/>
  <c r="BG71" i="1" s="1"/>
  <c r="S71" i="1"/>
  <c r="BK71" i="1" s="1"/>
  <c r="W71" i="1"/>
  <c r="BO71" i="1" s="1"/>
  <c r="C72" i="1"/>
  <c r="C47" i="1"/>
  <c r="G72" i="1"/>
  <c r="G47" i="1"/>
  <c r="K72" i="1"/>
  <c r="K47" i="1"/>
  <c r="O72" i="1"/>
  <c r="BG72" i="1" s="1"/>
  <c r="S72" i="1"/>
  <c r="BK72" i="1" s="1"/>
  <c r="W72" i="1"/>
  <c r="BO72" i="1" s="1"/>
  <c r="E41" i="1"/>
  <c r="L42" i="1"/>
  <c r="D43" i="1"/>
  <c r="L44" i="1"/>
  <c r="D45" i="1"/>
  <c r="L46" i="1"/>
  <c r="D47" i="1"/>
  <c r="O66" i="1"/>
  <c r="BG66" i="1" s="1"/>
  <c r="G67" i="1"/>
  <c r="W67" i="1"/>
  <c r="BO67" i="1" s="1"/>
  <c r="R70" i="1"/>
  <c r="BJ70" i="1" s="1"/>
  <c r="B80" i="1"/>
  <c r="D12" i="1"/>
  <c r="D78" i="1"/>
  <c r="H12" i="1"/>
  <c r="H78" i="1"/>
  <c r="L12" i="1"/>
  <c r="L78" i="1"/>
  <c r="P12" i="1"/>
  <c r="BH12" i="1" s="1"/>
  <c r="P78" i="1"/>
  <c r="BH78" i="1" s="1"/>
  <c r="T12" i="1"/>
  <c r="T78" i="1"/>
  <c r="BL78" i="1" s="1"/>
  <c r="X12" i="1"/>
  <c r="BP12" i="1" s="1"/>
  <c r="X78" i="1"/>
  <c r="BP78" i="1" s="1"/>
  <c r="F78" i="1"/>
  <c r="V78" i="1"/>
  <c r="BN78" i="1" s="1"/>
  <c r="E12" i="1"/>
  <c r="E78" i="1"/>
  <c r="I12" i="1"/>
  <c r="I78" i="1"/>
  <c r="M12" i="1"/>
  <c r="M78" i="1"/>
  <c r="Q12" i="1"/>
  <c r="Q78" i="1"/>
  <c r="BI78" i="1" s="1"/>
  <c r="U12" i="1"/>
  <c r="BM12" i="1" s="1"/>
  <c r="U78" i="1"/>
  <c r="BM78" i="1" s="1"/>
  <c r="Y12" i="1"/>
  <c r="BQ12" i="1" s="1"/>
  <c r="Y78" i="1"/>
  <c r="BQ78" i="1" s="1"/>
  <c r="J78" i="1"/>
  <c r="N78" i="1"/>
  <c r="BF78" i="1" s="1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C29" i="2"/>
  <c r="C89" i="2" s="1"/>
  <c r="D29" i="2"/>
  <c r="D89" i="2" s="1"/>
  <c r="E29" i="2"/>
  <c r="E89" i="2" s="1"/>
  <c r="F29" i="2"/>
  <c r="F89" i="2" s="1"/>
  <c r="G29" i="2"/>
  <c r="G89" i="2" s="1"/>
  <c r="H29" i="2"/>
  <c r="H89" i="2" s="1"/>
  <c r="I29" i="2"/>
  <c r="I89" i="2" s="1"/>
  <c r="J29" i="2"/>
  <c r="J89" i="2" s="1"/>
  <c r="K29" i="2"/>
  <c r="K89" i="2" s="1"/>
  <c r="L29" i="2"/>
  <c r="L89" i="2" s="1"/>
  <c r="M29" i="2"/>
  <c r="M89" i="2" s="1"/>
  <c r="N29" i="2"/>
  <c r="N89" i="2" s="1"/>
  <c r="O29" i="2"/>
  <c r="O89" i="2" s="1"/>
  <c r="P29" i="2"/>
  <c r="P89" i="2" s="1"/>
  <c r="Q29" i="2"/>
  <c r="Q89" i="2" s="1"/>
  <c r="R29" i="2"/>
  <c r="R89" i="2" s="1"/>
  <c r="S29" i="2"/>
  <c r="S89" i="2" s="1"/>
  <c r="T29" i="2"/>
  <c r="T89" i="2" s="1"/>
  <c r="U29" i="2"/>
  <c r="U89" i="2" s="1"/>
  <c r="V29" i="2"/>
  <c r="V89" i="2" s="1"/>
  <c r="W29" i="2"/>
  <c r="W89" i="2" s="1"/>
  <c r="X29" i="2"/>
  <c r="X89" i="2" s="1"/>
  <c r="Y29" i="2"/>
  <c r="Y89" i="2" s="1"/>
  <c r="Z29" i="2"/>
  <c r="Z89" i="2" s="1"/>
  <c r="AH84" i="1" l="1"/>
  <c r="BF47" i="1"/>
  <c r="E57" i="5"/>
  <c r="E66" i="5" s="1"/>
  <c r="BT14" i="3"/>
  <c r="H57" i="5"/>
  <c r="BM14" i="3"/>
  <c r="BU14" i="3"/>
  <c r="B57" i="5"/>
  <c r="B58" i="5" s="1"/>
  <c r="BS14" i="3"/>
  <c r="BM74" i="3"/>
  <c r="BU74" i="3"/>
  <c r="BL12" i="1"/>
  <c r="BT12" i="1"/>
  <c r="BL24" i="1"/>
  <c r="BT24" i="1"/>
  <c r="M88" i="5"/>
  <c r="AI50" i="2"/>
  <c r="BV47" i="1"/>
  <c r="BH14" i="3"/>
  <c r="C57" i="5"/>
  <c r="C66" i="5" s="1"/>
  <c r="AL26" i="3"/>
  <c r="BI14" i="3"/>
  <c r="D57" i="5"/>
  <c r="D66" i="5" s="1"/>
  <c r="BL14" i="3"/>
  <c r="G57" i="5"/>
  <c r="BK14" i="3"/>
  <c r="F57" i="5"/>
  <c r="F66" i="5" s="1"/>
  <c r="H66" i="5"/>
  <c r="H58" i="5"/>
  <c r="H67" i="5" s="1"/>
  <c r="AH50" i="3"/>
  <c r="AF50" i="3"/>
  <c r="AK50" i="3" s="1"/>
  <c r="J66" i="5"/>
  <c r="J58" i="5"/>
  <c r="J67" i="5" s="1"/>
  <c r="I66" i="5"/>
  <c r="I58" i="5"/>
  <c r="I67" i="5" s="1"/>
  <c r="G88" i="5"/>
  <c r="BK24" i="1"/>
  <c r="BS62" i="1"/>
  <c r="AK12" i="5"/>
  <c r="F56" i="5"/>
  <c r="F58" i="5" s="1"/>
  <c r="F67" i="5" s="1"/>
  <c r="BK14" i="2"/>
  <c r="BH24" i="1"/>
  <c r="D88" i="5"/>
  <c r="AB49" i="1"/>
  <c r="R145" i="1"/>
  <c r="BJ24" i="1"/>
  <c r="F88" i="5"/>
  <c r="U147" i="1"/>
  <c r="I88" i="5"/>
  <c r="T146" i="1"/>
  <c r="H88" i="5"/>
  <c r="N117" i="1"/>
  <c r="B88" i="5"/>
  <c r="BV42" i="1"/>
  <c r="BV44" i="1"/>
  <c r="BH14" i="2"/>
  <c r="C56" i="5"/>
  <c r="B65" i="5"/>
  <c r="BW50" i="3"/>
  <c r="AJ9" i="5"/>
  <c r="E56" i="5"/>
  <c r="BJ14" i="2"/>
  <c r="BT14" i="2"/>
  <c r="D56" i="5"/>
  <c r="BI14" i="2"/>
  <c r="AJ50" i="3"/>
  <c r="BF44" i="1"/>
  <c r="AG50" i="3"/>
  <c r="AB50" i="3"/>
  <c r="BW38" i="3"/>
  <c r="AK38" i="3"/>
  <c r="AA74" i="3"/>
  <c r="BJ14" i="3"/>
  <c r="BG14" i="3"/>
  <c r="AI14" i="3"/>
  <c r="BI62" i="1"/>
  <c r="BS74" i="1"/>
  <c r="R117" i="1"/>
  <c r="Z51" i="1"/>
  <c r="BI12" i="1"/>
  <c r="BS12" i="1"/>
  <c r="BS86" i="1"/>
  <c r="AB51" i="1"/>
  <c r="BS36" i="1"/>
  <c r="BI24" i="1"/>
  <c r="BS24" i="1"/>
  <c r="BV43" i="1"/>
  <c r="BV45" i="1"/>
  <c r="BV46" i="1"/>
  <c r="BE51" i="1"/>
  <c r="BA49" i="1"/>
  <c r="BR49" i="1" s="1"/>
  <c r="E117" i="1"/>
  <c r="BF43" i="1"/>
  <c r="R137" i="1"/>
  <c r="BF42" i="1"/>
  <c r="E146" i="1"/>
  <c r="R146" i="1"/>
  <c r="AN42" i="3"/>
  <c r="C147" i="1"/>
  <c r="L145" i="1"/>
  <c r="L117" i="1"/>
  <c r="B147" i="1"/>
  <c r="U145" i="1"/>
  <c r="L146" i="1"/>
  <c r="B145" i="1"/>
  <c r="AI14" i="2"/>
  <c r="U146" i="1"/>
  <c r="C117" i="1"/>
  <c r="L147" i="1"/>
  <c r="B146" i="1"/>
  <c r="M58" i="5"/>
  <c r="M65" i="5"/>
  <c r="C51" i="1"/>
  <c r="B49" i="1"/>
  <c r="R86" i="1"/>
  <c r="BJ86" i="1" s="1"/>
  <c r="AI84" i="1"/>
  <c r="C145" i="1"/>
  <c r="BF46" i="1"/>
  <c r="BF41" i="1"/>
  <c r="L58" i="5"/>
  <c r="L65" i="5"/>
  <c r="K58" i="5"/>
  <c r="K65" i="5"/>
  <c r="BG14" i="2"/>
  <c r="BS14" i="2"/>
  <c r="AI72" i="1"/>
  <c r="R14" i="1"/>
  <c r="BJ14" i="1" s="1"/>
  <c r="AN42" i="2"/>
  <c r="AM43" i="2"/>
  <c r="E145" i="1"/>
  <c r="R147" i="1"/>
  <c r="K146" i="1"/>
  <c r="AH83" i="1"/>
  <c r="AH82" i="1"/>
  <c r="AH71" i="1"/>
  <c r="O147" i="1"/>
  <c r="BG24" i="1"/>
  <c r="Z65" i="3"/>
  <c r="F147" i="1"/>
  <c r="J86" i="1"/>
  <c r="F14" i="1"/>
  <c r="AI68" i="1"/>
  <c r="I145" i="1"/>
  <c r="I117" i="1"/>
  <c r="O117" i="1"/>
  <c r="F145" i="1"/>
  <c r="V89" i="3"/>
  <c r="K147" i="1"/>
  <c r="AH66" i="1"/>
  <c r="T147" i="1"/>
  <c r="AI70" i="1"/>
  <c r="F117" i="1"/>
  <c r="J74" i="1"/>
  <c r="L51" i="1"/>
  <c r="AF82" i="1"/>
  <c r="J137" i="1"/>
  <c r="I146" i="1"/>
  <c r="K145" i="1"/>
  <c r="O145" i="1"/>
  <c r="BF45" i="1"/>
  <c r="AM48" i="3"/>
  <c r="AM44" i="3"/>
  <c r="AN46" i="3"/>
  <c r="AM47" i="3"/>
  <c r="AM43" i="3"/>
  <c r="AN45" i="3"/>
  <c r="AH70" i="1"/>
  <c r="AH72" i="1"/>
  <c r="AC51" i="1"/>
  <c r="AM45" i="3"/>
  <c r="AN48" i="3"/>
  <c r="AN44" i="3"/>
  <c r="AH68" i="1"/>
  <c r="AM46" i="3"/>
  <c r="AN47" i="3"/>
  <c r="AN43" i="3"/>
  <c r="AN48" i="2"/>
  <c r="AM34" i="1"/>
  <c r="AM30" i="1"/>
  <c r="AM57" i="1"/>
  <c r="BT57" i="1"/>
  <c r="F65" i="3"/>
  <c r="AM56" i="1"/>
  <c r="BT56" i="1"/>
  <c r="AM47" i="2"/>
  <c r="AM45" i="2"/>
  <c r="BV30" i="1"/>
  <c r="BV29" i="1"/>
  <c r="BV32" i="1"/>
  <c r="AN44" i="2"/>
  <c r="AM48" i="2"/>
  <c r="AM4" i="1"/>
  <c r="V49" i="1"/>
  <c r="BN36" i="1"/>
  <c r="AN43" i="2"/>
  <c r="AM6" i="1"/>
  <c r="BF12" i="1"/>
  <c r="BR12" i="1"/>
  <c r="BR86" i="1"/>
  <c r="BO36" i="1"/>
  <c r="W49" i="1"/>
  <c r="R49" i="1"/>
  <c r="BJ49" i="1" s="1"/>
  <c r="BJ36" i="1"/>
  <c r="O89" i="3"/>
  <c r="AN46" i="2"/>
  <c r="AM31" i="1"/>
  <c r="AM29" i="1"/>
  <c r="AM59" i="1"/>
  <c r="BT59" i="1"/>
  <c r="Q145" i="1"/>
  <c r="I147" i="1"/>
  <c r="T145" i="1"/>
  <c r="F146" i="1"/>
  <c r="O146" i="1"/>
  <c r="BV41" i="1"/>
  <c r="BV28" i="1"/>
  <c r="Z12" i="1"/>
  <c r="Z137" i="1" s="1"/>
  <c r="BV4" i="1"/>
  <c r="BV33" i="1"/>
  <c r="O49" i="1"/>
  <c r="BG49" i="1" s="1"/>
  <c r="BG36" i="1"/>
  <c r="P49" i="1"/>
  <c r="BH49" i="1" s="1"/>
  <c r="BH36" i="1"/>
  <c r="AM28" i="1"/>
  <c r="BF24" i="1"/>
  <c r="BR24" i="1"/>
  <c r="T49" i="1"/>
  <c r="BL49" i="1" s="1"/>
  <c r="BL36" i="1"/>
  <c r="Q49" i="1"/>
  <c r="BI49" i="1" s="1"/>
  <c r="BI36" i="1"/>
  <c r="AN47" i="2"/>
  <c r="AM60" i="1"/>
  <c r="BT60" i="1"/>
  <c r="S49" i="1"/>
  <c r="BK49" i="1" s="1"/>
  <c r="BK36" i="1"/>
  <c r="N49" i="1"/>
  <c r="Z36" i="1"/>
  <c r="BF36" i="1"/>
  <c r="BR36" i="1"/>
  <c r="F49" i="1"/>
  <c r="U51" i="1"/>
  <c r="U49" i="1"/>
  <c r="BM36" i="1"/>
  <c r="BP36" i="1"/>
  <c r="X49" i="1"/>
  <c r="D51" i="1"/>
  <c r="F86" i="1"/>
  <c r="AL4" i="1"/>
  <c r="AN45" i="2"/>
  <c r="AN50" i="2"/>
  <c r="AM7" i="1"/>
  <c r="AM58" i="1"/>
  <c r="BT58" i="1"/>
  <c r="AM54" i="1"/>
  <c r="BT54" i="1"/>
  <c r="Z62" i="1"/>
  <c r="BV62" i="1" s="1"/>
  <c r="BF62" i="1"/>
  <c r="BR62" i="1"/>
  <c r="BR74" i="1"/>
  <c r="Q117" i="1"/>
  <c r="N146" i="1"/>
  <c r="BV31" i="1"/>
  <c r="AN57" i="1"/>
  <c r="BU57" i="1"/>
  <c r="AO42" i="2"/>
  <c r="AO43" i="2"/>
  <c r="AO43" i="3"/>
  <c r="AO48" i="2"/>
  <c r="AO46" i="2"/>
  <c r="AO46" i="3"/>
  <c r="AO42" i="3"/>
  <c r="BQ36" i="1"/>
  <c r="Y49" i="1"/>
  <c r="AO49" i="1"/>
  <c r="AD51" i="1"/>
  <c r="AO50" i="2"/>
  <c r="AN54" i="1"/>
  <c r="BU54" i="1"/>
  <c r="AO47" i="2"/>
  <c r="AO48" i="3"/>
  <c r="AO44" i="3"/>
  <c r="AN55" i="1"/>
  <c r="BU55" i="1"/>
  <c r="AO45" i="2"/>
  <c r="AO47" i="3"/>
  <c r="AN56" i="1"/>
  <c r="BU56" i="1"/>
  <c r="AO44" i="2"/>
  <c r="AN58" i="1"/>
  <c r="BU58" i="1"/>
  <c r="AO45" i="3"/>
  <c r="AN60" i="1"/>
  <c r="BU60" i="1"/>
  <c r="AJ21" i="1"/>
  <c r="BV21" i="1"/>
  <c r="AN32" i="1"/>
  <c r="BU32" i="1"/>
  <c r="AN29" i="1"/>
  <c r="BU29" i="1"/>
  <c r="AN31" i="1"/>
  <c r="BU31" i="1"/>
  <c r="AK26" i="3"/>
  <c r="BW26" i="3"/>
  <c r="AJ20" i="1"/>
  <c r="BV20" i="1"/>
  <c r="AJ19" i="1"/>
  <c r="BV19" i="1"/>
  <c r="AN33" i="1"/>
  <c r="BU33" i="1"/>
  <c r="AJ18" i="1"/>
  <c r="BV18" i="1"/>
  <c r="AN30" i="1"/>
  <c r="BU30" i="1"/>
  <c r="AN28" i="1"/>
  <c r="BU28" i="1"/>
  <c r="X74" i="1"/>
  <c r="BP74" i="1" s="1"/>
  <c r="AN9" i="1"/>
  <c r="AN8" i="1"/>
  <c r="AN7" i="1"/>
  <c r="AN6" i="1"/>
  <c r="AN5" i="1"/>
  <c r="AN4" i="1"/>
  <c r="O51" i="1"/>
  <c r="AJ22" i="1"/>
  <c r="AM32" i="1"/>
  <c r="AM9" i="1"/>
  <c r="AM55" i="1"/>
  <c r="Q146" i="1"/>
  <c r="N145" i="1"/>
  <c r="K14" i="1"/>
  <c r="K137" i="1"/>
  <c r="AI71" i="1"/>
  <c r="Q147" i="1"/>
  <c r="N147" i="1"/>
  <c r="AJ17" i="1"/>
  <c r="AM33" i="1"/>
  <c r="AM10" i="1"/>
  <c r="AM8" i="1"/>
  <c r="AI83" i="1"/>
  <c r="AI82" i="1"/>
  <c r="AF80" i="1"/>
  <c r="AA69" i="1"/>
  <c r="AG81" i="1"/>
  <c r="AL57" i="1"/>
  <c r="P51" i="1"/>
  <c r="AF83" i="1"/>
  <c r="AG79" i="1"/>
  <c r="V86" i="1"/>
  <c r="BN86" i="1" s="1"/>
  <c r="AG67" i="1"/>
  <c r="AL55" i="1"/>
  <c r="AD47" i="1"/>
  <c r="BU47" i="1" s="1"/>
  <c r="AF51" i="1"/>
  <c r="S51" i="1"/>
  <c r="F51" i="1"/>
  <c r="B51" i="1"/>
  <c r="AH42" i="1"/>
  <c r="R51" i="1"/>
  <c r="AE24" i="1"/>
  <c r="H117" i="1"/>
  <c r="H147" i="1"/>
  <c r="H146" i="1"/>
  <c r="H145" i="1"/>
  <c r="I51" i="1"/>
  <c r="AG24" i="1"/>
  <c r="G117" i="1"/>
  <c r="AH51" i="1"/>
  <c r="G147" i="1"/>
  <c r="G146" i="1"/>
  <c r="G145" i="1"/>
  <c r="H51" i="1"/>
  <c r="V51" i="1"/>
  <c r="AI24" i="1"/>
  <c r="M117" i="1"/>
  <c r="B10" i="6"/>
  <c r="M147" i="1"/>
  <c r="M146" i="1"/>
  <c r="M145" i="1"/>
  <c r="AA51" i="1"/>
  <c r="N51" i="1"/>
  <c r="AN16" i="1"/>
  <c r="C10" i="6"/>
  <c r="V146" i="1"/>
  <c r="V147" i="1"/>
  <c r="V145" i="1"/>
  <c r="S117" i="1"/>
  <c r="S147" i="1"/>
  <c r="S146" i="1"/>
  <c r="S145" i="1"/>
  <c r="V38" i="1"/>
  <c r="T51" i="1"/>
  <c r="AH24" i="1"/>
  <c r="J117" i="1"/>
  <c r="M38" i="1"/>
  <c r="AI51" i="1"/>
  <c r="J147" i="1"/>
  <c r="J145" i="1"/>
  <c r="J146" i="1"/>
  <c r="K51" i="1"/>
  <c r="J51" i="1"/>
  <c r="AG41" i="1"/>
  <c r="AI43" i="1"/>
  <c r="J49" i="1"/>
  <c r="AA24" i="1"/>
  <c r="P117" i="1"/>
  <c r="P147" i="1"/>
  <c r="P146" i="1"/>
  <c r="P145" i="1"/>
  <c r="S38" i="1"/>
  <c r="Q51" i="1"/>
  <c r="AF24" i="1"/>
  <c r="D117" i="1"/>
  <c r="D147" i="1"/>
  <c r="D146" i="1"/>
  <c r="D145" i="1"/>
  <c r="E51" i="1"/>
  <c r="M51" i="1"/>
  <c r="N14" i="1"/>
  <c r="N137" i="1"/>
  <c r="U86" i="1"/>
  <c r="BM86" i="1" s="1"/>
  <c r="U14" i="1"/>
  <c r="BM14" i="1" s="1"/>
  <c r="U137" i="1"/>
  <c r="E14" i="1"/>
  <c r="E137" i="1"/>
  <c r="P86" i="1"/>
  <c r="BH86" i="1" s="1"/>
  <c r="P14" i="1"/>
  <c r="BH14" i="1" s="1"/>
  <c r="P137" i="1"/>
  <c r="S86" i="1"/>
  <c r="BK86" i="1" s="1"/>
  <c r="S14" i="1"/>
  <c r="BK14" i="1" s="1"/>
  <c r="S137" i="1"/>
  <c r="AC79" i="1"/>
  <c r="AM5" i="1"/>
  <c r="O86" i="1"/>
  <c r="BG86" i="1" s="1"/>
  <c r="O14" i="1"/>
  <c r="BG14" i="1" s="1"/>
  <c r="O137" i="1"/>
  <c r="M86" i="1"/>
  <c r="M14" i="1"/>
  <c r="M137" i="1"/>
  <c r="H14" i="1"/>
  <c r="H137" i="1"/>
  <c r="C86" i="1"/>
  <c r="C14" i="1"/>
  <c r="C137" i="1"/>
  <c r="C17" i="4"/>
  <c r="V14" i="1"/>
  <c r="BN14" i="1" s="1"/>
  <c r="V137" i="1"/>
  <c r="Q86" i="1"/>
  <c r="BI86" i="1" s="1"/>
  <c r="Q14" i="1"/>
  <c r="Q137" i="1"/>
  <c r="I86" i="1"/>
  <c r="I14" i="1"/>
  <c r="I137" i="1"/>
  <c r="T86" i="1"/>
  <c r="BL86" i="1" s="1"/>
  <c r="D11" i="4" s="1"/>
  <c r="T14" i="1"/>
  <c r="T137" i="1"/>
  <c r="L86" i="1"/>
  <c r="L14" i="1"/>
  <c r="L137" i="1"/>
  <c r="D86" i="1"/>
  <c r="D14" i="1"/>
  <c r="D137" i="1"/>
  <c r="G14" i="1"/>
  <c r="G137" i="1"/>
  <c r="N86" i="1"/>
  <c r="BF86" i="1" s="1"/>
  <c r="B14" i="1"/>
  <c r="B9" i="6"/>
  <c r="B14" i="6"/>
  <c r="B12" i="6"/>
  <c r="B137" i="1"/>
  <c r="Y146" i="1"/>
  <c r="Y145" i="1"/>
  <c r="M66" i="5"/>
  <c r="M62" i="5"/>
  <c r="Y147" i="1"/>
  <c r="Y74" i="1"/>
  <c r="BQ74" i="1" s="1"/>
  <c r="Y51" i="1"/>
  <c r="AE20" i="5"/>
  <c r="AE22" i="5"/>
  <c r="AE21" i="5"/>
  <c r="Y86" i="1"/>
  <c r="BQ86" i="1" s="1"/>
  <c r="Y136" i="1"/>
  <c r="Y142" i="1" s="1"/>
  <c r="Y132" i="1"/>
  <c r="Y137" i="1"/>
  <c r="Y135" i="1"/>
  <c r="Y131" i="1"/>
  <c r="Y133" i="1"/>
  <c r="Y130" i="1"/>
  <c r="Y14" i="1"/>
  <c r="Y134" i="1"/>
  <c r="Y38" i="1"/>
  <c r="X137" i="1"/>
  <c r="X14" i="1"/>
  <c r="BP14" i="1" s="1"/>
  <c r="X133" i="1"/>
  <c r="X131" i="1"/>
  <c r="X145" i="1"/>
  <c r="X146" i="1"/>
  <c r="AD24" i="1"/>
  <c r="X147" i="1"/>
  <c r="X135" i="1"/>
  <c r="X136" i="1"/>
  <c r="X142" i="1" s="1"/>
  <c r="L66" i="5"/>
  <c r="L62" i="5"/>
  <c r="L71" i="5" s="1"/>
  <c r="X134" i="1"/>
  <c r="X132" i="1"/>
  <c r="X130" i="1"/>
  <c r="AD22" i="5"/>
  <c r="AD21" i="5"/>
  <c r="AD20" i="5"/>
  <c r="AD71" i="1"/>
  <c r="AN59" i="1"/>
  <c r="AD84" i="1"/>
  <c r="AN10" i="1"/>
  <c r="W147" i="1"/>
  <c r="X51" i="1"/>
  <c r="AC22" i="5"/>
  <c r="AC20" i="5"/>
  <c r="AC21" i="5"/>
  <c r="W14" i="1"/>
  <c r="W130" i="1"/>
  <c r="AD72" i="1"/>
  <c r="AN34" i="1"/>
  <c r="K66" i="5"/>
  <c r="N61" i="5"/>
  <c r="K62" i="5"/>
  <c r="K71" i="5" s="1"/>
  <c r="AE50" i="3"/>
  <c r="BV50" i="3" s="1"/>
  <c r="AD41" i="1"/>
  <c r="BU41" i="1" s="1"/>
  <c r="X86" i="1"/>
  <c r="BP86" i="1" s="1"/>
  <c r="W134" i="1"/>
  <c r="AE80" i="1"/>
  <c r="W51" i="1"/>
  <c r="AD82" i="1"/>
  <c r="W132" i="1"/>
  <c r="AD70" i="1"/>
  <c r="W131" i="1"/>
  <c r="W146" i="1"/>
  <c r="W136" i="1"/>
  <c r="W142" i="1" s="1"/>
  <c r="W145" i="1"/>
  <c r="W135" i="1"/>
  <c r="W133" i="1"/>
  <c r="AC24" i="1"/>
  <c r="W86" i="1"/>
  <c r="BO86" i="1" s="1"/>
  <c r="W137" i="1"/>
  <c r="AJ16" i="1"/>
  <c r="AK43" i="2"/>
  <c r="AE81" i="1"/>
  <c r="AD50" i="3"/>
  <c r="AC83" i="1"/>
  <c r="AJ60" i="1"/>
  <c r="AJ57" i="1"/>
  <c r="AJ59" i="1"/>
  <c r="AE84" i="1"/>
  <c r="AE83" i="1"/>
  <c r="AC47" i="1"/>
  <c r="BT47" i="1" s="1"/>
  <c r="AK46" i="2"/>
  <c r="AK42" i="2"/>
  <c r="J65" i="3"/>
  <c r="AJ4" i="1"/>
  <c r="AG71" i="1"/>
  <c r="AL47" i="2"/>
  <c r="AL43" i="2"/>
  <c r="AJ58" i="1"/>
  <c r="AJ56" i="1"/>
  <c r="AE82" i="1"/>
  <c r="AL33" i="1"/>
  <c r="AL29" i="1"/>
  <c r="AK60" i="1"/>
  <c r="AM46" i="2"/>
  <c r="AM44" i="2"/>
  <c r="AK47" i="2"/>
  <c r="H86" i="1"/>
  <c r="AC71" i="1"/>
  <c r="AC67" i="1"/>
  <c r="AG80" i="1"/>
  <c r="AB69" i="1"/>
  <c r="AC41" i="1"/>
  <c r="BT41" i="1" s="1"/>
  <c r="AM50" i="2"/>
  <c r="AK45" i="2"/>
  <c r="AJ55" i="1"/>
  <c r="AL48" i="2"/>
  <c r="AL44" i="2"/>
  <c r="AG82" i="1"/>
  <c r="AD81" i="1"/>
  <c r="AD67" i="1"/>
  <c r="AH12" i="1"/>
  <c r="AH14" i="1" s="1"/>
  <c r="E86" i="1"/>
  <c r="W74" i="1"/>
  <c r="BO74" i="1" s="1"/>
  <c r="AL60" i="1"/>
  <c r="AL58" i="1"/>
  <c r="AB67" i="1"/>
  <c r="AE79" i="1"/>
  <c r="AK34" i="1"/>
  <c r="AK30" i="1"/>
  <c r="AG70" i="1"/>
  <c r="AG68" i="1"/>
  <c r="AI69" i="1"/>
  <c r="AK55" i="1"/>
  <c r="B86" i="1"/>
  <c r="AL56" i="1"/>
  <c r="AI47" i="1"/>
  <c r="AK44" i="2"/>
  <c r="AF84" i="1"/>
  <c r="AI67" i="1"/>
  <c r="AC43" i="1"/>
  <c r="BT43" i="1" s="1"/>
  <c r="AI45" i="1"/>
  <c r="AD44" i="1"/>
  <c r="BU44" i="1" s="1"/>
  <c r="B74" i="1"/>
  <c r="AL16" i="1"/>
  <c r="AK48" i="2"/>
  <c r="AG72" i="1"/>
  <c r="AG66" i="1"/>
  <c r="AF81" i="1"/>
  <c r="AH36" i="1"/>
  <c r="AC45" i="1"/>
  <c r="BT45" i="1" s="1"/>
  <c r="AD45" i="1"/>
  <c r="BU45" i="1" s="1"/>
  <c r="AC81" i="1"/>
  <c r="AK10" i="1"/>
  <c r="AK6" i="1"/>
  <c r="AF79" i="1"/>
  <c r="AK33" i="1"/>
  <c r="AK29" i="1"/>
  <c r="AD62" i="1"/>
  <c r="AH43" i="1"/>
  <c r="AF47" i="1"/>
  <c r="AE47" i="1"/>
  <c r="AF45" i="1"/>
  <c r="AE45" i="1"/>
  <c r="AF43" i="1"/>
  <c r="AE43" i="1"/>
  <c r="AG47" i="1"/>
  <c r="AG46" i="1"/>
  <c r="AG45" i="1"/>
  <c r="AG43" i="1"/>
  <c r="AG42" i="1"/>
  <c r="AB83" i="1"/>
  <c r="AL9" i="1"/>
  <c r="AB82" i="1"/>
  <c r="AL8" i="1"/>
  <c r="AB79" i="1"/>
  <c r="AL5" i="1"/>
  <c r="AL54" i="1"/>
  <c r="AB66" i="1"/>
  <c r="AB62" i="1"/>
  <c r="AF78" i="1"/>
  <c r="AF12" i="1"/>
  <c r="AF14" i="1" s="1"/>
  <c r="AG83" i="1"/>
  <c r="AF50" i="2"/>
  <c r="AK50" i="2" s="1"/>
  <c r="AH80" i="1"/>
  <c r="AH78" i="1"/>
  <c r="AA84" i="1"/>
  <c r="AF71" i="1"/>
  <c r="AF70" i="1"/>
  <c r="AF62" i="1"/>
  <c r="AF69" i="1"/>
  <c r="AE68" i="1"/>
  <c r="AF67" i="1"/>
  <c r="AD68" i="1"/>
  <c r="AI66" i="1"/>
  <c r="AI36" i="1"/>
  <c r="AF44" i="1"/>
  <c r="AI46" i="1"/>
  <c r="AH44" i="1"/>
  <c r="AA47" i="1"/>
  <c r="AA45" i="1"/>
  <c r="AA43" i="1"/>
  <c r="AF41" i="1"/>
  <c r="AE41" i="1"/>
  <c r="AB84" i="1"/>
  <c r="AL10" i="1"/>
  <c r="AB80" i="1"/>
  <c r="AL6" i="1"/>
  <c r="AK7" i="1"/>
  <c r="AA81" i="1"/>
  <c r="AE12" i="1"/>
  <c r="AE14" i="1" s="1"/>
  <c r="AE78" i="1"/>
  <c r="AL45" i="2"/>
  <c r="AF36" i="1"/>
  <c r="AH62" i="1"/>
  <c r="AG12" i="1"/>
  <c r="AG14" i="1" s="1"/>
  <c r="AG78" i="1"/>
  <c r="AB72" i="1"/>
  <c r="AL34" i="1"/>
  <c r="AB70" i="1"/>
  <c r="AL32" i="1"/>
  <c r="AB68" i="1"/>
  <c r="AL30" i="1"/>
  <c r="AB36" i="1"/>
  <c r="AL28" i="1"/>
  <c r="AI62" i="1"/>
  <c r="AH69" i="1"/>
  <c r="AH67" i="1"/>
  <c r="AE72" i="1"/>
  <c r="AE71" i="1"/>
  <c r="AA68" i="1"/>
  <c r="AF68" i="1"/>
  <c r="AE67" i="1"/>
  <c r="AE66" i="1"/>
  <c r="AE62" i="1"/>
  <c r="AD83" i="1"/>
  <c r="AD80" i="1"/>
  <c r="AD79" i="1"/>
  <c r="AD12" i="1"/>
  <c r="BU12" i="1" s="1"/>
  <c r="AD78" i="1"/>
  <c r="AD69" i="1"/>
  <c r="AN69" i="1" s="1"/>
  <c r="AF46" i="1"/>
  <c r="AE46" i="1"/>
  <c r="AC69" i="1"/>
  <c r="AK8" i="1"/>
  <c r="AA82" i="1"/>
  <c r="AK4" i="1"/>
  <c r="AA78" i="1"/>
  <c r="AA12" i="1"/>
  <c r="AL46" i="2"/>
  <c r="AL42" i="2"/>
  <c r="AK31" i="1"/>
  <c r="AH81" i="1"/>
  <c r="AH79" i="1"/>
  <c r="AA72" i="1"/>
  <c r="AF72" i="1"/>
  <c r="AK58" i="1"/>
  <c r="AK57" i="1"/>
  <c r="AK56" i="1"/>
  <c r="AA67" i="1"/>
  <c r="AK54" i="1"/>
  <c r="AA62" i="1"/>
  <c r="AF66" i="1"/>
  <c r="AI78" i="1"/>
  <c r="AI12" i="1"/>
  <c r="AI14" i="1" s="1"/>
  <c r="AD66" i="1"/>
  <c r="AD36" i="1"/>
  <c r="AF42" i="1"/>
  <c r="AE42" i="1"/>
  <c r="AI42" i="1"/>
  <c r="AH45" i="1"/>
  <c r="AA42" i="1"/>
  <c r="AK42" i="1" s="1"/>
  <c r="AH47" i="1"/>
  <c r="AB81" i="1"/>
  <c r="AL7" i="1"/>
  <c r="AL59" i="1"/>
  <c r="AB71" i="1"/>
  <c r="AG62" i="1"/>
  <c r="AK9" i="1"/>
  <c r="AA83" i="1"/>
  <c r="AK5" i="1"/>
  <c r="AA79" i="1"/>
  <c r="AA70" i="1"/>
  <c r="AK32" i="1"/>
  <c r="AA66" i="1"/>
  <c r="AA36" i="1"/>
  <c r="AK36" i="1" s="1"/>
  <c r="AK28" i="1"/>
  <c r="AG84" i="1"/>
  <c r="AL50" i="2"/>
  <c r="AK59" i="1"/>
  <c r="AA71" i="1"/>
  <c r="AE70" i="1"/>
  <c r="AA80" i="1"/>
  <c r="AI81" i="1"/>
  <c r="AI80" i="1"/>
  <c r="AI79" i="1"/>
  <c r="AC62" i="1"/>
  <c r="BT62" i="1" s="1"/>
  <c r="AC70" i="1"/>
  <c r="AJ54" i="1"/>
  <c r="AC72" i="1"/>
  <c r="AC68" i="1"/>
  <c r="AC84" i="1"/>
  <c r="AM84" i="1" s="1"/>
  <c r="AC82" i="1"/>
  <c r="AC80" i="1"/>
  <c r="AC78" i="1"/>
  <c r="Z82" i="1"/>
  <c r="BV82" i="1" s="1"/>
  <c r="AJ8" i="1"/>
  <c r="Z83" i="1"/>
  <c r="AJ9" i="1"/>
  <c r="Z79" i="1"/>
  <c r="BV79" i="1" s="1"/>
  <c r="AJ5" i="1"/>
  <c r="AC12" i="1"/>
  <c r="Z84" i="1"/>
  <c r="BV84" i="1" s="1"/>
  <c r="AJ10" i="1"/>
  <c r="Z81" i="1"/>
  <c r="BV81" i="1" s="1"/>
  <c r="AJ7" i="1"/>
  <c r="Z80" i="1"/>
  <c r="BV80" i="1" s="1"/>
  <c r="AJ6" i="1"/>
  <c r="Z72" i="1"/>
  <c r="BV72" i="1" s="1"/>
  <c r="AJ34" i="1"/>
  <c r="Z69" i="1"/>
  <c r="BV69" i="1" s="1"/>
  <c r="AC36" i="1"/>
  <c r="AC66" i="1"/>
  <c r="AJ30" i="1"/>
  <c r="Z68" i="1"/>
  <c r="BV68" i="1" s="1"/>
  <c r="AJ33" i="1"/>
  <c r="Z71" i="1"/>
  <c r="BV71" i="1" s="1"/>
  <c r="Z70" i="1"/>
  <c r="BV70" i="1" s="1"/>
  <c r="AJ32" i="1"/>
  <c r="AJ29" i="1"/>
  <c r="Z67" i="1"/>
  <c r="BV67" i="1" s="1"/>
  <c r="Z66" i="1"/>
  <c r="BV66" i="1" s="1"/>
  <c r="AJ28" i="1"/>
  <c r="AH41" i="1"/>
  <c r="AH46" i="1"/>
  <c r="AD46" i="1"/>
  <c r="AI44" i="1"/>
  <c r="AD43" i="1"/>
  <c r="BU43" i="1" s="1"/>
  <c r="AA46" i="1"/>
  <c r="AA44" i="1"/>
  <c r="AA41" i="1"/>
  <c r="AC42" i="1"/>
  <c r="AC46" i="1"/>
  <c r="AD42" i="1"/>
  <c r="AI41" i="1"/>
  <c r="AC44" i="1"/>
  <c r="BT44" i="1" s="1"/>
  <c r="AB12" i="1"/>
  <c r="AB78" i="1"/>
  <c r="Z78" i="1"/>
  <c r="BV78" i="1" s="1"/>
  <c r="BS44" i="1"/>
  <c r="BS43" i="1"/>
  <c r="Z24" i="1"/>
  <c r="AB24" i="1"/>
  <c r="BS47" i="1"/>
  <c r="BS46" i="1"/>
  <c r="BS42" i="1"/>
  <c r="L89" i="3"/>
  <c r="L65" i="3"/>
  <c r="V74" i="1"/>
  <c r="BN74" i="1" s="1"/>
  <c r="Q89" i="3"/>
  <c r="Q65" i="3"/>
  <c r="X89" i="3"/>
  <c r="X65" i="3"/>
  <c r="I89" i="3"/>
  <c r="I65" i="3"/>
  <c r="Y89" i="3"/>
  <c r="Y65" i="3"/>
  <c r="H89" i="3"/>
  <c r="H65" i="3"/>
  <c r="R74" i="1"/>
  <c r="BJ74" i="1" s="1"/>
  <c r="M89" i="3"/>
  <c r="M65" i="3"/>
  <c r="S89" i="3"/>
  <c r="S65" i="3"/>
  <c r="E89" i="3"/>
  <c r="E65" i="3"/>
  <c r="U89" i="3"/>
  <c r="U65" i="3"/>
  <c r="C89" i="3"/>
  <c r="C65" i="3"/>
  <c r="T89" i="3"/>
  <c r="T65" i="3"/>
  <c r="G86" i="1"/>
  <c r="K86" i="1"/>
  <c r="S74" i="1"/>
  <c r="BK74" i="1" s="1"/>
  <c r="U74" i="1"/>
  <c r="BM74" i="1" s="1"/>
  <c r="T74" i="1"/>
  <c r="P74" i="1"/>
  <c r="BH74" i="1" s="1"/>
  <c r="I74" i="1"/>
  <c r="I49" i="1"/>
  <c r="F74" i="1"/>
  <c r="L74" i="1"/>
  <c r="L49" i="1"/>
  <c r="C74" i="1"/>
  <c r="C49" i="1"/>
  <c r="O74" i="1"/>
  <c r="BG74" i="1" s="1"/>
  <c r="M74" i="1"/>
  <c r="M49" i="1"/>
  <c r="K74" i="1"/>
  <c r="K49" i="1"/>
  <c r="H74" i="1"/>
  <c r="H49" i="1"/>
  <c r="N74" i="1"/>
  <c r="BF74" i="1" s="1"/>
  <c r="Q74" i="1"/>
  <c r="E74" i="1"/>
  <c r="E49" i="1"/>
  <c r="D74" i="1"/>
  <c r="D49" i="1"/>
  <c r="BV24" i="1" l="1"/>
  <c r="Z25" i="1"/>
  <c r="BV25" i="1" s="1"/>
  <c r="G5" i="4" s="1"/>
  <c r="F65" i="5"/>
  <c r="B66" i="5"/>
  <c r="AL50" i="3"/>
  <c r="BL74" i="1"/>
  <c r="D10" i="4"/>
  <c r="D4" i="4"/>
  <c r="D12" i="4"/>
  <c r="BT14" i="1"/>
  <c r="BV49" i="1"/>
  <c r="F9" i="4"/>
  <c r="BS14" i="1"/>
  <c r="BL14" i="1"/>
  <c r="N56" i="5"/>
  <c r="N65" i="5" s="1"/>
  <c r="N57" i="5"/>
  <c r="N66" i="5" s="1"/>
  <c r="G66" i="5"/>
  <c r="G58" i="5"/>
  <c r="G67" i="5" s="1"/>
  <c r="C148" i="1"/>
  <c r="AK9" i="5"/>
  <c r="B67" i="5"/>
  <c r="E58" i="5"/>
  <c r="E67" i="5" s="1"/>
  <c r="E65" i="5"/>
  <c r="C58" i="5"/>
  <c r="C67" i="5" s="1"/>
  <c r="C65" i="5"/>
  <c r="D58" i="5"/>
  <c r="D67" i="5" s="1"/>
  <c r="D65" i="5"/>
  <c r="BW74" i="3"/>
  <c r="AK74" i="3"/>
  <c r="BI14" i="1"/>
  <c r="R148" i="1"/>
  <c r="E148" i="1"/>
  <c r="BI74" i="1"/>
  <c r="P25" i="1"/>
  <c r="AN84" i="1"/>
  <c r="U148" i="1"/>
  <c r="AN72" i="1"/>
  <c r="L148" i="1"/>
  <c r="B148" i="1"/>
  <c r="AN83" i="1"/>
  <c r="AM66" i="1"/>
  <c r="AM82" i="1"/>
  <c r="AN68" i="1"/>
  <c r="F148" i="1"/>
  <c r="AK80" i="1"/>
  <c r="AM72" i="1"/>
  <c r="O148" i="1"/>
  <c r="BF49" i="1"/>
  <c r="AM83" i="1"/>
  <c r="AM71" i="1"/>
  <c r="AL81" i="1"/>
  <c r="AK82" i="1"/>
  <c r="AK41" i="1"/>
  <c r="AM68" i="1"/>
  <c r="AN70" i="1"/>
  <c r="K148" i="1"/>
  <c r="AJ41" i="1"/>
  <c r="T148" i="1"/>
  <c r="I148" i="1"/>
  <c r="AL79" i="1"/>
  <c r="AM24" i="1"/>
  <c r="Q148" i="1"/>
  <c r="AM70" i="1"/>
  <c r="AM50" i="3"/>
  <c r="AN50" i="3"/>
  <c r="AN71" i="1"/>
  <c r="AN24" i="1"/>
  <c r="AK51" i="1"/>
  <c r="AK83" i="1"/>
  <c r="BF14" i="1"/>
  <c r="BR14" i="1"/>
  <c r="N148" i="1"/>
  <c r="BV36" i="1"/>
  <c r="AB14" i="1"/>
  <c r="AL67" i="1"/>
  <c r="AN82" i="1"/>
  <c r="AN51" i="1"/>
  <c r="Z86" i="1"/>
  <c r="BV86" i="1" s="1"/>
  <c r="G11" i="4" s="1"/>
  <c r="Z14" i="1"/>
  <c r="BV14" i="1" s="1"/>
  <c r="G4" i="4" s="1"/>
  <c r="BV12" i="1"/>
  <c r="AO50" i="3"/>
  <c r="AN62" i="1"/>
  <c r="BU62" i="1"/>
  <c r="AJ83" i="1"/>
  <c r="BV83" i="1"/>
  <c r="AM42" i="1"/>
  <c r="BT42" i="1"/>
  <c r="AL41" i="1"/>
  <c r="BS41" i="1"/>
  <c r="AN46" i="1"/>
  <c r="BU46" i="1"/>
  <c r="AL45" i="1"/>
  <c r="BS45" i="1"/>
  <c r="AN42" i="1"/>
  <c r="BU42" i="1"/>
  <c r="AM46" i="1"/>
  <c r="BT46" i="1"/>
  <c r="AN36" i="1"/>
  <c r="BU36" i="1"/>
  <c r="R3" i="4"/>
  <c r="O3" i="4" s="1"/>
  <c r="O13" i="4" s="1"/>
  <c r="P13" i="4" s="1"/>
  <c r="BO14" i="1"/>
  <c r="BQ14" i="1"/>
  <c r="AD14" i="1"/>
  <c r="AA14" i="1"/>
  <c r="AM67" i="1"/>
  <c r="V148" i="1"/>
  <c r="D148" i="1"/>
  <c r="AJ24" i="1"/>
  <c r="G27" i="4" s="1"/>
  <c r="AK69" i="1"/>
  <c r="J148" i="1"/>
  <c r="AM36" i="1"/>
  <c r="AL80" i="1"/>
  <c r="AK24" i="1"/>
  <c r="Z136" i="1"/>
  <c r="Z145" i="1"/>
  <c r="Z131" i="1"/>
  <c r="Z132" i="1"/>
  <c r="Z134" i="1"/>
  <c r="Z130" i="1"/>
  <c r="Z135" i="1"/>
  <c r="Z133" i="1"/>
  <c r="Y148" i="1"/>
  <c r="AN47" i="1"/>
  <c r="AM79" i="1"/>
  <c r="AN79" i="1"/>
  <c r="AM62" i="1"/>
  <c r="AL71" i="1"/>
  <c r="AK43" i="1"/>
  <c r="AN66" i="1"/>
  <c r="AH49" i="1"/>
  <c r="AM43" i="1"/>
  <c r="AN67" i="1"/>
  <c r="AM45" i="1"/>
  <c r="AN44" i="1"/>
  <c r="AM47" i="1"/>
  <c r="Z147" i="1"/>
  <c r="P148" i="1"/>
  <c r="AL42" i="1"/>
  <c r="AM41" i="1"/>
  <c r="G148" i="1"/>
  <c r="H148" i="1"/>
  <c r="AL24" i="1"/>
  <c r="AM44" i="1"/>
  <c r="AN43" i="1"/>
  <c r="AK47" i="1"/>
  <c r="AN45" i="1"/>
  <c r="AN41" i="1"/>
  <c r="Y52" i="1"/>
  <c r="S148" i="1"/>
  <c r="M148" i="1"/>
  <c r="D17" i="4"/>
  <c r="F17" i="4"/>
  <c r="AC86" i="1"/>
  <c r="C31" i="4" s="1"/>
  <c r="E31" i="4" s="1"/>
  <c r="AM12" i="1"/>
  <c r="AC14" i="1"/>
  <c r="C26" i="4" s="1"/>
  <c r="D26" i="4" s="1"/>
  <c r="AN80" i="1"/>
  <c r="Y140" i="1"/>
  <c r="AN78" i="1"/>
  <c r="AN81" i="1"/>
  <c r="M67" i="5"/>
  <c r="M70" i="5"/>
  <c r="M71" i="5"/>
  <c r="Y141" i="1"/>
  <c r="W141" i="1"/>
  <c r="Z142" i="1"/>
  <c r="AJ80" i="1"/>
  <c r="Z146" i="1"/>
  <c r="L70" i="5"/>
  <c r="L67" i="5"/>
  <c r="X148" i="1"/>
  <c r="X140" i="1"/>
  <c r="X141" i="1"/>
  <c r="AD86" i="1"/>
  <c r="AN12" i="1"/>
  <c r="K67" i="5"/>
  <c r="N62" i="5"/>
  <c r="N71" i="5" s="1"/>
  <c r="K70" i="5"/>
  <c r="AJ46" i="1"/>
  <c r="AJ81" i="1"/>
  <c r="W148" i="1"/>
  <c r="W140" i="1"/>
  <c r="H27" i="4"/>
  <c r="D27" i="4"/>
  <c r="C27" i="4"/>
  <c r="E27" i="4" s="1"/>
  <c r="F27" i="4"/>
  <c r="AM51" i="1"/>
  <c r="C29" i="4"/>
  <c r="AJ67" i="1"/>
  <c r="AJ72" i="1"/>
  <c r="AH74" i="1"/>
  <c r="C11" i="6"/>
  <c r="AJ70" i="1"/>
  <c r="AJ12" i="1"/>
  <c r="AM69" i="1"/>
  <c r="AM78" i="1"/>
  <c r="AM80" i="1"/>
  <c r="AM81" i="1"/>
  <c r="AJ84" i="1"/>
  <c r="AH86" i="1"/>
  <c r="AJ42" i="1"/>
  <c r="AJ47" i="1"/>
  <c r="AJ68" i="1"/>
  <c r="AJ82" i="1"/>
  <c r="AL72" i="1"/>
  <c r="AK84" i="1"/>
  <c r="AK46" i="1"/>
  <c r="AJ66" i="1"/>
  <c r="AK71" i="1"/>
  <c r="AK78" i="1"/>
  <c r="AJ43" i="1"/>
  <c r="AJ71" i="1"/>
  <c r="AL70" i="1"/>
  <c r="AL82" i="1"/>
  <c r="AK79" i="1"/>
  <c r="AK68" i="1"/>
  <c r="AL46" i="1"/>
  <c r="AF49" i="1"/>
  <c r="AJ45" i="1"/>
  <c r="AL78" i="1"/>
  <c r="AK44" i="1"/>
  <c r="AF74" i="1"/>
  <c r="AK81" i="1"/>
  <c r="AJ79" i="1"/>
  <c r="AL68" i="1"/>
  <c r="AL43" i="1"/>
  <c r="AJ78" i="1"/>
  <c r="AE86" i="1"/>
  <c r="AJ62" i="1"/>
  <c r="AK67" i="1"/>
  <c r="AK12" i="1"/>
  <c r="AA49" i="1"/>
  <c r="AL47" i="1"/>
  <c r="AK70" i="1"/>
  <c r="AD74" i="1"/>
  <c r="AK72" i="1"/>
  <c r="AK45" i="1"/>
  <c r="AL66" i="1"/>
  <c r="AI49" i="1"/>
  <c r="AC74" i="1"/>
  <c r="C30" i="4" s="1"/>
  <c r="E30" i="4" s="1"/>
  <c r="AK66" i="1"/>
  <c r="AI86" i="1"/>
  <c r="AL84" i="1"/>
  <c r="AL83" i="1"/>
  <c r="AG86" i="1"/>
  <c r="AF86" i="1"/>
  <c r="AB86" i="1"/>
  <c r="AL12" i="1"/>
  <c r="AI74" i="1"/>
  <c r="AA86" i="1"/>
  <c r="AK62" i="1"/>
  <c r="AA74" i="1"/>
  <c r="AL62" i="1"/>
  <c r="AB74" i="1"/>
  <c r="Z74" i="1"/>
  <c r="AC49" i="1"/>
  <c r="BT49" i="1" s="1"/>
  <c r="AD49" i="1"/>
  <c r="BU49" i="1" s="1"/>
  <c r="BS49" i="1"/>
  <c r="G12" i="4" l="1"/>
  <c r="H29" i="4"/>
  <c r="I9" i="4"/>
  <c r="N58" i="5"/>
  <c r="N67" i="5" s="1"/>
  <c r="P3" i="4"/>
  <c r="AJ14" i="1"/>
  <c r="H30" i="4"/>
  <c r="BV74" i="1"/>
  <c r="G10" i="4" s="1"/>
  <c r="AM49" i="1"/>
  <c r="AK74" i="1"/>
  <c r="AK49" i="1"/>
  <c r="AN74" i="1"/>
  <c r="D30" i="4"/>
  <c r="AN49" i="1"/>
  <c r="Y143" i="1"/>
  <c r="AN86" i="1"/>
  <c r="E26" i="4"/>
  <c r="C32" i="4"/>
  <c r="Z141" i="1"/>
  <c r="Z148" i="1"/>
  <c r="X143" i="1"/>
  <c r="W143" i="1"/>
  <c r="Z140" i="1"/>
  <c r="N70" i="5"/>
  <c r="AM74" i="1"/>
  <c r="G162" i="1"/>
  <c r="P4" i="4"/>
  <c r="C9" i="6"/>
  <c r="O4" i="4"/>
  <c r="AM86" i="1"/>
  <c r="D31" i="4"/>
  <c r="E29" i="4"/>
  <c r="D29" i="4"/>
  <c r="F29" i="4"/>
  <c r="AK86" i="1"/>
  <c r="AL86" i="1"/>
  <c r="G26" i="4" l="1"/>
  <c r="AK5" i="5"/>
  <c r="C13" i="6"/>
  <c r="F30" i="4"/>
  <c r="E32" i="4"/>
  <c r="D32" i="4"/>
  <c r="H26" i="4"/>
  <c r="I12" i="4"/>
  <c r="Z143" i="1"/>
  <c r="AJ86" i="1"/>
  <c r="H31" i="4"/>
  <c r="F26" i="4"/>
  <c r="AE31" i="1"/>
  <c r="AJ31" i="1" s="1"/>
  <c r="G36" i="1"/>
  <c r="AE51" i="1" s="1"/>
  <c r="AJ51" i="1" s="1"/>
  <c r="AG31" i="1"/>
  <c r="AG36" i="1" s="1"/>
  <c r="G69" i="1"/>
  <c r="G152" i="1"/>
  <c r="G44" i="1"/>
  <c r="AG44" i="1" s="1"/>
  <c r="AL44" i="1" s="1"/>
  <c r="G31" i="4" l="1"/>
  <c r="I11" i="4"/>
  <c r="H32" i="4"/>
  <c r="G32" i="4"/>
  <c r="C14" i="6"/>
  <c r="F32" i="4"/>
  <c r="B15" i="6"/>
  <c r="F31" i="4"/>
  <c r="C12" i="6"/>
  <c r="AE44" i="1"/>
  <c r="AJ44" i="1" s="1"/>
  <c r="AE69" i="1"/>
  <c r="AJ69" i="1" s="1"/>
  <c r="AE36" i="1"/>
  <c r="AE74" i="1" s="1"/>
  <c r="AJ74" i="1" s="1"/>
  <c r="G51" i="1"/>
  <c r="G74" i="1"/>
  <c r="B13" i="6"/>
  <c r="AL31" i="1"/>
  <c r="AG69" i="1"/>
  <c r="AL69" i="1" s="1"/>
  <c r="G49" i="1"/>
  <c r="AG49" i="1" s="1"/>
  <c r="AL49" i="1" s="1"/>
  <c r="G38" i="1"/>
  <c r="AG51" i="1"/>
  <c r="AL51" i="1" s="1"/>
  <c r="G29" i="4"/>
  <c r="AL36" i="1"/>
  <c r="AG74" i="1"/>
  <c r="AL74" i="1" s="1"/>
  <c r="AE49" i="1" l="1"/>
  <c r="AJ49" i="1" s="1"/>
  <c r="AJ36" i="1"/>
  <c r="G30" i="4"/>
  <c r="C15" i="6" l="1"/>
  <c r="I13" i="4"/>
</calcChain>
</file>

<file path=xl/sharedStrings.xml><?xml version="1.0" encoding="utf-8"?>
<sst xmlns="http://schemas.openxmlformats.org/spreadsheetml/2006/main" count="2734" uniqueCount="233">
  <si>
    <t>APE</t>
  </si>
  <si>
    <t>7-12mth</t>
  </si>
  <si>
    <t>13+mth</t>
  </si>
  <si>
    <t xml:space="preserve">Total </t>
  </si>
  <si>
    <t>MDRT</t>
  </si>
  <si>
    <t>Rookie in month</t>
  </si>
  <si>
    <t>Rookie last month</t>
  </si>
  <si>
    <t>2-3 months</t>
  </si>
  <si>
    <t>4 - 6 mths</t>
  </si>
  <si>
    <t># Manpower</t>
  </si>
  <si>
    <t># Active</t>
  </si>
  <si>
    <t>Activity Ratio</t>
  </si>
  <si>
    <t># Case</t>
  </si>
  <si>
    <t># Case/Active</t>
  </si>
  <si>
    <t>CaseSize</t>
  </si>
  <si>
    <t>Recruit</t>
  </si>
  <si>
    <t>AL</t>
  </si>
  <si>
    <t>AG</t>
  </si>
  <si>
    <t>YTD</t>
  </si>
  <si>
    <t>Q1 '16</t>
  </si>
  <si>
    <t>Q2 '16</t>
  </si>
  <si>
    <t>Q3 '16</t>
  </si>
  <si>
    <t>Q4 '16</t>
  </si>
  <si>
    <t>Q1 '15</t>
  </si>
  <si>
    <t>Q2 '15</t>
  </si>
  <si>
    <t>Q3 '15</t>
  </si>
  <si>
    <t>Q4 '15</t>
  </si>
  <si>
    <t>% YoY</t>
  </si>
  <si>
    <t>Growth</t>
  </si>
  <si>
    <t>% Q1</t>
  </si>
  <si>
    <t>% Q2</t>
  </si>
  <si>
    <t>% Q3</t>
  </si>
  <si>
    <t>% Q4</t>
  </si>
  <si>
    <t>FYP</t>
  </si>
  <si>
    <t>US</t>
  </si>
  <si>
    <t>UM</t>
  </si>
  <si>
    <t>SUM</t>
  </si>
  <si>
    <t>BM</t>
  </si>
  <si>
    <t>SBM</t>
  </si>
  <si>
    <t>QTD</t>
  </si>
  <si>
    <t>On AVG</t>
  </si>
  <si>
    <t xml:space="preserve"> YTD </t>
  </si>
  <si>
    <t>KPIs</t>
  </si>
  <si>
    <t xml:space="preserve"> Actual </t>
  </si>
  <si>
    <t xml:space="preserve"> % Last year </t>
  </si>
  <si>
    <t xml:space="preserve"> % Plan </t>
  </si>
  <si>
    <t># New recruit</t>
  </si>
  <si>
    <t>APE Contribution</t>
  </si>
  <si>
    <t>Mass Agent</t>
  </si>
  <si>
    <t>3 month Rookie</t>
  </si>
  <si>
    <t>MP Mix</t>
  </si>
  <si>
    <t>APE Mix</t>
  </si>
  <si>
    <t>Case size</t>
  </si>
  <si>
    <t>Case/ Active</t>
  </si>
  <si>
    <t>APE/ MP</t>
  </si>
  <si>
    <t>% Active</t>
  </si>
  <si>
    <t>North</t>
  </si>
  <si>
    <t>South</t>
  </si>
  <si>
    <t>% APE</t>
  </si>
  <si>
    <t>MP</t>
  </si>
  <si>
    <t>APE 2016</t>
  </si>
  <si>
    <t>GVL</t>
  </si>
  <si>
    <t>Contribution</t>
  </si>
  <si>
    <t>SP 100%</t>
  </si>
  <si>
    <t>APE/ Active</t>
  </si>
  <si>
    <t>P Y1</t>
  </si>
  <si>
    <t>P Y2</t>
  </si>
  <si>
    <t>P</t>
  </si>
  <si>
    <t xml:space="preserve">Growth Targets </t>
  </si>
  <si>
    <t>2015A</t>
  </si>
  <si>
    <t>2016A</t>
  </si>
  <si>
    <t>2016F</t>
  </si>
  <si>
    <t>2017P</t>
  </si>
  <si>
    <t>2018P</t>
  </si>
  <si>
    <t>2019P</t>
  </si>
  <si>
    <t>2020P</t>
  </si>
  <si>
    <t>CAGR 2016F-2020P</t>
  </si>
  <si>
    <t>(Sept 16)</t>
  </si>
  <si>
    <t>APE (L$)</t>
  </si>
  <si>
    <t>Manpower</t>
  </si>
  <si>
    <t>Active Ratio (%)</t>
  </si>
  <si>
    <t>Case Size</t>
  </si>
  <si>
    <t>Case/Active Agent</t>
  </si>
  <si>
    <t>Retention Ratio (12 m)</t>
  </si>
  <si>
    <t>Retention Ratio (13-24m)</t>
  </si>
  <si>
    <t>Persistency (13m)</t>
  </si>
  <si>
    <t>Persistency (25m)</t>
  </si>
  <si>
    <t>APE/Agent</t>
  </si>
  <si>
    <t>APE/Active Agent</t>
  </si>
  <si>
    <t>Actual</t>
  </si>
  <si>
    <t>LY%</t>
  </si>
  <si>
    <t>Plan%</t>
  </si>
  <si>
    <t>Ending MP</t>
  </si>
  <si>
    <t>New recruits</t>
  </si>
  <si>
    <t>Activity ratio</t>
  </si>
  <si>
    <t>YTD Q3</t>
  </si>
  <si>
    <t>Q3</t>
  </si>
  <si>
    <t xml:space="preserve">Case size </t>
  </si>
  <si>
    <t>APE/ Manpower</t>
  </si>
  <si>
    <t xml:space="preserve">APE/ Agent </t>
  </si>
  <si>
    <t>2016 Actual</t>
  </si>
  <si>
    <t>Oct '16</t>
  </si>
  <si>
    <t>Agency</t>
  </si>
  <si>
    <t>PD</t>
  </si>
  <si>
    <t>Banc</t>
  </si>
  <si>
    <t>TCA</t>
  </si>
  <si>
    <t>Group</t>
  </si>
  <si>
    <t>Source</t>
  </si>
  <si>
    <t>DA, incl TP</t>
  </si>
  <si>
    <t>DA</t>
  </si>
  <si>
    <t>Actuary</t>
  </si>
  <si>
    <t>Group Ind Retail</t>
  </si>
  <si>
    <t>Agcy Recruit</t>
  </si>
  <si>
    <t>TCB</t>
  </si>
  <si>
    <t>EIB</t>
  </si>
  <si>
    <t>Growth vs LM</t>
  </si>
  <si>
    <t>YTD Growth vs LY</t>
  </si>
  <si>
    <t>Oct Growth vs LY</t>
  </si>
  <si>
    <t>PD highlight</t>
  </si>
  <si>
    <t>GVL APE (bn)</t>
  </si>
  <si>
    <t>Value</t>
  </si>
  <si>
    <t>RYP</t>
  </si>
  <si>
    <t>FY</t>
  </si>
  <si>
    <t>Q1 '17</t>
  </si>
  <si>
    <t>Q2 '17</t>
  </si>
  <si>
    <t>Q3 '17</t>
  </si>
  <si>
    <t>Q4 '17</t>
  </si>
  <si>
    <t>Q1</t>
  </si>
  <si>
    <t>Q2</t>
  </si>
  <si>
    <t>Q4</t>
  </si>
  <si>
    <t>YoY</t>
  </si>
  <si>
    <t>Growth 2016 vs 2015</t>
  </si>
  <si>
    <t>MoM vs 2016</t>
  </si>
  <si>
    <t>QoQ vs 2016</t>
  </si>
  <si>
    <t>2017 (QTD, YTD)</t>
  </si>
  <si>
    <t>2017 Monthly</t>
  </si>
  <si>
    <t>SA</t>
  </si>
  <si>
    <t>Total (excl. SA)</t>
  </si>
  <si>
    <t>YTD /16</t>
  </si>
  <si>
    <t>Dummy</t>
  </si>
  <si>
    <t>Total (incl Dummy)</t>
  </si>
  <si>
    <t>Ending Manpower (*)</t>
  </si>
  <si>
    <t>(*) Excl. Servicing agent</t>
  </si>
  <si>
    <t>N:Y</t>
  </si>
  <si>
    <t>APE 2017</t>
  </si>
  <si>
    <t>Growth vs 2016</t>
  </si>
  <si>
    <t>North growth vs '16</t>
  </si>
  <si>
    <t>South growth vs '16</t>
  </si>
  <si>
    <t>GVL growth vs '16</t>
  </si>
  <si>
    <t>2017 Plan</t>
  </si>
  <si>
    <t>2017 Actual</t>
  </si>
  <si>
    <t>NORTH</t>
  </si>
  <si>
    <t>SOUTH</t>
  </si>
  <si>
    <t>APE Growth</t>
  </si>
  <si>
    <t># Agent</t>
  </si>
  <si>
    <t># New recruits</t>
  </si>
  <si>
    <t>Case/Active</t>
  </si>
  <si>
    <t>MDRT/ GEN Lion (from Apr '17)</t>
  </si>
  <si>
    <t>kpi</t>
  </si>
  <si>
    <t># Active_by_rookie_mdrt:Total</t>
  </si>
  <si>
    <t># Manpower_by_designation:Total</t>
  </si>
  <si>
    <t>YTD16</t>
  </si>
  <si>
    <t>YTD15</t>
  </si>
  <si>
    <t>YoY16</t>
  </si>
  <si>
    <t>QoQ1-16</t>
  </si>
  <si>
    <t>QoQ2-16</t>
  </si>
  <si>
    <t>QoQ3-16</t>
  </si>
  <si>
    <t>QoQ4-16</t>
  </si>
  <si>
    <t>YTD17</t>
  </si>
  <si>
    <t>MoM-Jan-17</t>
  </si>
  <si>
    <t>MoM-Feb-17</t>
  </si>
  <si>
    <t>MoM-Mar-17</t>
  </si>
  <si>
    <t>MoM-Apr-17</t>
  </si>
  <si>
    <t>MoM-May-17</t>
  </si>
  <si>
    <t>MoM-Jun-17</t>
  </si>
  <si>
    <t>MoM-Jul-17</t>
  </si>
  <si>
    <t>MoM-Aug-17</t>
  </si>
  <si>
    <t>MoM-Sep-17</t>
  </si>
  <si>
    <t>MoM-Oct-17</t>
  </si>
  <si>
    <t>MoM-Nov-17</t>
  </si>
  <si>
    <t>MoM-Dec-17</t>
  </si>
  <si>
    <t>QoQ1-17</t>
  </si>
  <si>
    <t>QoQ2-17</t>
  </si>
  <si>
    <t>QoQ3-17</t>
  </si>
  <si>
    <t>QoQ4-17</t>
  </si>
  <si>
    <t>YoY17</t>
  </si>
  <si>
    <t>Total</t>
  </si>
  <si>
    <t/>
  </si>
  <si>
    <t>0</t>
  </si>
  <si>
    <t># New GA</t>
  </si>
  <si>
    <t># Total GA</t>
  </si>
  <si>
    <t>Recruitment</t>
  </si>
  <si>
    <t># Beginning AL</t>
  </si>
  <si>
    <t># New recruited AL</t>
  </si>
  <si>
    <t># Promoted AL</t>
  </si>
  <si>
    <t># Demoted AL</t>
  </si>
  <si>
    <t># Ending AL</t>
  </si>
  <si>
    <t>% Active AL</t>
  </si>
  <si>
    <t># Active AL</t>
  </si>
  <si>
    <t># Recruit/Active Leader</t>
  </si>
  <si>
    <t># New Rookie</t>
  </si>
  <si>
    <t>Promotion Ratio</t>
  </si>
  <si>
    <t>Demotion Ratio</t>
  </si>
  <si>
    <t># Beginning MP</t>
  </si>
  <si>
    <t># Terminated Manpower</t>
  </si>
  <si>
    <t>Termination Ratio</t>
  </si>
  <si>
    <t>APE/Active</t>
  </si>
  <si>
    <t>APE/Manpower</t>
  </si>
  <si>
    <t>Year</t>
  </si>
  <si>
    <t xml:space="preserve"> Begining MP</t>
  </si>
  <si>
    <t>AL Recruited</t>
  </si>
  <si>
    <t>AG recruited</t>
  </si>
  <si>
    <t>#New recruit/
Active AL</t>
  </si>
  <si>
    <t>Total New Rookies</t>
  </si>
  <si>
    <t># Terminated 
Manpower</t>
  </si>
  <si>
    <t>% Termination Ratio</t>
  </si>
  <si>
    <t>Ending AL</t>
  </si>
  <si>
    <t>Active 
Agents</t>
  </si>
  <si>
    <t>Case/
active agent</t>
  </si>
  <si>
    <t>No. of
cases</t>
  </si>
  <si>
    <t>APE/
Manpower</t>
  </si>
  <si>
    <t>Total/Avg/
Ending</t>
  </si>
  <si>
    <t>YTD /15</t>
  </si>
  <si>
    <t>Recruit_by_designation:AG</t>
  </si>
  <si>
    <t>Recruit_AL</t>
  </si>
  <si>
    <t>APE_total_mdrt_rookie_10%sp</t>
  </si>
  <si>
    <t>APE_total_mdrt_rookie_sa_10%sp</t>
  </si>
  <si>
    <t>Case_total_mdrt_rookie</t>
  </si>
  <si>
    <t># Manpower_by_designation:US+UM+SUM+BM+SBM</t>
  </si>
  <si>
    <t>APE_total_GENLION_rookie_10%sp</t>
  </si>
  <si>
    <t>Ending Manpower</t>
  </si>
  <si>
    <t>Activity Ratio (*)</t>
  </si>
  <si>
    <t>Total Exl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</si>
</sst>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(* #,##0_);_(* \(#,##0\);_(* &quot;-&quot;_);_(@_)"/>
    <numFmt numFmtId="43" formatCode="_(* #,##0.00_);_(* \(#,##0.00\);_(* &quot;-&quot;??_);_(@_)"/>
    <numFmt numFmtId="164" formatCode="#,##0.0"/>
    <numFmt numFmtId="165" formatCode="0.0"/>
    <numFmt numFmtId="166" formatCode="_(* #,##0.0_);_(* \(#,##0.0\);_(* &quot;-&quot;??_);_(@_)"/>
    <numFmt numFmtId="167" formatCode="_(* #,##0_);_(* \(#,##0\);_(* &quot;-&quot;??_);_(@_)"/>
    <numFmt numFmtId="168" formatCode="#,##0.000"/>
    <numFmt numFmtId="169" formatCode="#,##0.0000000000"/>
    <numFmt numFmtId="170" formatCode="0.0%"/>
    <numFmt numFmtId="171" formatCode="0.00000"/>
    <numFmt numFmtId="172" formatCode="mmm"/>
    <numFmt numFmtId="173" formatCode="_(* #,##0.0_);_(* \(#,##0.0\);_(* &quot;-&quot;?_);_(@_)"/>
    <numFmt numFmtId="174" formatCode="_-[$€]* #,##0.00_-;\-[$€]* #,##0.00_-;_-[$€]* &quot;-&quot;??_-;_-@_-"/>
    <numFmt numFmtId="175" formatCode="0.000000000000000%"/>
    <numFmt numFmtId="176" formatCode="#,##0;\-#,##0;&quot;-&quot;"/>
    <numFmt numFmtId="177" formatCode="0%;\-0%;&quot;-&quot;"/>
    <numFmt numFmtId="178" formatCode="#,##0.0000"/>
    <numFmt numFmtId="179" formatCode="[$-409]mmm\-yy;@"/>
    <numFmt numFmtId="180" formatCode="mmm\'\ 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sz val="14"/>
      <color rgb="FFFFFFFF"/>
      <name val="Arial"/>
      <family val="2"/>
    </font>
    <font>
      <sz val="14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i/>
      <sz val="9"/>
      <color rgb="FF000000"/>
      <name val="Arial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name val="Arial"/>
      <family val="2"/>
    </font>
    <font>
      <b/>
      <sz val="14"/>
      <color rgb="FFC00000"/>
      <name val="Arial Unicode MS"/>
      <family val="2"/>
    </font>
    <font>
      <sz val="14"/>
      <color rgb="FF000000"/>
      <name val="Arial Unicode MS"/>
      <family val="2"/>
    </font>
    <font>
      <b/>
      <sz val="14"/>
      <color rgb="FF000000"/>
      <name val="Arial Unicode MS"/>
      <family val="2"/>
    </font>
    <font>
      <b/>
      <sz val="14"/>
      <color rgb="FF990000"/>
      <name val="Arial Unicode MS"/>
      <family val="2"/>
    </font>
    <font>
      <sz val="14"/>
      <name val="Arial Unicode MS"/>
      <family val="2"/>
    </font>
    <font>
      <sz val="14"/>
      <color theme="1"/>
      <name val="Arial Unicode MS"/>
      <family val="2"/>
    </font>
    <font>
      <sz val="2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b/>
      <sz val="12"/>
      <color theme="0"/>
      <name val="Calibri"/>
      <family val="2"/>
      <charset val="163"/>
      <scheme val="minor"/>
    </font>
    <font>
      <b/>
      <sz val="12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sz val="11"/>
      <color theme="1"/>
      <name val="Calibri"/>
      <family val="2"/>
      <charset val="163"/>
      <scheme val="minor"/>
    </font>
    <font>
      <b/>
      <sz val="10"/>
      <color rgb="FFFF0000"/>
      <name val="Arial"/>
      <family val="2"/>
      <charset val="163"/>
    </font>
    <font>
      <b/>
      <sz val="10"/>
      <name val="Arial"/>
      <family val="2"/>
      <charset val="163"/>
    </font>
    <font>
      <i/>
      <sz val="11"/>
      <color theme="1"/>
      <name val="Calibri"/>
      <family val="2"/>
      <charset val="163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D0C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CEDED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 tint="0.499984740745262"/>
      </bottom>
      <diagonal/>
    </border>
    <border>
      <left style="thin">
        <color rgb="FF000000"/>
      </left>
      <right style="thin">
        <color rgb="FF000000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000000"/>
      </left>
      <right style="thin">
        <color rgb="FF000000"/>
      </right>
      <top style="thin">
        <color theme="1" tint="0.499984740745262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theme="1" tint="0.499984740745262"/>
      </bottom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4" fontId="13" fillId="0" borderId="0"/>
    <xf numFmtId="0" fontId="18" fillId="0" borderId="0"/>
    <xf numFmtId="0" fontId="1" fillId="13" borderId="0" applyNumberFormat="0" applyBorder="0" applyAlignment="0" applyProtection="0"/>
    <xf numFmtId="0" fontId="13" fillId="0" borderId="0"/>
    <xf numFmtId="0" fontId="2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25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17" fontId="2" fillId="2" borderId="1" xfId="0" applyNumberFormat="1" applyFont="1" applyFill="1" applyBorder="1"/>
    <xf numFmtId="164" fontId="0" fillId="0" borderId="0" xfId="0" applyNumberFormat="1"/>
    <xf numFmtId="164" fontId="2" fillId="0" borderId="0" xfId="0" applyNumberFormat="1" applyFont="1"/>
    <xf numFmtId="3" fontId="0" fillId="0" borderId="0" xfId="0" applyNumberFormat="1"/>
    <xf numFmtId="3" fontId="2" fillId="0" borderId="0" xfId="0" applyNumberFormat="1" applyFont="1"/>
    <xf numFmtId="9" fontId="0" fillId="0" borderId="0" xfId="0" applyNumberFormat="1"/>
    <xf numFmtId="9" fontId="2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166" fontId="0" fillId="0" borderId="0" xfId="1" applyNumberFormat="1" applyFont="1"/>
    <xf numFmtId="166" fontId="2" fillId="0" borderId="0" xfId="1" applyNumberFormat="1" applyFont="1"/>
    <xf numFmtId="167" fontId="0" fillId="0" borderId="0" xfId="1" applyNumberFormat="1" applyFont="1"/>
    <xf numFmtId="167" fontId="2" fillId="0" borderId="0" xfId="1" applyNumberFormat="1" applyFont="1"/>
    <xf numFmtId="9" fontId="4" fillId="0" borderId="2" xfId="2" applyNumberFormat="1" applyFont="1" applyFill="1" applyBorder="1"/>
    <xf numFmtId="0" fontId="2" fillId="0" borderId="0" xfId="0" applyFont="1" applyFill="1" applyBorder="1"/>
    <xf numFmtId="0" fontId="0" fillId="0" borderId="0" xfId="0" applyFill="1" applyBorder="1"/>
    <xf numFmtId="4" fontId="2" fillId="0" borderId="0" xfId="0" applyNumberFormat="1" applyFont="1" applyFill="1" applyBorder="1"/>
    <xf numFmtId="4" fontId="0" fillId="0" borderId="0" xfId="0" applyNumberFormat="1" applyFill="1" applyBorder="1"/>
    <xf numFmtId="164" fontId="0" fillId="0" borderId="0" xfId="0" applyNumberFormat="1" applyFill="1" applyBorder="1"/>
    <xf numFmtId="3" fontId="0" fillId="0" borderId="0" xfId="0" applyNumberFormat="1" applyFill="1" applyBorder="1"/>
    <xf numFmtId="164" fontId="2" fillId="0" borderId="0" xfId="1" applyNumberFormat="1" applyFont="1"/>
    <xf numFmtId="0" fontId="5" fillId="0" borderId="0" xfId="0" applyFont="1" applyProtection="1">
      <protection hidden="1"/>
    </xf>
    <xf numFmtId="168" fontId="0" fillId="0" borderId="0" xfId="0" applyNumberFormat="1" applyFill="1" applyBorder="1"/>
    <xf numFmtId="17" fontId="2" fillId="3" borderId="1" xfId="0" applyNumberFormat="1" applyFont="1" applyFill="1" applyBorder="1" applyAlignment="1">
      <alignment horizontal="center"/>
    </xf>
    <xf numFmtId="3" fontId="2" fillId="0" borderId="0" xfId="0" applyNumberFormat="1" applyFont="1" applyFill="1" applyBorder="1"/>
    <xf numFmtId="9" fontId="6" fillId="0" borderId="0" xfId="0" applyNumberFormat="1" applyFont="1"/>
    <xf numFmtId="17" fontId="2" fillId="4" borderId="1" xfId="0" applyNumberFormat="1" applyFont="1" applyFill="1" applyBorder="1" applyAlignment="1">
      <alignment horizontal="center"/>
    </xf>
    <xf numFmtId="17" fontId="2" fillId="6" borderId="1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9" fontId="6" fillId="0" borderId="0" xfId="0" applyNumberFormat="1" applyFont="1" applyFill="1" applyBorder="1"/>
    <xf numFmtId="4" fontId="0" fillId="0" borderId="0" xfId="0" applyNumberFormat="1"/>
    <xf numFmtId="3" fontId="2" fillId="5" borderId="0" xfId="0" applyNumberFormat="1" applyFont="1" applyFill="1"/>
    <xf numFmtId="9" fontId="0" fillId="0" borderId="0" xfId="2" applyFont="1"/>
    <xf numFmtId="0" fontId="6" fillId="0" borderId="0" xfId="0" applyFont="1"/>
    <xf numFmtId="0" fontId="6" fillId="0" borderId="0" xfId="0" applyFont="1" applyFill="1" applyBorder="1"/>
    <xf numFmtId="169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7" fillId="0" borderId="3" xfId="0" applyFont="1" applyBorder="1" applyAlignment="1">
      <alignment vertical="center" wrapText="1"/>
    </xf>
    <xf numFmtId="0" fontId="9" fillId="0" borderId="8" xfId="0" applyFont="1" applyBorder="1" applyAlignment="1">
      <alignment horizontal="left" vertical="center" wrapText="1" indent="1" readingOrder="1"/>
    </xf>
    <xf numFmtId="3" fontId="9" fillId="0" borderId="8" xfId="0" applyNumberFormat="1" applyFont="1" applyBorder="1" applyAlignment="1">
      <alignment horizontal="right" vertical="center" wrapText="1" indent="1" readingOrder="1"/>
    </xf>
    <xf numFmtId="0" fontId="9" fillId="0" borderId="9" xfId="0" applyFont="1" applyBorder="1" applyAlignment="1">
      <alignment horizontal="left" vertical="center" wrapText="1" indent="1" readingOrder="1"/>
    </xf>
    <xf numFmtId="3" fontId="9" fillId="0" borderId="9" xfId="0" applyNumberFormat="1" applyFont="1" applyBorder="1" applyAlignment="1">
      <alignment horizontal="right" vertical="center" wrapText="1" indent="1" readingOrder="1"/>
    </xf>
    <xf numFmtId="9" fontId="9" fillId="0" borderId="9" xfId="0" applyNumberFormat="1" applyFont="1" applyBorder="1" applyAlignment="1">
      <alignment horizontal="right" vertical="center" wrapText="1" indent="1" readingOrder="1"/>
    </xf>
    <xf numFmtId="0" fontId="9" fillId="0" borderId="10" xfId="0" applyFont="1" applyBorder="1" applyAlignment="1">
      <alignment horizontal="left" vertical="center" wrapText="1" indent="1" readingOrder="1"/>
    </xf>
    <xf numFmtId="165" fontId="9" fillId="0" borderId="9" xfId="0" applyNumberFormat="1" applyFont="1" applyBorder="1" applyAlignment="1">
      <alignment horizontal="right" vertical="center" wrapText="1" indent="1" readingOrder="1"/>
    </xf>
    <xf numFmtId="165" fontId="9" fillId="0" borderId="10" xfId="0" applyNumberFormat="1" applyFont="1" applyBorder="1" applyAlignment="1">
      <alignment horizontal="right" vertical="center" wrapText="1" indent="1" readingOrder="1"/>
    </xf>
    <xf numFmtId="0" fontId="8" fillId="8" borderId="4" xfId="0" applyFont="1" applyFill="1" applyBorder="1" applyAlignment="1">
      <alignment horizontal="center" vertical="center" wrapText="1" readingOrder="1"/>
    </xf>
    <xf numFmtId="9" fontId="9" fillId="5" borderId="8" xfId="0" applyNumberFormat="1" applyFont="1" applyFill="1" applyBorder="1" applyAlignment="1">
      <alignment horizontal="right" vertical="center" wrapText="1" indent="1" readingOrder="1"/>
    </xf>
    <xf numFmtId="9" fontId="10" fillId="5" borderId="8" xfId="0" applyNumberFormat="1" applyFont="1" applyFill="1" applyBorder="1" applyAlignment="1">
      <alignment horizontal="right" vertical="center" wrapText="1" indent="1" readingOrder="1"/>
    </xf>
    <xf numFmtId="3" fontId="9" fillId="5" borderId="8" xfId="0" applyNumberFormat="1" applyFont="1" applyFill="1" applyBorder="1" applyAlignment="1">
      <alignment horizontal="right" vertical="center" wrapText="1" indent="1" readingOrder="1"/>
    </xf>
    <xf numFmtId="9" fontId="9" fillId="5" borderId="9" xfId="0" applyNumberFormat="1" applyFont="1" applyFill="1" applyBorder="1" applyAlignment="1">
      <alignment horizontal="right" vertical="center" wrapText="1" indent="1" readingOrder="1"/>
    </xf>
    <xf numFmtId="3" fontId="9" fillId="5" borderId="9" xfId="0" applyNumberFormat="1" applyFont="1" applyFill="1" applyBorder="1" applyAlignment="1">
      <alignment horizontal="right" vertical="center" wrapText="1" indent="1" readingOrder="1"/>
    </xf>
    <xf numFmtId="9" fontId="10" fillId="5" borderId="9" xfId="0" applyNumberFormat="1" applyFont="1" applyFill="1" applyBorder="1" applyAlignment="1">
      <alignment horizontal="right" vertical="center" wrapText="1" indent="1" readingOrder="1"/>
    </xf>
    <xf numFmtId="165" fontId="9" fillId="5" borderId="9" xfId="0" applyNumberFormat="1" applyFont="1" applyFill="1" applyBorder="1" applyAlignment="1">
      <alignment horizontal="right" vertical="center" wrapText="1" indent="1" readingOrder="1"/>
    </xf>
    <xf numFmtId="9" fontId="10" fillId="5" borderId="10" xfId="0" applyNumberFormat="1" applyFont="1" applyFill="1" applyBorder="1" applyAlignment="1">
      <alignment horizontal="right" vertical="center" wrapText="1" indent="1" readingOrder="1"/>
    </xf>
    <xf numFmtId="165" fontId="9" fillId="5" borderId="10" xfId="0" applyNumberFormat="1" applyFont="1" applyFill="1" applyBorder="1" applyAlignment="1">
      <alignment horizontal="right" vertical="center" wrapText="1" indent="1" readingOrder="1"/>
    </xf>
    <xf numFmtId="9" fontId="11" fillId="5" borderId="9" xfId="0" applyNumberFormat="1" applyFont="1" applyFill="1" applyBorder="1" applyAlignment="1">
      <alignment horizontal="right" vertical="center" wrapText="1" indent="1" readingOrder="1"/>
    </xf>
    <xf numFmtId="9" fontId="11" fillId="5" borderId="10" xfId="0" applyNumberFormat="1" applyFont="1" applyFill="1" applyBorder="1" applyAlignment="1">
      <alignment horizontal="right" vertical="center" wrapText="1" indent="1" readingOrder="1"/>
    </xf>
    <xf numFmtId="170" fontId="10" fillId="5" borderId="9" xfId="0" applyNumberFormat="1" applyFont="1" applyFill="1" applyBorder="1" applyAlignment="1">
      <alignment horizontal="right" vertical="center" wrapText="1" indent="1" readingOrder="1"/>
    </xf>
    <xf numFmtId="0" fontId="0" fillId="7" borderId="0" xfId="0" applyFont="1" applyFill="1"/>
    <xf numFmtId="0" fontId="6" fillId="9" borderId="0" xfId="0" applyFont="1" applyFill="1" applyBorder="1"/>
    <xf numFmtId="171" fontId="0" fillId="0" borderId="0" xfId="0" applyNumberFormat="1"/>
    <xf numFmtId="167" fontId="0" fillId="0" borderId="0" xfId="0" applyNumberFormat="1"/>
    <xf numFmtId="3" fontId="0" fillId="0" borderId="0" xfId="1" applyNumberFormat="1" applyFont="1"/>
    <xf numFmtId="172" fontId="2" fillId="2" borderId="1" xfId="0" applyNumberFormat="1" applyFont="1" applyFill="1" applyBorder="1"/>
    <xf numFmtId="0" fontId="0" fillId="4" borderId="0" xfId="0" applyFill="1"/>
    <xf numFmtId="3" fontId="0" fillId="4" borderId="0" xfId="0" applyNumberFormat="1" applyFill="1"/>
    <xf numFmtId="3" fontId="0" fillId="4" borderId="0" xfId="0" applyNumberFormat="1" applyFill="1" applyBorder="1"/>
    <xf numFmtId="0" fontId="0" fillId="7" borderId="0" xfId="0" applyFill="1"/>
    <xf numFmtId="174" fontId="13" fillId="0" borderId="0" xfId="3"/>
    <xf numFmtId="174" fontId="14" fillId="0" borderId="11" xfId="3" applyFont="1" applyBorder="1" applyAlignment="1">
      <alignment horizontal="left" vertical="center" wrapText="1" readingOrder="1"/>
    </xf>
    <xf numFmtId="174" fontId="16" fillId="8" borderId="14" xfId="3" applyFont="1" applyFill="1" applyBorder="1" applyAlignment="1">
      <alignment horizontal="center" vertical="center" wrapText="1" readingOrder="1"/>
    </xf>
    <xf numFmtId="174" fontId="16" fillId="8" borderId="15" xfId="3" applyFont="1" applyFill="1" applyBorder="1" applyAlignment="1">
      <alignment horizontal="center" vertical="center" wrapText="1" readingOrder="1"/>
    </xf>
    <xf numFmtId="174" fontId="17" fillId="10" borderId="16" xfId="3" applyFont="1" applyFill="1" applyBorder="1" applyAlignment="1">
      <alignment horizontal="right" vertical="center" wrapText="1"/>
    </xf>
    <xf numFmtId="174" fontId="17" fillId="11" borderId="16" xfId="3" applyFont="1" applyFill="1" applyBorder="1" applyAlignment="1">
      <alignment horizontal="right" vertical="center" wrapText="1"/>
    </xf>
    <xf numFmtId="174" fontId="17" fillId="12" borderId="16" xfId="3" applyFont="1" applyFill="1" applyBorder="1" applyAlignment="1">
      <alignment horizontal="right" vertical="center" wrapText="1"/>
    </xf>
    <xf numFmtId="9" fontId="17" fillId="10" borderId="16" xfId="3" applyNumberFormat="1" applyFont="1" applyFill="1" applyBorder="1" applyAlignment="1">
      <alignment horizontal="center" vertical="center" wrapText="1"/>
    </xf>
    <xf numFmtId="9" fontId="17" fillId="11" borderId="16" xfId="3" applyNumberFormat="1" applyFont="1" applyFill="1" applyBorder="1" applyAlignment="1">
      <alignment horizontal="center" vertical="center" wrapText="1"/>
    </xf>
    <xf numFmtId="174" fontId="14" fillId="10" borderId="16" xfId="3" applyFont="1" applyFill="1" applyBorder="1" applyAlignment="1">
      <alignment horizontal="left" vertical="center" wrapText="1" indent="1" readingOrder="1"/>
    </xf>
    <xf numFmtId="174" fontId="14" fillId="11" borderId="16" xfId="3" applyFont="1" applyFill="1" applyBorder="1" applyAlignment="1">
      <alignment horizontal="left" vertical="center" wrapText="1" indent="1" readingOrder="1"/>
    </xf>
    <xf numFmtId="174" fontId="14" fillId="12" borderId="16" xfId="3" applyFont="1" applyFill="1" applyBorder="1" applyAlignment="1">
      <alignment horizontal="left" vertical="center" wrapText="1" indent="1" readingOrder="1"/>
    </xf>
    <xf numFmtId="41" fontId="17" fillId="10" borderId="16" xfId="3" applyNumberFormat="1" applyFont="1" applyFill="1" applyBorder="1" applyAlignment="1">
      <alignment horizontal="right" vertical="center" wrapText="1" indent="1"/>
    </xf>
    <xf numFmtId="41" fontId="17" fillId="11" borderId="16" xfId="3" applyNumberFormat="1" applyFont="1" applyFill="1" applyBorder="1" applyAlignment="1">
      <alignment horizontal="right" vertical="center" wrapText="1" indent="1"/>
    </xf>
    <xf numFmtId="9" fontId="17" fillId="10" borderId="16" xfId="3" applyNumberFormat="1" applyFont="1" applyFill="1" applyBorder="1" applyAlignment="1">
      <alignment horizontal="right" vertical="center" wrapText="1" indent="1"/>
    </xf>
    <xf numFmtId="173" fontId="17" fillId="11" borderId="16" xfId="3" applyNumberFormat="1" applyFont="1" applyFill="1" applyBorder="1" applyAlignment="1">
      <alignment horizontal="right" vertical="center" wrapText="1" indent="1"/>
    </xf>
    <xf numFmtId="173" fontId="17" fillId="10" borderId="16" xfId="3" applyNumberFormat="1" applyFont="1" applyFill="1" applyBorder="1" applyAlignment="1">
      <alignment horizontal="right" vertical="center" wrapText="1" indent="1"/>
    </xf>
    <xf numFmtId="174" fontId="17" fillId="11" borderId="16" xfId="3" applyFont="1" applyFill="1" applyBorder="1" applyAlignment="1">
      <alignment horizontal="right" vertical="center" wrapText="1" indent="1"/>
    </xf>
    <xf numFmtId="174" fontId="17" fillId="10" borderId="16" xfId="3" applyFont="1" applyFill="1" applyBorder="1" applyAlignment="1">
      <alignment horizontal="right" vertical="center" wrapText="1" indent="1"/>
    </xf>
    <xf numFmtId="174" fontId="17" fillId="12" borderId="16" xfId="3" applyFont="1" applyFill="1" applyBorder="1" applyAlignment="1">
      <alignment horizontal="right" vertical="center" wrapText="1" indent="1"/>
    </xf>
    <xf numFmtId="165" fontId="4" fillId="0" borderId="0" xfId="4" applyNumberFormat="1" applyFont="1"/>
    <xf numFmtId="0" fontId="1" fillId="13" borderId="0" xfId="5"/>
    <xf numFmtId="165" fontId="1" fillId="13" borderId="0" xfId="5" applyNumberFormat="1"/>
    <xf numFmtId="9" fontId="1" fillId="13" borderId="0" xfId="5" applyNumberFormat="1"/>
    <xf numFmtId="3" fontId="1" fillId="13" borderId="0" xfId="5" applyNumberFormat="1"/>
    <xf numFmtId="9" fontId="1" fillId="15" borderId="0" xfId="5" applyNumberFormat="1" applyFill="1"/>
    <xf numFmtId="1" fontId="1" fillId="13" borderId="0" xfId="5" applyNumberFormat="1"/>
    <xf numFmtId="9" fontId="0" fillId="15" borderId="0" xfId="0" applyNumberFormat="1" applyFill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5" borderId="0" xfId="0" applyFont="1" applyFill="1" applyAlignment="1">
      <alignment horizontal="center"/>
    </xf>
    <xf numFmtId="0" fontId="6" fillId="0" borderId="1" xfId="0" applyFont="1" applyBorder="1" applyAlignment="1">
      <alignment horizontal="left"/>
    </xf>
    <xf numFmtId="175" fontId="0" fillId="0" borderId="0" xfId="0" applyNumberFormat="1"/>
    <xf numFmtId="0" fontId="9" fillId="0" borderId="0" xfId="0" applyFont="1" applyFill="1" applyBorder="1" applyAlignment="1">
      <alignment horizontal="left" vertical="center" wrapText="1" indent="1" readingOrder="1"/>
    </xf>
    <xf numFmtId="3" fontId="2" fillId="0" borderId="0" xfId="1" applyNumberFormat="1" applyFont="1"/>
    <xf numFmtId="9" fontId="11" fillId="5" borderId="8" xfId="0" applyNumberFormat="1" applyFont="1" applyFill="1" applyBorder="1" applyAlignment="1">
      <alignment horizontal="right" vertical="center" wrapText="1" indent="1" readingOrder="1"/>
    </xf>
    <xf numFmtId="17" fontId="2" fillId="3" borderId="1" xfId="0" applyNumberFormat="1" applyFont="1" applyFill="1" applyBorder="1"/>
    <xf numFmtId="0" fontId="12" fillId="5" borderId="0" xfId="0" applyFont="1" applyFill="1"/>
    <xf numFmtId="176" fontId="0" fillId="0" borderId="0" xfId="0" applyNumberFormat="1" applyFill="1" applyBorder="1"/>
    <xf numFmtId="177" fontId="0" fillId="0" borderId="0" xfId="0" applyNumberFormat="1" applyFill="1" applyBorder="1"/>
    <xf numFmtId="0" fontId="2" fillId="14" borderId="0" xfId="0" applyFont="1" applyFill="1" applyBorder="1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3" fontId="6" fillId="0" borderId="0" xfId="0" applyNumberFormat="1" applyFont="1" applyFill="1" applyBorder="1"/>
    <xf numFmtId="176" fontId="6" fillId="0" borderId="0" xfId="0" applyNumberFormat="1" applyFont="1" applyFill="1" applyBorder="1"/>
    <xf numFmtId="176" fontId="6" fillId="0" borderId="0" xfId="0" applyNumberFormat="1" applyFont="1"/>
    <xf numFmtId="177" fontId="6" fillId="0" borderId="0" xfId="0" applyNumberFormat="1" applyFont="1" applyFill="1" applyBorder="1"/>
    <xf numFmtId="3" fontId="6" fillId="0" borderId="0" xfId="0" applyNumberFormat="1" applyFont="1"/>
    <xf numFmtId="0" fontId="6" fillId="14" borderId="0" xfId="0" applyFont="1" applyFill="1" applyBorder="1" applyAlignment="1">
      <alignment horizontal="center"/>
    </xf>
    <xf numFmtId="17" fontId="2" fillId="3" borderId="18" xfId="0" applyNumberFormat="1" applyFont="1" applyFill="1" applyBorder="1"/>
    <xf numFmtId="177" fontId="0" fillId="0" borderId="17" xfId="0" applyNumberFormat="1" applyFill="1" applyBorder="1"/>
    <xf numFmtId="177" fontId="6" fillId="0" borderId="17" xfId="0" applyNumberFormat="1" applyFont="1" applyFill="1" applyBorder="1"/>
    <xf numFmtId="0" fontId="0" fillId="0" borderId="17" xfId="0" applyFill="1" applyBorder="1"/>
    <xf numFmtId="9" fontId="0" fillId="0" borderId="17" xfId="0" applyNumberFormat="1" applyFill="1" applyBorder="1"/>
    <xf numFmtId="9" fontId="2" fillId="0" borderId="17" xfId="0" applyNumberFormat="1" applyFont="1" applyFill="1" applyBorder="1"/>
    <xf numFmtId="0" fontId="2" fillId="3" borderId="17" xfId="0" applyFont="1" applyFill="1" applyBorder="1" applyAlignment="1">
      <alignment horizontal="centerContinuous"/>
    </xf>
    <xf numFmtId="0" fontId="0" fillId="3" borderId="0" xfId="0" applyFill="1" applyBorder="1" applyAlignment="1">
      <alignment horizontal="centerContinuous"/>
    </xf>
    <xf numFmtId="17" fontId="2" fillId="4" borderId="0" xfId="0" applyNumberFormat="1" applyFont="1" applyFill="1" applyBorder="1" applyAlignment="1">
      <alignment horizontal="centerContinuous"/>
    </xf>
    <xf numFmtId="0" fontId="0" fillId="4" borderId="0" xfId="0" applyFill="1" applyBorder="1" applyAlignment="1">
      <alignment horizontal="centerContinuous"/>
    </xf>
    <xf numFmtId="0" fontId="6" fillId="3" borderId="0" xfId="0" applyFont="1" applyFill="1"/>
    <xf numFmtId="0" fontId="0" fillId="3" borderId="0" xfId="0" applyFill="1"/>
    <xf numFmtId="0" fontId="0" fillId="3" borderId="0" xfId="0" applyFill="1" applyBorder="1"/>
    <xf numFmtId="9" fontId="6" fillId="0" borderId="17" xfId="0" applyNumberFormat="1" applyFont="1" applyFill="1" applyBorder="1"/>
    <xf numFmtId="0" fontId="0" fillId="0" borderId="0" xfId="0" applyAlignment="1">
      <alignment horizontal="left" indent="2"/>
    </xf>
    <xf numFmtId="3" fontId="19" fillId="0" borderId="0" xfId="0" applyNumberFormat="1" applyFont="1" applyFill="1" applyBorder="1"/>
    <xf numFmtId="3" fontId="19" fillId="0" borderId="0" xfId="0" applyNumberFormat="1" applyFont="1"/>
    <xf numFmtId="175" fontId="0" fillId="0" borderId="0" xfId="0" applyNumberFormat="1" applyFill="1" applyBorder="1"/>
    <xf numFmtId="9" fontId="20" fillId="0" borderId="0" xfId="0" applyNumberFormat="1" applyFont="1"/>
    <xf numFmtId="0" fontId="22" fillId="0" borderId="0" xfId="0" applyFont="1"/>
    <xf numFmtId="0" fontId="21" fillId="0" borderId="19" xfId="0" quotePrefix="1" applyFont="1" applyFill="1" applyBorder="1" applyAlignment="1">
      <alignment horizontal="left" vertical="center" wrapText="1" indent="1" readingOrder="1"/>
    </xf>
    <xf numFmtId="0" fontId="23" fillId="0" borderId="0" xfId="7"/>
    <xf numFmtId="0" fontId="0" fillId="0" borderId="0" xfId="0" quotePrefix="1"/>
    <xf numFmtId="172" fontId="2" fillId="2" borderId="0" xfId="0" applyNumberFormat="1" applyFont="1" applyFill="1" applyBorder="1"/>
    <xf numFmtId="3" fontId="4" fillId="0" borderId="0" xfId="6" applyNumberFormat="1" applyFont="1" applyFill="1" applyBorder="1"/>
    <xf numFmtId="3" fontId="24" fillId="0" borderId="0" xfId="0" applyNumberFormat="1" applyFont="1" applyFill="1" applyBorder="1"/>
    <xf numFmtId="0" fontId="25" fillId="0" borderId="20" xfId="0" applyFont="1" applyBorder="1" applyAlignment="1">
      <alignment vertical="top" wrapText="1"/>
    </xf>
    <xf numFmtId="0" fontId="26" fillId="0" borderId="20" xfId="0" applyFont="1" applyBorder="1" applyAlignment="1">
      <alignment horizontal="center" vertical="center" wrapText="1" readingOrder="1"/>
    </xf>
    <xf numFmtId="9" fontId="26" fillId="0" borderId="6" xfId="0" applyNumberFormat="1" applyFont="1" applyBorder="1" applyAlignment="1">
      <alignment horizontal="center" vertical="center" wrapText="1" readingOrder="1"/>
    </xf>
    <xf numFmtId="9" fontId="27" fillId="0" borderId="6" xfId="0" applyNumberFormat="1" applyFont="1" applyBorder="1" applyAlignment="1">
      <alignment horizontal="center" vertical="center" wrapText="1" readingOrder="1"/>
    </xf>
    <xf numFmtId="0" fontId="25" fillId="0" borderId="6" xfId="0" applyFont="1" applyBorder="1" applyAlignment="1">
      <alignment horizontal="center" vertical="top" wrapText="1"/>
    </xf>
    <xf numFmtId="0" fontId="28" fillId="0" borderId="21" xfId="0" applyFont="1" applyBorder="1" applyAlignment="1">
      <alignment horizontal="left" vertical="center" wrapText="1" indent="1" readingOrder="1"/>
    </xf>
    <xf numFmtId="3" fontId="26" fillId="0" borderId="21" xfId="0" applyNumberFormat="1" applyFont="1" applyBorder="1" applyAlignment="1">
      <alignment horizontal="center" vertical="center" wrapText="1" readingOrder="1"/>
    </xf>
    <xf numFmtId="3" fontId="27" fillId="0" borderId="21" xfId="0" applyNumberFormat="1" applyFont="1" applyBorder="1" applyAlignment="1">
      <alignment horizontal="center" vertical="center" wrapText="1" readingOrder="1"/>
    </xf>
    <xf numFmtId="0" fontId="28" fillId="0" borderId="6" xfId="0" applyFont="1" applyBorder="1" applyAlignment="1">
      <alignment horizontal="left" vertical="center" wrapText="1" indent="1" readingOrder="1"/>
    </xf>
    <xf numFmtId="3" fontId="26" fillId="0" borderId="6" xfId="0" applyNumberFormat="1" applyFont="1" applyBorder="1" applyAlignment="1">
      <alignment horizontal="center" vertical="center" wrapText="1" readingOrder="1"/>
    </xf>
    <xf numFmtId="3" fontId="27" fillId="0" borderId="6" xfId="0" applyNumberFormat="1" applyFont="1" applyBorder="1" applyAlignment="1">
      <alignment horizontal="center" vertical="center" wrapText="1" readingOrder="1"/>
    </xf>
    <xf numFmtId="9" fontId="29" fillId="0" borderId="6" xfId="0" applyNumberFormat="1" applyFont="1" applyBorder="1" applyAlignment="1">
      <alignment horizontal="center" vertical="center" wrapText="1" readingOrder="1"/>
    </xf>
    <xf numFmtId="164" fontId="27" fillId="0" borderId="6" xfId="0" applyNumberFormat="1" applyFont="1" applyBorder="1" applyAlignment="1">
      <alignment horizontal="center" vertical="center" wrapText="1" readingOrder="1"/>
    </xf>
    <xf numFmtId="164" fontId="26" fillId="0" borderId="6" xfId="0" applyNumberFormat="1" applyFont="1" applyBorder="1" applyAlignment="1">
      <alignment horizontal="center" vertical="center" wrapText="1" readingOrder="1"/>
    </xf>
    <xf numFmtId="0" fontId="12" fillId="0" borderId="0" xfId="0" applyFont="1" applyProtection="1">
      <protection hidden="1"/>
    </xf>
    <xf numFmtId="9" fontId="30" fillId="0" borderId="6" xfId="0" applyNumberFormat="1" applyFont="1" applyBorder="1" applyAlignment="1">
      <alignment horizontal="center" vertical="center" wrapText="1" readingOrder="1"/>
    </xf>
    <xf numFmtId="3" fontId="31" fillId="0" borderId="21" xfId="0" applyNumberFormat="1" applyFont="1" applyBorder="1" applyAlignment="1">
      <alignment horizontal="center" vertical="center" wrapText="1" readingOrder="1"/>
    </xf>
    <xf numFmtId="9" fontId="31" fillId="0" borderId="6" xfId="0" applyNumberFormat="1" applyFont="1" applyBorder="1" applyAlignment="1">
      <alignment horizontal="center" vertical="center" wrapText="1" readingOrder="1"/>
    </xf>
    <xf numFmtId="3" fontId="0" fillId="2" borderId="0" xfId="0" applyNumberFormat="1" applyFill="1" applyBorder="1"/>
    <xf numFmtId="3" fontId="0" fillId="9" borderId="0" xfId="0" applyNumberFormat="1" applyFill="1" applyBorder="1"/>
    <xf numFmtId="9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9" fontId="0" fillId="9" borderId="0" xfId="0" applyNumberFormat="1" applyFill="1"/>
    <xf numFmtId="165" fontId="0" fillId="9" borderId="0" xfId="0" applyNumberFormat="1" applyFill="1"/>
    <xf numFmtId="164" fontId="0" fillId="9" borderId="0" xfId="0" applyNumberFormat="1" applyFill="1"/>
    <xf numFmtId="49" fontId="2" fillId="0" borderId="0" xfId="0" applyNumberFormat="1" applyFont="1" applyFill="1" applyBorder="1"/>
    <xf numFmtId="49" fontId="2" fillId="2" borderId="1" xfId="0" applyNumberFormat="1" applyFont="1" applyFill="1" applyBorder="1"/>
    <xf numFmtId="49" fontId="2" fillId="4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2" fillId="3" borderId="1" xfId="0" applyNumberFormat="1" applyFont="1" applyFill="1" applyBorder="1"/>
    <xf numFmtId="49" fontId="2" fillId="3" borderId="18" xfId="0" applyNumberFormat="1" applyFont="1" applyFill="1" applyBorder="1"/>
    <xf numFmtId="49" fontId="2" fillId="14" borderId="0" xfId="0" applyNumberFormat="1" applyFont="1" applyFill="1" applyBorder="1" applyAlignment="1">
      <alignment horizontal="center"/>
    </xf>
    <xf numFmtId="0" fontId="32" fillId="3" borderId="0" xfId="0" applyFont="1" applyFill="1"/>
    <xf numFmtId="0" fontId="33" fillId="3" borderId="0" xfId="0" applyFont="1" applyFill="1"/>
    <xf numFmtId="165" fontId="6" fillId="0" borderId="0" xfId="0" applyNumberFormat="1" applyFont="1"/>
    <xf numFmtId="164" fontId="6" fillId="0" borderId="0" xfId="0" applyNumberFormat="1" applyFont="1"/>
    <xf numFmtId="9" fontId="0" fillId="2" borderId="0" xfId="0" applyNumberFormat="1" applyFill="1" applyBorder="1"/>
    <xf numFmtId="178" fontId="0" fillId="0" borderId="0" xfId="0" applyNumberFormat="1" applyFill="1" applyBorder="1"/>
    <xf numFmtId="167" fontId="34" fillId="8" borderId="0" xfId="8" applyNumberFormat="1" applyFont="1" applyFill="1"/>
    <xf numFmtId="167" fontId="34" fillId="8" borderId="22" xfId="8" applyNumberFormat="1" applyFont="1" applyFill="1" applyBorder="1"/>
    <xf numFmtId="167" fontId="35" fillId="8" borderId="0" xfId="8" applyNumberFormat="1" applyFont="1" applyFill="1"/>
    <xf numFmtId="1" fontId="13" fillId="0" borderId="0" xfId="3" applyNumberFormat="1"/>
    <xf numFmtId="1" fontId="13" fillId="0" borderId="22" xfId="3" applyNumberFormat="1" applyBorder="1"/>
    <xf numFmtId="174" fontId="36" fillId="0" borderId="0" xfId="3" applyFont="1"/>
    <xf numFmtId="1" fontId="36" fillId="0" borderId="0" xfId="3" applyNumberFormat="1" applyFont="1"/>
    <xf numFmtId="4" fontId="13" fillId="0" borderId="0" xfId="3" applyNumberFormat="1"/>
    <xf numFmtId="179" fontId="2" fillId="2" borderId="1" xfId="3" applyNumberFormat="1" applyFont="1" applyFill="1" applyBorder="1"/>
    <xf numFmtId="179" fontId="2" fillId="2" borderId="23" xfId="3" applyNumberFormat="1" applyFont="1" applyFill="1" applyBorder="1"/>
    <xf numFmtId="179" fontId="37" fillId="2" borderId="1" xfId="3" applyNumberFormat="1" applyFont="1" applyFill="1" applyBorder="1"/>
    <xf numFmtId="167" fontId="3" fillId="0" borderId="0" xfId="3" applyNumberFormat="1" applyFont="1"/>
    <xf numFmtId="167" fontId="3" fillId="0" borderId="22" xfId="3" applyNumberFormat="1" applyFont="1" applyBorder="1"/>
    <xf numFmtId="167" fontId="36" fillId="0" borderId="0" xfId="3" applyNumberFormat="1" applyFont="1"/>
    <xf numFmtId="167" fontId="13" fillId="0" borderId="0" xfId="3" applyNumberFormat="1"/>
    <xf numFmtId="167" fontId="13" fillId="0" borderId="22" xfId="3" applyNumberFormat="1" applyBorder="1"/>
    <xf numFmtId="167" fontId="3" fillId="0" borderId="0" xfId="8" applyNumberFormat="1" applyFont="1"/>
    <xf numFmtId="167" fontId="3" fillId="0" borderId="22" xfId="8" applyNumberFormat="1" applyFont="1" applyBorder="1"/>
    <xf numFmtId="167" fontId="36" fillId="0" borderId="0" xfId="8" applyNumberFormat="1" applyFont="1"/>
    <xf numFmtId="9" fontId="0" fillId="0" borderId="0" xfId="9" applyFont="1"/>
    <xf numFmtId="9" fontId="0" fillId="0" borderId="22" xfId="9" applyFont="1" applyBorder="1"/>
    <xf numFmtId="9" fontId="36" fillId="0" borderId="0" xfId="9" applyFont="1"/>
    <xf numFmtId="167" fontId="0" fillId="0" borderId="0" xfId="8" applyNumberFormat="1" applyFont="1"/>
    <xf numFmtId="167" fontId="0" fillId="0" borderId="22" xfId="8" applyNumberFormat="1" applyFont="1" applyBorder="1"/>
    <xf numFmtId="166" fontId="0" fillId="0" borderId="0" xfId="8" applyNumberFormat="1" applyFont="1"/>
    <xf numFmtId="166" fontId="0" fillId="0" borderId="22" xfId="8" applyNumberFormat="1" applyFont="1" applyBorder="1"/>
    <xf numFmtId="166" fontId="36" fillId="0" borderId="0" xfId="8" applyNumberFormat="1" applyFont="1"/>
    <xf numFmtId="174" fontId="13" fillId="0" borderId="22" xfId="3" applyBorder="1"/>
    <xf numFmtId="4" fontId="13" fillId="0" borderId="22" xfId="3" applyNumberFormat="1" applyBorder="1"/>
    <xf numFmtId="179" fontId="2" fillId="2" borderId="1" xfId="8" applyNumberFormat="1" applyFont="1" applyFill="1" applyBorder="1"/>
    <xf numFmtId="179" fontId="2" fillId="2" borderId="23" xfId="8" applyNumberFormat="1" applyFont="1" applyFill="1" applyBorder="1"/>
    <xf numFmtId="179" fontId="37" fillId="2" borderId="1" xfId="8" applyNumberFormat="1" applyFont="1" applyFill="1" applyBorder="1"/>
    <xf numFmtId="167" fontId="2" fillId="0" borderId="0" xfId="8" applyNumberFormat="1" applyFont="1"/>
    <xf numFmtId="167" fontId="2" fillId="0" borderId="22" xfId="8" applyNumberFormat="1" applyFont="1" applyBorder="1"/>
    <xf numFmtId="167" fontId="37" fillId="0" borderId="0" xfId="8" applyNumberFormat="1" applyFont="1"/>
    <xf numFmtId="174" fontId="13" fillId="0" borderId="0" xfId="3" applyBorder="1"/>
    <xf numFmtId="167" fontId="4" fillId="0" borderId="0" xfId="8" applyNumberFormat="1" applyFont="1" applyFill="1" applyBorder="1"/>
    <xf numFmtId="167" fontId="4" fillId="0" borderId="22" xfId="8" applyNumberFormat="1" applyFont="1" applyFill="1" applyBorder="1"/>
    <xf numFmtId="167" fontId="38" fillId="0" borderId="0" xfId="8" applyNumberFormat="1" applyFont="1" applyFill="1" applyBorder="1"/>
    <xf numFmtId="174" fontId="36" fillId="0" borderId="0" xfId="3" applyFont="1" applyBorder="1"/>
    <xf numFmtId="174" fontId="2" fillId="2" borderId="1" xfId="3" applyFont="1" applyFill="1" applyBorder="1"/>
    <xf numFmtId="17" fontId="2" fillId="2" borderId="1" xfId="3" applyNumberFormat="1" applyFont="1" applyFill="1" applyBorder="1"/>
    <xf numFmtId="17" fontId="2" fillId="2" borderId="23" xfId="3" applyNumberFormat="1" applyFont="1" applyFill="1" applyBorder="1"/>
    <xf numFmtId="17" fontId="37" fillId="2" borderId="1" xfId="3" applyNumberFormat="1" applyFont="1" applyFill="1" applyBorder="1"/>
    <xf numFmtId="174" fontId="2" fillId="0" borderId="0" xfId="3" applyFont="1"/>
    <xf numFmtId="3" fontId="39" fillId="0" borderId="0" xfId="3" applyNumberFormat="1" applyFont="1"/>
    <xf numFmtId="3" fontId="39" fillId="0" borderId="22" xfId="3" applyNumberFormat="1" applyFont="1" applyBorder="1"/>
    <xf numFmtId="3" fontId="36" fillId="0" borderId="0" xfId="3" applyNumberFormat="1" applyFont="1"/>
    <xf numFmtId="167" fontId="36" fillId="0" borderId="0" xfId="8" applyNumberFormat="1" applyFont="1" applyFill="1"/>
    <xf numFmtId="167" fontId="39" fillId="0" borderId="0" xfId="8" applyNumberFormat="1" applyFont="1" applyFill="1"/>
    <xf numFmtId="167" fontId="39" fillId="0" borderId="22" xfId="8" applyNumberFormat="1" applyFont="1" applyFill="1" applyBorder="1"/>
    <xf numFmtId="167" fontId="39" fillId="0" borderId="0" xfId="8" applyNumberFormat="1" applyFont="1"/>
    <xf numFmtId="167" fontId="39" fillId="0" borderId="22" xfId="8" applyNumberFormat="1" applyFont="1" applyBorder="1"/>
    <xf numFmtId="4" fontId="39" fillId="0" borderId="0" xfId="3" applyNumberFormat="1" applyFont="1"/>
    <xf numFmtId="9" fontId="2" fillId="0" borderId="0" xfId="9" applyFont="1"/>
    <xf numFmtId="9" fontId="39" fillId="0" borderId="0" xfId="9" applyFont="1"/>
    <xf numFmtId="9" fontId="39" fillId="0" borderId="22" xfId="9" applyFont="1" applyBorder="1"/>
    <xf numFmtId="9" fontId="36" fillId="0" borderId="0" xfId="9" applyFont="1" applyFill="1"/>
    <xf numFmtId="9" fontId="39" fillId="0" borderId="0" xfId="9" applyFont="1" applyFill="1"/>
    <xf numFmtId="9" fontId="39" fillId="0" borderId="22" xfId="9" applyFont="1" applyFill="1" applyBorder="1"/>
    <xf numFmtId="167" fontId="2" fillId="0" borderId="0" xfId="3" applyNumberFormat="1" applyFont="1"/>
    <xf numFmtId="167" fontId="2" fillId="0" borderId="22" xfId="3" applyNumberFormat="1" applyFont="1" applyBorder="1"/>
    <xf numFmtId="167" fontId="37" fillId="0" borderId="0" xfId="3" applyNumberFormat="1" applyFont="1"/>
    <xf numFmtId="9" fontId="2" fillId="0" borderId="22" xfId="9" applyFont="1" applyBorder="1"/>
    <xf numFmtId="9" fontId="37" fillId="0" borderId="0" xfId="9" applyFont="1"/>
    <xf numFmtId="43" fontId="0" fillId="0" borderId="0" xfId="8" applyFont="1"/>
    <xf numFmtId="43" fontId="0" fillId="0" borderId="22" xfId="8" applyFont="1" applyBorder="1"/>
    <xf numFmtId="43" fontId="36" fillId="0" borderId="0" xfId="8" applyFont="1"/>
    <xf numFmtId="43" fontId="2" fillId="0" borderId="0" xfId="8" applyFont="1"/>
    <xf numFmtId="43" fontId="2" fillId="0" borderId="22" xfId="8" applyFont="1" applyBorder="1"/>
    <xf numFmtId="43" fontId="37" fillId="0" borderId="0" xfId="8" applyFont="1"/>
    <xf numFmtId="166" fontId="2" fillId="0" borderId="0" xfId="8" applyNumberFormat="1" applyFont="1"/>
    <xf numFmtId="166" fontId="2" fillId="0" borderId="22" xfId="8" applyNumberFormat="1" applyFont="1" applyBorder="1"/>
    <xf numFmtId="166" fontId="37" fillId="0" borderId="0" xfId="8" applyNumberFormat="1" applyFont="1"/>
    <xf numFmtId="4" fontId="2" fillId="2" borderId="1" xfId="3" applyNumberFormat="1" applyFont="1" applyFill="1" applyBorder="1"/>
    <xf numFmtId="164" fontId="13" fillId="0" borderId="0" xfId="3" applyNumberFormat="1"/>
    <xf numFmtId="164" fontId="0" fillId="0" borderId="0" xfId="8" applyNumberFormat="1" applyFont="1"/>
    <xf numFmtId="164" fontId="2" fillId="0" borderId="0" xfId="8" applyNumberFormat="1" applyFont="1"/>
    <xf numFmtId="43" fontId="9" fillId="5" borderId="9" xfId="0" applyNumberFormat="1" applyFont="1" applyFill="1" applyBorder="1" applyAlignment="1">
      <alignment horizontal="right" vertical="center" wrapText="1" indent="1" readingOrder="1"/>
    </xf>
    <xf numFmtId="0" fontId="0" fillId="0" borderId="0" xfId="0" applyAlignment="1">
      <alignment horizontal="center"/>
    </xf>
    <xf numFmtId="167" fontId="0" fillId="0" borderId="0" xfId="1" applyNumberFormat="1" applyFont="1" applyAlignment="1">
      <alignment horizontal="center"/>
    </xf>
    <xf numFmtId="9" fontId="0" fillId="0" borderId="0" xfId="2" applyFont="1" applyAlignment="1">
      <alignment horizontal="center"/>
    </xf>
    <xf numFmtId="166" fontId="0" fillId="0" borderId="0" xfId="1" applyNumberFormat="1" applyFont="1" applyAlignment="1">
      <alignment horizontal="center"/>
    </xf>
    <xf numFmtId="43" fontId="0" fillId="0" borderId="0" xfId="1" applyNumberFormat="1" applyFont="1" applyAlignment="1">
      <alignment horizontal="center"/>
    </xf>
    <xf numFmtId="167" fontId="0" fillId="0" borderId="0" xfId="1" applyNumberFormat="1" applyFont="1" applyFill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167" fontId="0" fillId="0" borderId="0" xfId="1" applyNumberFormat="1" applyFont="1" applyFill="1" applyBorder="1" applyAlignment="1">
      <alignment horizontal="center"/>
    </xf>
    <xf numFmtId="0" fontId="40" fillId="2" borderId="24" xfId="6" applyFont="1" applyFill="1" applyBorder="1" applyAlignment="1">
      <alignment horizontal="center" vertical="center" wrapText="1"/>
    </xf>
    <xf numFmtId="167" fontId="41" fillId="2" borderId="24" xfId="1" applyNumberFormat="1" applyFont="1" applyFill="1" applyBorder="1" applyAlignment="1">
      <alignment horizontal="center" vertical="center" wrapText="1"/>
    </xf>
    <xf numFmtId="9" fontId="41" fillId="2" borderId="24" xfId="2" applyFont="1" applyFill="1" applyBorder="1" applyAlignment="1">
      <alignment horizontal="center" vertical="center" wrapText="1"/>
    </xf>
    <xf numFmtId="166" fontId="41" fillId="2" borderId="24" xfId="1" applyNumberFormat="1" applyFont="1" applyFill="1" applyBorder="1" applyAlignment="1">
      <alignment horizontal="center" vertical="center" wrapText="1"/>
    </xf>
    <xf numFmtId="43" fontId="41" fillId="2" borderId="24" xfId="1" applyNumberFormat="1" applyFont="1" applyFill="1" applyBorder="1" applyAlignment="1">
      <alignment horizontal="center" vertical="center" wrapText="1"/>
    </xf>
    <xf numFmtId="167" fontId="41" fillId="0" borderId="0" xfId="1" applyNumberFormat="1" applyFont="1" applyFill="1" applyBorder="1" applyAlignment="1">
      <alignment horizontal="center" vertical="center" wrapText="1"/>
    </xf>
    <xf numFmtId="166" fontId="41" fillId="0" borderId="0" xfId="1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167" fontId="0" fillId="0" borderId="24" xfId="1" applyNumberFormat="1" applyFont="1" applyBorder="1" applyAlignment="1">
      <alignment horizontal="center"/>
    </xf>
    <xf numFmtId="9" fontId="0" fillId="0" borderId="24" xfId="2" applyFont="1" applyBorder="1" applyAlignment="1">
      <alignment horizontal="center"/>
    </xf>
    <xf numFmtId="166" fontId="0" fillId="0" borderId="24" xfId="1" applyNumberFormat="1" applyFont="1" applyBorder="1" applyAlignment="1">
      <alignment horizontal="center"/>
    </xf>
    <xf numFmtId="43" fontId="0" fillId="0" borderId="24" xfId="1" applyNumberFormat="1" applyFont="1" applyBorder="1" applyAlignment="1">
      <alignment horizontal="center"/>
    </xf>
    <xf numFmtId="166" fontId="0" fillId="0" borderId="25" xfId="1" applyNumberFormat="1" applyFont="1" applyFill="1" applyBorder="1" applyAlignment="1">
      <alignment horizontal="center"/>
    </xf>
    <xf numFmtId="9" fontId="0" fillId="0" borderId="0" xfId="2" applyFont="1" applyFill="1" applyBorder="1" applyAlignment="1">
      <alignment horizontal="right"/>
    </xf>
    <xf numFmtId="167" fontId="0" fillId="0" borderId="0" xfId="1" applyNumberFormat="1" applyFont="1" applyBorder="1"/>
    <xf numFmtId="167" fontId="0" fillId="0" borderId="25" xfId="1" applyNumberFormat="1" applyFont="1" applyFill="1" applyBorder="1" applyAlignment="1">
      <alignment horizontal="center"/>
    </xf>
    <xf numFmtId="43" fontId="0" fillId="0" borderId="25" xfId="1" applyFont="1" applyFill="1" applyBorder="1" applyAlignment="1">
      <alignment horizontal="center"/>
    </xf>
    <xf numFmtId="0" fontId="42" fillId="0" borderId="0" xfId="0" applyFont="1" applyAlignment="1">
      <alignment horizontal="center"/>
    </xf>
    <xf numFmtId="0" fontId="2" fillId="0" borderId="24" xfId="0" applyFont="1" applyBorder="1" applyAlignment="1">
      <alignment horizontal="center" wrapText="1"/>
    </xf>
    <xf numFmtId="167" fontId="2" fillId="0" borderId="24" xfId="1" applyNumberFormat="1" applyFont="1" applyBorder="1" applyAlignment="1">
      <alignment horizontal="center"/>
    </xf>
    <xf numFmtId="9" fontId="2" fillId="0" borderId="24" xfId="2" applyFont="1" applyBorder="1" applyAlignment="1">
      <alignment horizontal="center"/>
    </xf>
    <xf numFmtId="166" fontId="2" fillId="0" borderId="24" xfId="1" applyNumberFormat="1" applyFont="1" applyBorder="1" applyAlignment="1">
      <alignment horizontal="center"/>
    </xf>
    <xf numFmtId="43" fontId="2" fillId="0" borderId="24" xfId="1" applyNumberFormat="1" applyFont="1" applyBorder="1" applyAlignment="1">
      <alignment horizontal="center"/>
    </xf>
    <xf numFmtId="167" fontId="2" fillId="0" borderId="0" xfId="1" applyNumberFormat="1" applyFont="1" applyFill="1" applyBorder="1" applyAlignment="1">
      <alignment horizontal="center"/>
    </xf>
    <xf numFmtId="166" fontId="2" fillId="0" borderId="0" xfId="1" applyNumberFormat="1" applyFont="1" applyFill="1" applyBorder="1" applyAlignment="1">
      <alignment horizontal="center"/>
    </xf>
    <xf numFmtId="167" fontId="13" fillId="7" borderId="0" xfId="3" applyNumberFormat="1" applyFill="1"/>
    <xf numFmtId="167" fontId="13" fillId="7" borderId="22" xfId="3" applyNumberFormat="1" applyFill="1" applyBorder="1"/>
    <xf numFmtId="167" fontId="3" fillId="7" borderId="0" xfId="8" applyNumberFormat="1" applyFont="1" applyFill="1"/>
    <xf numFmtId="167" fontId="3" fillId="7" borderId="22" xfId="8" applyNumberFormat="1" applyFont="1" applyFill="1" applyBorder="1"/>
    <xf numFmtId="1" fontId="2" fillId="2" borderId="1" xfId="0" applyNumberFormat="1" applyFont="1" applyFill="1" applyBorder="1"/>
    <xf numFmtId="1" fontId="0" fillId="0" borderId="0" xfId="0" applyNumberFormat="1" applyFill="1" applyBorder="1"/>
    <xf numFmtId="3" fontId="9" fillId="0" borderId="26" xfId="0" applyNumberFormat="1" applyFont="1" applyBorder="1" applyAlignment="1">
      <alignment horizontal="right" vertical="center" wrapText="1" indent="1" readingOrder="1"/>
    </xf>
    <xf numFmtId="9" fontId="9" fillId="5" borderId="26" xfId="0" applyNumberFormat="1" applyFont="1" applyFill="1" applyBorder="1" applyAlignment="1">
      <alignment horizontal="right" vertical="center" wrapText="1" indent="1" readingOrder="1"/>
    </xf>
    <xf numFmtId="9" fontId="11" fillId="5" borderId="26" xfId="0" applyNumberFormat="1" applyFont="1" applyFill="1" applyBorder="1" applyAlignment="1">
      <alignment horizontal="right" vertical="center" wrapText="1" indent="1" readingOrder="1"/>
    </xf>
    <xf numFmtId="3" fontId="9" fillId="5" borderId="26" xfId="0" applyNumberFormat="1" applyFont="1" applyFill="1" applyBorder="1" applyAlignment="1">
      <alignment horizontal="right" vertical="center" wrapText="1" indent="1" readingOrder="1"/>
    </xf>
    <xf numFmtId="174" fontId="15" fillId="8" borderId="12" xfId="3" applyFont="1" applyFill="1" applyBorder="1" applyAlignment="1">
      <alignment horizontal="center" vertical="center" wrapText="1" readingOrder="1"/>
    </xf>
    <xf numFmtId="174" fontId="15" fillId="8" borderId="13" xfId="3" applyFont="1" applyFill="1" applyBorder="1" applyAlignment="1">
      <alignment horizontal="center" vertical="center" wrapText="1" readingOrder="1"/>
    </xf>
    <xf numFmtId="174" fontId="7" fillId="0" borderId="14" xfId="3" applyFont="1" applyBorder="1" applyAlignment="1">
      <alignment vertical="center" wrapText="1"/>
    </xf>
    <xf numFmtId="174" fontId="7" fillId="0" borderId="15" xfId="3" applyFont="1" applyBorder="1" applyAlignment="1">
      <alignment vertical="center" wrapText="1"/>
    </xf>
    <xf numFmtId="174" fontId="16" fillId="8" borderId="14" xfId="3" applyFont="1" applyFill="1" applyBorder="1" applyAlignment="1">
      <alignment horizontal="center" vertical="center" wrapText="1" readingOrder="1"/>
    </xf>
    <xf numFmtId="174" fontId="16" fillId="8" borderId="15" xfId="3" applyFont="1" applyFill="1" applyBorder="1" applyAlignment="1">
      <alignment horizontal="center" vertical="center" wrapText="1" readingOrder="1"/>
    </xf>
    <xf numFmtId="0" fontId="8" fillId="8" borderId="5" xfId="0" applyFont="1" applyFill="1" applyBorder="1" applyAlignment="1">
      <alignment horizontal="center" vertical="center" wrapText="1" readingOrder="1"/>
    </xf>
    <xf numFmtId="0" fontId="8" fillId="8" borderId="6" xfId="0" applyFont="1" applyFill="1" applyBorder="1" applyAlignment="1">
      <alignment horizontal="center" vertical="center" wrapText="1" readingOrder="1"/>
    </xf>
    <xf numFmtId="0" fontId="8" fillId="8" borderId="7" xfId="0" applyFont="1" applyFill="1" applyBorder="1" applyAlignment="1">
      <alignment horizontal="center" vertical="center" wrapText="1" readingOrder="1"/>
    </xf>
    <xf numFmtId="180" fontId="8" fillId="8" borderId="5" xfId="0" applyNumberFormat="1" applyFont="1" applyFill="1" applyBorder="1" applyAlignment="1">
      <alignment horizontal="center" vertical="center" wrapText="1" readingOrder="1"/>
    </xf>
    <xf numFmtId="180" fontId="8" fillId="8" borderId="6" xfId="0" applyNumberFormat="1" applyFont="1" applyFill="1" applyBorder="1" applyAlignment="1">
      <alignment horizontal="center" vertical="center" wrapText="1" readingOrder="1"/>
    </xf>
    <xf numFmtId="180" fontId="8" fillId="8" borderId="7" xfId="0" applyNumberFormat="1" applyFont="1" applyFill="1" applyBorder="1" applyAlignment="1">
      <alignment horizontal="center" vertical="center" wrapText="1" readingOrder="1"/>
    </xf>
    <xf numFmtId="0" fontId="6" fillId="6" borderId="0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0" fillId="0" borderId="0" xfId="0" applyAlignment="1"/>
  </cellXfs>
  <cellStyles count="10">
    <cellStyle name="20% - Accent5" xfId="5" builtinId="46"/>
    <cellStyle name="Comma" xfId="1" builtinId="3"/>
    <cellStyle name="Comma 2" xfId="8"/>
    <cellStyle name="Hyperlink" xfId="7" builtinId="8"/>
    <cellStyle name="Normal" xfId="0" builtinId="0"/>
    <cellStyle name="Normal 2" xfId="3"/>
    <cellStyle name="Normal 4 2" xfId="4"/>
    <cellStyle name="Normal 6" xfId="6"/>
    <cellStyle name="Percent" xfId="2" builtinId="5"/>
    <cellStyle name="Percent 2" xfId="9"/>
  </cellStyles>
  <dxfs count="210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34" Type="http://schemas.openxmlformats.org/officeDocument/2006/relationships/externalLink" Target="externalLinks/externalLink2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externalLink" Target="externalLinks/externalLink22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externalLink" Target="externalLinks/externalLink18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externalLink" Target="externalLinks/externalLink21.xml"/><Relationship Id="rId37" Type="http://schemas.openxmlformats.org/officeDocument/2006/relationships/externalLink" Target="externalLinks/externalLink26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externalLink" Target="externalLinks/externalLink2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35" Type="http://schemas.openxmlformats.org/officeDocument/2006/relationships/externalLink" Target="externalLinks/externalLink2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Agency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'Full Agency'!$A$145</c:f>
              <c:strCache>
                <c:ptCount val="1"/>
                <c:pt idx="0">
                  <c:v>Mass Agent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('Full Agency'!$A$144,'Full Agency'!$A$139)</c:f>
              <c:strCache>
                <c:ptCount val="2"/>
                <c:pt idx="0">
                  <c:v>MP Mix</c:v>
                </c:pt>
                <c:pt idx="1">
                  <c:v>APE Mix</c:v>
                </c:pt>
              </c:strCache>
            </c:strRef>
          </c:cat>
          <c:val>
            <c:numRef>
              <c:f>('Full Agency'!$BE$145,'Full Agency'!$BE$140)</c:f>
              <c:numCache>
                <c:formatCode>0%</c:formatCode>
                <c:ptCount val="2"/>
                <c:pt idx="0">
                  <c:v>0.44719240001886285</c:v>
                </c:pt>
                <c:pt idx="1">
                  <c:v>0.32231921208275205</c:v>
                </c:pt>
              </c:numCache>
            </c:numRef>
          </c:val>
        </c:ser>
        <c:ser>
          <c:idx val="1"/>
          <c:order val="1"/>
          <c:tx>
            <c:strRef>
              <c:f>'Full Agency'!$A$146</c:f>
              <c:strCache>
                <c:ptCount val="1"/>
                <c:pt idx="0">
                  <c:v>3 month Rookie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('Full Agency'!$A$144,'Full Agency'!$A$139)</c:f>
              <c:strCache>
                <c:ptCount val="2"/>
                <c:pt idx="0">
                  <c:v>MP Mix</c:v>
                </c:pt>
                <c:pt idx="1">
                  <c:v>APE Mix</c:v>
                </c:pt>
              </c:strCache>
            </c:strRef>
          </c:cat>
          <c:val>
            <c:numRef>
              <c:f>('Full Agency'!$BE$146,'Full Agency'!$BE$141)</c:f>
              <c:numCache>
                <c:formatCode>0%</c:formatCode>
                <c:ptCount val="2"/>
                <c:pt idx="0">
                  <c:v>0.53564917985244198</c:v>
                </c:pt>
                <c:pt idx="1">
                  <c:v>0.49374696693146003</c:v>
                </c:pt>
              </c:numCache>
            </c:numRef>
          </c:val>
        </c:ser>
        <c:ser>
          <c:idx val="2"/>
          <c:order val="2"/>
          <c:tx>
            <c:strRef>
              <c:f>'Full Agency'!$A$147</c:f>
              <c:strCache>
                <c:ptCount val="1"/>
                <c:pt idx="0">
                  <c:v>MDRT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('Full Agency'!$A$144,'Full Agency'!$A$139)</c:f>
              <c:strCache>
                <c:ptCount val="2"/>
                <c:pt idx="0">
                  <c:v>MP Mix</c:v>
                </c:pt>
                <c:pt idx="1">
                  <c:v>APE Mix</c:v>
                </c:pt>
              </c:strCache>
            </c:strRef>
          </c:cat>
          <c:val>
            <c:numRef>
              <c:f>('Full Agency'!$BE$147,'Full Agency'!$BE$142)</c:f>
              <c:numCache>
                <c:formatCode>0%</c:formatCode>
                <c:ptCount val="2"/>
                <c:pt idx="0">
                  <c:v>1.7158420128695118E-2</c:v>
                </c:pt>
                <c:pt idx="1">
                  <c:v>0.18393382098578795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100"/>
        <c:axId val="442444136"/>
        <c:axId val="456194520"/>
      </c:barChart>
      <c:catAx>
        <c:axId val="44244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4520"/>
        <c:crosses val="autoZero"/>
        <c:auto val="1"/>
        <c:lblAlgn val="ctr"/>
        <c:lblOffset val="100"/>
        <c:noMultiLvlLbl val="1"/>
      </c:catAx>
      <c:valAx>
        <c:axId val="4561945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4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APE Contribution - Growth vs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Chart!$A$60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Chart!$B$55:$N$55</c15:sqref>
                  </c15:fullRef>
                </c:ext>
              </c:extLst>
              <c:f>(Chart!$B$55:$H$55,Chart!$N$55)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Chart!$B$70:$N$70</c15:sqref>
                  </c15:fullRef>
                </c:ext>
              </c:extLst>
              <c:f>(Chart!$B$70:$H$70,Chart!$N$70)</c:f>
              <c:numCache>
                <c:formatCode>0%</c:formatCode>
                <c:ptCount val="8"/>
                <c:pt idx="0">
                  <c:v>0.50329995207391132</c:v>
                </c:pt>
                <c:pt idx="1">
                  <c:v>0.48563090708708317</c:v>
                </c:pt>
                <c:pt idx="2">
                  <c:v>0.52326034686994505</c:v>
                </c:pt>
                <c:pt idx="3">
                  <c:v>0.52315969513404526</c:v>
                </c:pt>
                <c:pt idx="4">
                  <c:v>0.42190376504599247</c:v>
                </c:pt>
                <c:pt idx="5">
                  <c:v>0.47438173644792381</c:v>
                </c:pt>
                <c:pt idx="6">
                  <c:v>0.48942200108912881</c:v>
                </c:pt>
                <c:pt idx="7">
                  <c:v>0.48752935772450401</c:v>
                </c:pt>
              </c:numCache>
            </c:numRef>
          </c:val>
        </c:ser>
        <c:ser>
          <c:idx val="1"/>
          <c:order val="1"/>
          <c:tx>
            <c:strRef>
              <c:f>Chart!$A$61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Chart!$B$55:$N$55</c15:sqref>
                  </c15:fullRef>
                </c:ext>
              </c:extLst>
              <c:f>(Chart!$B$55:$H$55,Chart!$N$55)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Chart!$B$71:$N$71</c15:sqref>
                  </c15:fullRef>
                </c:ext>
              </c:extLst>
              <c:f>(Chart!$B$71:$H$71,Chart!$N$71)</c:f>
              <c:numCache>
                <c:formatCode>0%</c:formatCode>
                <c:ptCount val="8"/>
                <c:pt idx="0">
                  <c:v>0.49670004792608874</c:v>
                </c:pt>
                <c:pt idx="1">
                  <c:v>0.51436909291291699</c:v>
                </c:pt>
                <c:pt idx="2">
                  <c:v>0.47673965313005495</c:v>
                </c:pt>
                <c:pt idx="3">
                  <c:v>0.47684030486595463</c:v>
                </c:pt>
                <c:pt idx="4">
                  <c:v>0.57809623495400753</c:v>
                </c:pt>
                <c:pt idx="5">
                  <c:v>0.52561826355207619</c:v>
                </c:pt>
                <c:pt idx="6">
                  <c:v>0.51057799891087119</c:v>
                </c:pt>
                <c:pt idx="7">
                  <c:v>0.51247064227549588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201968"/>
        <c:axId val="456202360"/>
      </c:barChart>
      <c:lineChart>
        <c:grouping val="standard"/>
        <c:varyColors val="0"/>
        <c:ser>
          <c:idx val="2"/>
          <c:order val="2"/>
          <c:tx>
            <c:strRef>
              <c:f>Chart!$A$65</c:f>
              <c:strCache>
                <c:ptCount val="1"/>
                <c:pt idx="0">
                  <c:v>North growth vs '16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Chart!$B$55:$J$55</c15:sqref>
                  </c15:fullRef>
                </c:ext>
              </c:extLst>
              <c:f>Chart!$B$55:$H$55</c:f>
              <c:numCache>
                <c:formatCode>mmm</c:formatCode>
                <c:ptCount val="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Chart!$B$65:$N$65</c15:sqref>
                  </c15:fullRef>
                </c:ext>
              </c:extLst>
              <c:f>(Chart!$B$65:$H$65,Chart!$N$65)</c:f>
              <c:numCache>
                <c:formatCode>0%</c:formatCode>
                <c:ptCount val="8"/>
                <c:pt idx="0">
                  <c:v>0.83630012582894797</c:v>
                </c:pt>
                <c:pt idx="1">
                  <c:v>1.8749195980026472</c:v>
                </c:pt>
                <c:pt idx="2">
                  <c:v>0.86482535535252669</c:v>
                </c:pt>
                <c:pt idx="3">
                  <c:v>1.1410441326224654</c:v>
                </c:pt>
                <c:pt idx="4">
                  <c:v>0.5060348385955713</c:v>
                </c:pt>
                <c:pt idx="5">
                  <c:v>0.1263668897457666</c:v>
                </c:pt>
                <c:pt idx="6">
                  <c:v>0.37972015900506007</c:v>
                </c:pt>
                <c:pt idx="7">
                  <c:v>0.64989200531848579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Chart!$A$66</c:f>
              <c:strCache>
                <c:ptCount val="1"/>
                <c:pt idx="0">
                  <c:v>South growth vs '16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Chart!$B$55:$J$55</c15:sqref>
                  </c15:fullRef>
                </c:ext>
              </c:extLst>
              <c:f>Chart!$B$55:$H$55</c:f>
              <c:numCache>
                <c:formatCode>mmm</c:formatCode>
                <c:ptCount val="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Chart!$B$66:$N$66</c15:sqref>
                  </c15:fullRef>
                </c:ext>
              </c:extLst>
              <c:f>(Chart!$B$66:$H$66,Chart!$N$66)</c:f>
              <c:numCache>
                <c:formatCode>0%</c:formatCode>
                <c:ptCount val="8"/>
                <c:pt idx="0">
                  <c:v>1.1703930844929489</c:v>
                </c:pt>
                <c:pt idx="1">
                  <c:v>2.0926862115001521</c:v>
                </c:pt>
                <c:pt idx="2">
                  <c:v>0.55407695924293088</c:v>
                </c:pt>
                <c:pt idx="3">
                  <c:v>0.32947607498824683</c:v>
                </c:pt>
                <c:pt idx="4">
                  <c:v>1.2703399944795883</c:v>
                </c:pt>
                <c:pt idx="5">
                  <c:v>0.7773380615607981</c:v>
                </c:pt>
                <c:pt idx="6">
                  <c:v>0.63126369176599351</c:v>
                </c:pt>
                <c:pt idx="7">
                  <c:v>0.81917699434898861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Chart!$A$67</c:f>
              <c:strCache>
                <c:ptCount val="1"/>
                <c:pt idx="0">
                  <c:v>GVL growth vs '16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Chart!$B$55:$J$55</c15:sqref>
                  </c15:fullRef>
                </c:ext>
              </c:extLst>
              <c:f>Chart!$B$55:$H$55</c:f>
              <c:numCache>
                <c:formatCode>mmm</c:formatCode>
                <c:ptCount val="7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Chart!$B$67:$N$67</c15:sqref>
                  </c15:fullRef>
                </c:ext>
              </c:extLst>
              <c:f>(Chart!$B$67:$H$67,Chart!$N$67)</c:f>
              <c:numCache>
                <c:formatCode>0%</c:formatCode>
                <c:ptCount val="8"/>
                <c:pt idx="0">
                  <c:v>0.98832342626181635</c:v>
                </c:pt>
                <c:pt idx="1">
                  <c:v>1.982957817021386</c:v>
                </c:pt>
                <c:pt idx="2">
                  <c:v>0.70252783952177378</c:v>
                </c:pt>
                <c:pt idx="3">
                  <c:v>0.6583314467560859</c:v>
                </c:pt>
                <c:pt idx="4">
                  <c:v>0.86995611268240647</c:v>
                </c:pt>
                <c:pt idx="5">
                  <c:v>0.39490566214288791</c:v>
                </c:pt>
                <c:pt idx="6">
                  <c:v>0.49763163866072913</c:v>
                </c:pt>
                <c:pt idx="7">
                  <c:v>0.73251271404012508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03144"/>
        <c:axId val="456204320"/>
      </c:lineChart>
      <c:catAx>
        <c:axId val="45620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2360"/>
        <c:crosses val="autoZero"/>
        <c:auto val="1"/>
        <c:lblAlgn val="ctr"/>
        <c:lblOffset val="100"/>
        <c:noMultiLvlLbl val="1"/>
      </c:catAx>
      <c:valAx>
        <c:axId val="456202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1968"/>
        <c:crosses val="autoZero"/>
        <c:crossBetween val="between"/>
      </c:valAx>
      <c:valAx>
        <c:axId val="456204320"/>
        <c:scaling>
          <c:orientation val="minMax"/>
          <c:max val="2.5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3144"/>
        <c:crosses val="max"/>
        <c:crossBetween val="between"/>
        <c:majorUnit val="0.5"/>
      </c:valAx>
      <c:catAx>
        <c:axId val="456203144"/>
        <c:scaling>
          <c:orientation val="minMax"/>
        </c:scaling>
        <c:delete val="1"/>
        <c:axPos val="t"/>
        <c:numFmt formatCode="mmm" sourceLinked="1"/>
        <c:majorTickMark val="out"/>
        <c:minorTickMark val="none"/>
        <c:tickLblPos val="nextTo"/>
        <c:crossAx val="456204320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Chart!$A$87</c:f>
          <c:strCache>
            <c:ptCount val="1"/>
            <c:pt idx="0">
              <c:v>Manpower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Chart!$A$90</c:f>
              <c:strCache>
                <c:ptCount val="1"/>
                <c:pt idx="0">
                  <c:v>2017 Actual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Chart!$B$87:$M$87</c:f>
              <c:numCache>
                <c:formatCode>mmm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Chart!$B$90:$M$90</c:f>
              <c:numCache>
                <c:formatCode>#,##0</c:formatCode>
                <c:ptCount val="12"/>
                <c:pt idx="0">
                  <c:v>10030</c:v>
                </c:pt>
                <c:pt idx="1">
                  <c:v>7676</c:v>
                </c:pt>
                <c:pt idx="2">
                  <c:v>7777</c:v>
                </c:pt>
                <c:pt idx="3">
                  <c:v>7057</c:v>
                </c:pt>
                <c:pt idx="4">
                  <c:v>7380</c:v>
                </c:pt>
                <c:pt idx="5">
                  <c:v>8015</c:v>
                </c:pt>
                <c:pt idx="6">
                  <c:v>7863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201184"/>
        <c:axId val="456200792"/>
      </c:barChart>
      <c:lineChart>
        <c:grouping val="standard"/>
        <c:varyColors val="0"/>
        <c:ser>
          <c:idx val="1"/>
          <c:order val="0"/>
          <c:tx>
            <c:strRef>
              <c:f>Chart!$A$89</c:f>
              <c:strCache>
                <c:ptCount val="1"/>
                <c:pt idx="0">
                  <c:v>2017 Plan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1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cat>
            <c:numRef>
              <c:f>Chart!$B$87:$M$87</c:f>
              <c:numCache>
                <c:formatCode>mmm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Chart!$B$89:$M$89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Chart!$A$88</c:f>
              <c:strCache>
                <c:ptCount val="1"/>
                <c:pt idx="0">
                  <c:v>2016 Actual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Chart!$B$87:$M$87</c:f>
              <c:numCache>
                <c:formatCode>mmm</c:formatCode>
                <c:ptCount val="12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</c:numCache>
            </c:numRef>
          </c:cat>
          <c:val>
            <c:numRef>
              <c:f>Chart!$B$88:$M$88</c:f>
              <c:numCache>
                <c:formatCode>#,##0</c:formatCode>
                <c:ptCount val="12"/>
                <c:pt idx="0">
                  <c:v>4156</c:v>
                </c:pt>
                <c:pt idx="1">
                  <c:v>4067</c:v>
                </c:pt>
                <c:pt idx="2">
                  <c:v>4326</c:v>
                </c:pt>
                <c:pt idx="3">
                  <c:v>4505</c:v>
                </c:pt>
                <c:pt idx="4">
                  <c:v>4930</c:v>
                </c:pt>
                <c:pt idx="5">
                  <c:v>5819</c:v>
                </c:pt>
                <c:pt idx="6">
                  <c:v>6335</c:v>
                </c:pt>
                <c:pt idx="7">
                  <c:v>6970</c:v>
                </c:pt>
                <c:pt idx="8">
                  <c:v>7706</c:v>
                </c:pt>
                <c:pt idx="9">
                  <c:v>8408</c:v>
                </c:pt>
                <c:pt idx="10">
                  <c:v>9051</c:v>
                </c:pt>
                <c:pt idx="11">
                  <c:v>9845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01184"/>
        <c:axId val="456200792"/>
      </c:lineChart>
      <c:dateAx>
        <c:axId val="456201184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0792"/>
        <c:crosses val="autoZero"/>
        <c:auto val="1"/>
        <c:lblOffset val="100"/>
        <c:baseTimeUnit val="months"/>
      </c:dateAx>
      <c:valAx>
        <c:axId val="45620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8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Activity Ratio by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Chart!$AG$48</c:f>
              <c:strCache>
                <c:ptCount val="1"/>
                <c:pt idx="0">
                  <c:v>MDRT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Chart!$AH$47:$AZ$47</c:f>
              <c:numCache>
                <c:formatCode>mmm\-yy</c:formatCode>
                <c:ptCount val="1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</c:numCache>
            </c:numRef>
          </c:cat>
          <c:val>
            <c:numRef>
              <c:f>Chart!$AH$48:$AZ$48</c:f>
              <c:numCache>
                <c:formatCode>0%</c:formatCode>
                <c:ptCount val="19"/>
                <c:pt idx="0">
                  <c:v>0.46632124352331605</c:v>
                </c:pt>
                <c:pt idx="1">
                  <c:v>0.35193133047210301</c:v>
                </c:pt>
                <c:pt idx="2">
                  <c:v>0.55555555555555558</c:v>
                </c:pt>
                <c:pt idx="3">
                  <c:v>0.43404255319148938</c:v>
                </c:pt>
                <c:pt idx="4">
                  <c:v>0.4366812227074236</c:v>
                </c:pt>
                <c:pt idx="5">
                  <c:v>0.58447488584474883</c:v>
                </c:pt>
                <c:pt idx="6">
                  <c:v>0.44660194174757284</c:v>
                </c:pt>
                <c:pt idx="7">
                  <c:v>0.48205128205128206</c:v>
                </c:pt>
                <c:pt idx="8">
                  <c:v>0.5368421052631579</c:v>
                </c:pt>
                <c:pt idx="9">
                  <c:v>0.44919786096256686</c:v>
                </c:pt>
                <c:pt idx="10">
                  <c:v>0.45901639344262296</c:v>
                </c:pt>
                <c:pt idx="11">
                  <c:v>0.58959537572254339</c:v>
                </c:pt>
                <c:pt idx="12">
                  <c:v>0.71052631578947367</c:v>
                </c:pt>
                <c:pt idx="13">
                  <c:v>0.69444444444444442</c:v>
                </c:pt>
                <c:pt idx="14">
                  <c:v>0.74125874125874125</c:v>
                </c:pt>
                <c:pt idx="15">
                  <c:v>0.71684587813620071</c:v>
                </c:pt>
                <c:pt idx="16">
                  <c:v>0.68913857677902624</c:v>
                </c:pt>
                <c:pt idx="17">
                  <c:v>0.73359073359073357</c:v>
                </c:pt>
                <c:pt idx="18">
                  <c:v>0.63745019920318724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Chart!$AG$49</c:f>
              <c:strCache>
                <c:ptCount val="1"/>
                <c:pt idx="0">
                  <c:v>Rookie in month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Chart!$AH$47:$AZ$47</c:f>
              <c:numCache>
                <c:formatCode>mmm\-yy</c:formatCode>
                <c:ptCount val="1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</c:numCache>
            </c:numRef>
          </c:cat>
          <c:val>
            <c:numRef>
              <c:f>Chart!$AH$49:$AZ$49</c:f>
              <c:numCache>
                <c:formatCode>0%</c:formatCode>
                <c:ptCount val="19"/>
                <c:pt idx="0">
                  <c:v>0.14805520702634881</c:v>
                </c:pt>
                <c:pt idx="1">
                  <c:v>0.31421446384039903</c:v>
                </c:pt>
                <c:pt idx="2">
                  <c:v>0.68486916951080778</c:v>
                </c:pt>
                <c:pt idx="3">
                  <c:v>0.3973941368078176</c:v>
                </c:pt>
                <c:pt idx="4">
                  <c:v>0.46249033255993816</c:v>
                </c:pt>
                <c:pt idx="5">
                  <c:v>0.5625</c:v>
                </c:pt>
                <c:pt idx="6">
                  <c:v>0.3225516621743037</c:v>
                </c:pt>
                <c:pt idx="7">
                  <c:v>0.41354903943377147</c:v>
                </c:pt>
                <c:pt idx="8">
                  <c:v>0.47779215178956447</c:v>
                </c:pt>
                <c:pt idx="9">
                  <c:v>0.35385242560130453</c:v>
                </c:pt>
                <c:pt idx="10">
                  <c:v>0.32586068855084066</c:v>
                </c:pt>
                <c:pt idx="11">
                  <c:v>0.55108579565681737</c:v>
                </c:pt>
                <c:pt idx="12">
                  <c:v>0.15952143569292124</c:v>
                </c:pt>
                <c:pt idx="13">
                  <c:v>0.41827541827541825</c:v>
                </c:pt>
                <c:pt idx="14">
                  <c:v>0.52626892252894031</c:v>
                </c:pt>
                <c:pt idx="15">
                  <c:v>0.42990654205607476</c:v>
                </c:pt>
                <c:pt idx="16">
                  <c:v>0.4580886278697277</c:v>
                </c:pt>
                <c:pt idx="17">
                  <c:v>0.68955111278762726</c:v>
                </c:pt>
                <c:pt idx="18">
                  <c:v>0.3576388888888889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Chart!$AG$50</c:f>
              <c:strCache>
                <c:ptCount val="1"/>
                <c:pt idx="0">
                  <c:v>Rookie last month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Chart!$AH$47:$AZ$47</c:f>
              <c:numCache>
                <c:formatCode>mmm\-yy</c:formatCode>
                <c:ptCount val="1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</c:numCache>
            </c:numRef>
          </c:cat>
          <c:val>
            <c:numRef>
              <c:f>Chart!$AH$50:$AZ$50</c:f>
              <c:numCache>
                <c:formatCode>0%</c:formatCode>
                <c:ptCount val="19"/>
                <c:pt idx="0">
                  <c:v>0.15260454878943508</c:v>
                </c:pt>
                <c:pt idx="1">
                  <c:v>0.14088050314465408</c:v>
                </c:pt>
                <c:pt idx="2">
                  <c:v>0.24685138539042822</c:v>
                </c:pt>
                <c:pt idx="3">
                  <c:v>0.38940092165898615</c:v>
                </c:pt>
                <c:pt idx="4">
                  <c:v>0.26557377049180325</c:v>
                </c:pt>
                <c:pt idx="5">
                  <c:v>0.36221701795472289</c:v>
                </c:pt>
                <c:pt idx="6">
                  <c:v>0.29600394671928959</c:v>
                </c:pt>
                <c:pt idx="7">
                  <c:v>0.20689655172413793</c:v>
                </c:pt>
                <c:pt idx="8">
                  <c:v>0.31697341513292432</c:v>
                </c:pt>
                <c:pt idx="9">
                  <c:v>0.26117136659436008</c:v>
                </c:pt>
                <c:pt idx="10">
                  <c:v>0.2565573770491803</c:v>
                </c:pt>
                <c:pt idx="11">
                  <c:v>0.30551053484602919</c:v>
                </c:pt>
                <c:pt idx="12">
                  <c:v>0.15649676956209618</c:v>
                </c:pt>
                <c:pt idx="13">
                  <c:v>0.11682476285571643</c:v>
                </c:pt>
                <c:pt idx="14">
                  <c:v>0.35400516795865633</c:v>
                </c:pt>
                <c:pt idx="15">
                  <c:v>0.25382538253825382</c:v>
                </c:pt>
                <c:pt idx="16">
                  <c:v>0.20113314447592068</c:v>
                </c:pt>
                <c:pt idx="17">
                  <c:v>0.21503017004936917</c:v>
                </c:pt>
                <c:pt idx="18">
                  <c:v>0.1875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Chart!$AG$51</c:f>
              <c:strCache>
                <c:ptCount val="1"/>
                <c:pt idx="0">
                  <c:v>2-3 months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Chart!$AH$47:$AZ$47</c:f>
              <c:numCache>
                <c:formatCode>mmm\-yy</c:formatCode>
                <c:ptCount val="1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</c:numCache>
            </c:numRef>
          </c:cat>
          <c:val>
            <c:numRef>
              <c:f>Chart!$AH$51:$AZ$51</c:f>
              <c:numCache>
                <c:formatCode>0%</c:formatCode>
                <c:ptCount val="19"/>
                <c:pt idx="0">
                  <c:v>0.15241057542768274</c:v>
                </c:pt>
                <c:pt idx="1">
                  <c:v>0.15180102915951973</c:v>
                </c:pt>
                <c:pt idx="2">
                  <c:v>0.1540041067761807</c:v>
                </c:pt>
                <c:pt idx="3">
                  <c:v>0.11513463324048283</c:v>
                </c:pt>
                <c:pt idx="4">
                  <c:v>0.25380710659898476</c:v>
                </c:pt>
                <c:pt idx="5">
                  <c:v>0.25799793601651189</c:v>
                </c:pt>
                <c:pt idx="6">
                  <c:v>0.17298679164891351</c:v>
                </c:pt>
                <c:pt idx="7">
                  <c:v>0.19660582772974705</c:v>
                </c:pt>
                <c:pt idx="8">
                  <c:v>0.17437722419928825</c:v>
                </c:pt>
                <c:pt idx="9">
                  <c:v>0.12512873326467558</c:v>
                </c:pt>
                <c:pt idx="10">
                  <c:v>0.16029776674937965</c:v>
                </c:pt>
                <c:pt idx="11">
                  <c:v>0.2209796466114963</c:v>
                </c:pt>
                <c:pt idx="12">
                  <c:v>0.10175288584865327</c:v>
                </c:pt>
                <c:pt idx="13">
                  <c:v>0.16510538641686182</c:v>
                </c:pt>
                <c:pt idx="14">
                  <c:v>0.12029109589041095</c:v>
                </c:pt>
                <c:pt idx="15">
                  <c:v>0.1321144205249189</c:v>
                </c:pt>
                <c:pt idx="16">
                  <c:v>0.14446580609722603</c:v>
                </c:pt>
                <c:pt idx="17">
                  <c:v>0.11068883610451306</c:v>
                </c:pt>
                <c:pt idx="18">
                  <c:v>0.10388219544846052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Chart!$AG$52</c:f>
              <c:strCache>
                <c:ptCount val="1"/>
                <c:pt idx="0">
                  <c:v>4 - 6 mths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Chart!$AH$47:$AZ$47</c:f>
              <c:numCache>
                <c:formatCode>mmm\-yy</c:formatCode>
                <c:ptCount val="1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</c:numCache>
            </c:numRef>
          </c:cat>
          <c:val>
            <c:numRef>
              <c:f>Chart!$AH$52:$AZ$52</c:f>
              <c:numCache>
                <c:formatCode>0%</c:formatCode>
                <c:ptCount val="19"/>
                <c:pt idx="0">
                  <c:v>0.15224063842848373</c:v>
                </c:pt>
                <c:pt idx="1">
                  <c:v>0.13496932515337423</c:v>
                </c:pt>
                <c:pt idx="2">
                  <c:v>0.25184456468273486</c:v>
                </c:pt>
                <c:pt idx="3">
                  <c:v>0.16524472384373598</c:v>
                </c:pt>
                <c:pt idx="4">
                  <c:v>0.12979351032448377</c:v>
                </c:pt>
                <c:pt idx="5">
                  <c:v>0.15099337748344371</c:v>
                </c:pt>
                <c:pt idx="6">
                  <c:v>0.17397998460354119</c:v>
                </c:pt>
                <c:pt idx="7">
                  <c:v>0.18213866039952997</c:v>
                </c:pt>
                <c:pt idx="8">
                  <c:v>0.16511318242343542</c:v>
                </c:pt>
                <c:pt idx="9">
                  <c:v>0.11564407324124638</c:v>
                </c:pt>
                <c:pt idx="10">
                  <c:v>8.2213438735177863E-2</c:v>
                </c:pt>
                <c:pt idx="11">
                  <c:v>0.15712187958883994</c:v>
                </c:pt>
                <c:pt idx="12">
                  <c:v>6.5412186379928322E-2</c:v>
                </c:pt>
                <c:pt idx="13">
                  <c:v>0.13403416557161629</c:v>
                </c:pt>
                <c:pt idx="14">
                  <c:v>0.23483619850794679</c:v>
                </c:pt>
                <c:pt idx="15">
                  <c:v>0.19096443447612946</c:v>
                </c:pt>
                <c:pt idx="16">
                  <c:v>0.13465952563121653</c:v>
                </c:pt>
                <c:pt idx="17">
                  <c:v>0.14401525989508823</c:v>
                </c:pt>
                <c:pt idx="18">
                  <c:v>0.15106732348111659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Chart!$AG$53</c:f>
              <c:strCache>
                <c:ptCount val="1"/>
                <c:pt idx="0">
                  <c:v>7-12mth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Chart!$AH$47:$AZ$47</c:f>
              <c:numCache>
                <c:formatCode>mmm\-yy</c:formatCode>
                <c:ptCount val="1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</c:numCache>
            </c:numRef>
          </c:cat>
          <c:val>
            <c:numRef>
              <c:f>Chart!$AH$53:$AZ$53</c:f>
              <c:numCache>
                <c:formatCode>0%</c:formatCode>
                <c:ptCount val="19"/>
                <c:pt idx="0">
                  <c:v>0.13077939233817701</c:v>
                </c:pt>
                <c:pt idx="1">
                  <c:v>0.13165769000598443</c:v>
                </c:pt>
                <c:pt idx="2">
                  <c:v>0.20792079207920791</c:v>
                </c:pt>
                <c:pt idx="3">
                  <c:v>0.18163869693978282</c:v>
                </c:pt>
                <c:pt idx="4">
                  <c:v>0.17621980104216012</c:v>
                </c:pt>
                <c:pt idx="5">
                  <c:v>0.21156432093231733</c:v>
                </c:pt>
                <c:pt idx="6">
                  <c:v>0.13830227743271223</c:v>
                </c:pt>
                <c:pt idx="7">
                  <c:v>0.11882046834345186</c:v>
                </c:pt>
                <c:pt idx="8">
                  <c:v>0.13398058252427184</c:v>
                </c:pt>
                <c:pt idx="9">
                  <c:v>0.11239337681886603</c:v>
                </c:pt>
                <c:pt idx="10">
                  <c:v>0.13240740740740742</c:v>
                </c:pt>
                <c:pt idx="11">
                  <c:v>0.21205643437366395</c:v>
                </c:pt>
                <c:pt idx="12">
                  <c:v>5.1013277428371771E-2</c:v>
                </c:pt>
                <c:pt idx="13">
                  <c:v>8.2529888160431927E-2</c:v>
                </c:pt>
                <c:pt idx="14">
                  <c:v>0.16767676767676767</c:v>
                </c:pt>
                <c:pt idx="15">
                  <c:v>0.17007125890736341</c:v>
                </c:pt>
                <c:pt idx="16">
                  <c:v>0.14401363442692799</c:v>
                </c:pt>
                <c:pt idx="17">
                  <c:v>0.13333333333333333</c:v>
                </c:pt>
                <c:pt idx="18">
                  <c:v>0.10559886605244508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Chart!$AG$54</c:f>
              <c:strCache>
                <c:ptCount val="1"/>
                <c:pt idx="0">
                  <c:v>13+mth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Chart!$AH$47:$AZ$47</c:f>
              <c:numCache>
                <c:formatCode>mmm\-yy</c:formatCode>
                <c:ptCount val="19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</c:numCache>
            </c:numRef>
          </c:cat>
          <c:val>
            <c:numRef>
              <c:f>Chart!$AH$54:$AZ$54</c:f>
              <c:numCache>
                <c:formatCode>0%</c:formatCode>
                <c:ptCount val="19"/>
                <c:pt idx="0">
                  <c:v>0.13443396226415094</c:v>
                </c:pt>
                <c:pt idx="1">
                  <c:v>0.10420841683366733</c:v>
                </c:pt>
                <c:pt idx="2">
                  <c:v>0.19557195571955718</c:v>
                </c:pt>
                <c:pt idx="3">
                  <c:v>0.14529914529914531</c:v>
                </c:pt>
                <c:pt idx="4">
                  <c:v>0.1595900439238653</c:v>
                </c:pt>
                <c:pt idx="5">
                  <c:v>0.22996057818659657</c:v>
                </c:pt>
                <c:pt idx="6">
                  <c:v>0.14932680538555693</c:v>
                </c:pt>
                <c:pt idx="7">
                  <c:v>0.15247634947134112</c:v>
                </c:pt>
                <c:pt idx="8">
                  <c:v>0.15478615071283094</c:v>
                </c:pt>
                <c:pt idx="9">
                  <c:v>0.14134924277191371</c:v>
                </c:pt>
                <c:pt idx="10">
                  <c:v>0.1317467063323417</c:v>
                </c:pt>
                <c:pt idx="11">
                  <c:v>0.2</c:v>
                </c:pt>
                <c:pt idx="12">
                  <c:v>7.3658365485794464E-2</c:v>
                </c:pt>
                <c:pt idx="13">
                  <c:v>9.8332620778110308E-2</c:v>
                </c:pt>
                <c:pt idx="14">
                  <c:v>0.16483516483516483</c:v>
                </c:pt>
                <c:pt idx="15">
                  <c:v>0.17766497461928935</c:v>
                </c:pt>
                <c:pt idx="16">
                  <c:v>0.15852885225110971</c:v>
                </c:pt>
                <c:pt idx="17">
                  <c:v>0.14390243902439023</c:v>
                </c:pt>
                <c:pt idx="18">
                  <c:v>0.12648221343873517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205104"/>
        <c:axId val="456201576"/>
      </c:lineChart>
      <c:dateAx>
        <c:axId val="4562051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1576"/>
        <c:crosses val="autoZero"/>
        <c:auto val="1"/>
        <c:lblOffset val="100"/>
        <c:baseTimeUnit val="months"/>
      </c:dateAx>
      <c:valAx>
        <c:axId val="45620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Agency by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'GEN Lion GVL'!$A$143</c:f>
              <c:strCache>
                <c:ptCount val="1"/>
                <c:pt idx="0">
                  <c:v>Mass Agent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 Lion GVL'!$A$142,'GEN Lion GVL'!$A$137)</c:f>
              <c:strCache>
                <c:ptCount val="2"/>
                <c:pt idx="0">
                  <c:v>MP Mix</c:v>
                </c:pt>
                <c:pt idx="1">
                  <c:v>APE Mix</c:v>
                </c:pt>
              </c:strCache>
            </c:strRef>
          </c:cat>
          <c:val>
            <c:numRef>
              <c:f>('GEN Lion GVL'!$BE$143,'GEN Lion GVL'!$BE$138)</c:f>
              <c:numCache>
                <c:formatCode>0%</c:formatCode>
                <c:ptCount val="2"/>
                <c:pt idx="0">
                  <c:v>0.41750554184125183</c:v>
                </c:pt>
                <c:pt idx="1">
                  <c:v>0.26938424708972486</c:v>
                </c:pt>
              </c:numCache>
            </c:numRef>
          </c:val>
        </c:ser>
        <c:ser>
          <c:idx val="1"/>
          <c:order val="1"/>
          <c:tx>
            <c:strRef>
              <c:f>'GEN Lion GVL'!$A$144</c:f>
              <c:strCache>
                <c:ptCount val="1"/>
                <c:pt idx="0">
                  <c:v>3 month Rookie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 Lion GVL'!$A$142,'GEN Lion GVL'!$A$137)</c:f>
              <c:strCache>
                <c:ptCount val="2"/>
                <c:pt idx="0">
                  <c:v>MP Mix</c:v>
                </c:pt>
                <c:pt idx="1">
                  <c:v>APE Mix</c:v>
                </c:pt>
              </c:strCache>
            </c:strRef>
          </c:cat>
          <c:val>
            <c:numRef>
              <c:f>('GEN Lion GVL'!$BE$144,'GEN Lion GVL'!$BE$139)</c:f>
              <c:numCache>
                <c:formatCode>0%</c:formatCode>
                <c:ptCount val="2"/>
                <c:pt idx="0">
                  <c:v>0.53303628621907806</c:v>
                </c:pt>
                <c:pt idx="1">
                  <c:v>0.48679215922446328</c:v>
                </c:pt>
              </c:numCache>
            </c:numRef>
          </c:val>
        </c:ser>
        <c:ser>
          <c:idx val="2"/>
          <c:order val="2"/>
          <c:tx>
            <c:strRef>
              <c:f>'GEN Lion GVL'!$A$145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('GEN Lion GVL'!$A$142,'GEN Lion GVL'!$A$137)</c:f>
              <c:strCache>
                <c:ptCount val="2"/>
                <c:pt idx="0">
                  <c:v>MP Mix</c:v>
                </c:pt>
                <c:pt idx="1">
                  <c:v>APE Mix</c:v>
                </c:pt>
              </c:strCache>
            </c:strRef>
          </c:cat>
          <c:val>
            <c:numRef>
              <c:f>('GEN Lion GVL'!$BE$145,'GEN Lion GVL'!$BE$140)</c:f>
              <c:numCache>
                <c:formatCode>0%</c:formatCode>
                <c:ptCount val="2"/>
                <c:pt idx="0">
                  <c:v>4.9458171939670011E-2</c:v>
                </c:pt>
                <c:pt idx="1">
                  <c:v>0.25886274038467111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100"/>
        <c:axId val="456205888"/>
        <c:axId val="456205496"/>
      </c:barChart>
      <c:catAx>
        <c:axId val="4562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5496"/>
        <c:crosses val="autoZero"/>
        <c:auto val="1"/>
        <c:lblAlgn val="ctr"/>
        <c:lblOffset val="100"/>
        <c:noMultiLvlLbl val="1"/>
      </c:catAx>
      <c:valAx>
        <c:axId val="456205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Active Ratio by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 Lion GVL'!$A$149</c:f>
              <c:strCache>
                <c:ptCount val="1"/>
                <c:pt idx="0">
                  <c:v>Mass Agent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GVL'!$AO$148:$AZ$148</c15:sqref>
                  </c15:fullRef>
                </c:ext>
              </c:extLst>
              <c:f>'GEN Lion GVL'!$AO$148:$AY$148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GVL'!$AO$149:$AZ$149</c15:sqref>
                  </c15:fullRef>
                </c:ext>
              </c:extLst>
              <c:f>'GEN Lion GVL'!$AO$149:$AY$149</c:f>
              <c:numCache>
                <c:formatCode>0%</c:formatCode>
                <c:ptCount val="11"/>
                <c:pt idx="0">
                  <c:v>5.8951965065502182E-2</c:v>
                </c:pt>
                <c:pt idx="1">
                  <c:v>0.14717679728478864</c:v>
                </c:pt>
                <c:pt idx="2">
                  <c:v>0.19161849710982659</c:v>
                </c:pt>
                <c:pt idx="3">
                  <c:v>0.15238740264138165</c:v>
                </c:pt>
                <c:pt idx="4">
                  <c:v>0.12120128709331426</c:v>
                </c:pt>
                <c:pt idx="5">
                  <c:v>0.11301609517144856</c:v>
                </c:pt>
                <c:pt idx="6">
                  <c:v>0.10831234256926953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'GEN Lion GVL'!$A$150</c:f>
              <c:strCache>
                <c:ptCount val="1"/>
                <c:pt idx="0">
                  <c:v>3 month Rookie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GVL'!$AO$148:$AZ$148</c15:sqref>
                  </c15:fullRef>
                </c:ext>
              </c:extLst>
              <c:f>'GEN Lion GVL'!$AO$148:$AY$148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GVL'!$AO$150:$AZ$150</c15:sqref>
                  </c15:fullRef>
                </c:ext>
              </c:extLst>
              <c:f>'GEN Lion GVL'!$AO$150:$AY$150</c:f>
              <c:numCache>
                <c:formatCode>0%</c:formatCode>
                <c:ptCount val="11"/>
                <c:pt idx="0">
                  <c:v>0.14035087719298245</c:v>
                </c:pt>
                <c:pt idx="1">
                  <c:v>0.20153774464119292</c:v>
                </c:pt>
                <c:pt idx="2">
                  <c:v>0.27455678006708195</c:v>
                </c:pt>
                <c:pt idx="3">
                  <c:v>0.26393629124004553</c:v>
                </c:pt>
                <c:pt idx="4">
                  <c:v>0.21892161757363954</c:v>
                </c:pt>
                <c:pt idx="5">
                  <c:v>0.2891252441936184</c:v>
                </c:pt>
                <c:pt idx="6">
                  <c:v>0.20804195804195805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'GEN Lion GVL'!$A$151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GVL'!$AO$148:$AZ$148</c15:sqref>
                  </c15:fullRef>
                </c:ext>
              </c:extLst>
              <c:f>'GEN Lion GVL'!$AO$148:$AY$148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GVL'!$AO$151:$AZ$151</c15:sqref>
                  </c15:fullRef>
                </c:ext>
              </c:extLst>
              <c:f>'GEN Lion GVL'!$AO$151:$AY$151</c:f>
              <c:numCache>
                <c:formatCode>0%</c:formatCode>
                <c:ptCount val="11"/>
                <c:pt idx="0">
                  <c:v>0.55862068965517242</c:v>
                </c:pt>
                <c:pt idx="1">
                  <c:v>0.69930069930069927</c:v>
                </c:pt>
                <c:pt idx="2">
                  <c:v>0.74125874125874125</c:v>
                </c:pt>
                <c:pt idx="3">
                  <c:v>0.51870748299319724</c:v>
                </c:pt>
                <c:pt idx="4">
                  <c:v>0.43500866551126516</c:v>
                </c:pt>
                <c:pt idx="5">
                  <c:v>0.42363636363636364</c:v>
                </c:pt>
                <c:pt idx="6">
                  <c:v>0.35039370078740156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206672"/>
        <c:axId val="456207064"/>
      </c:lineChart>
      <c:dateAx>
        <c:axId val="4562066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7064"/>
        <c:crosses val="autoZero"/>
        <c:auto val="1"/>
        <c:lblOffset val="100"/>
        <c:baseTimeUnit val="months"/>
      </c:dateAx>
      <c:valAx>
        <c:axId val="45620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Case Size by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 Lion GVL'!$A$154</c:f>
              <c:strCache>
                <c:ptCount val="1"/>
                <c:pt idx="0">
                  <c:v>Mass Agent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GVL'!$AO$148:$AZ$148</c15:sqref>
                  </c15:fullRef>
                </c:ext>
              </c:extLst>
              <c:f>'GEN Lion GVL'!$AO$148:$AY$148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GVL'!$AO$154:$AZ$154</c15:sqref>
                  </c15:fullRef>
                </c:ext>
              </c:extLst>
              <c:f>'GEN Lion GVL'!$AO$154:$AY$154</c:f>
              <c:numCache>
                <c:formatCode>0.0</c:formatCode>
                <c:ptCount val="11"/>
                <c:pt idx="0">
                  <c:v>16.794154222766217</c:v>
                </c:pt>
                <c:pt idx="1">
                  <c:v>16.834050549450549</c:v>
                </c:pt>
                <c:pt idx="2">
                  <c:v>16.318494722349701</c:v>
                </c:pt>
                <c:pt idx="3">
                  <c:v>16.937900629811054</c:v>
                </c:pt>
                <c:pt idx="4">
                  <c:v>13.143904382470119</c:v>
                </c:pt>
                <c:pt idx="5">
                  <c:v>17.539966072943173</c:v>
                </c:pt>
                <c:pt idx="6">
                  <c:v>19.203067150635206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'GEN Lion GVL'!$A$155</c:f>
              <c:strCache>
                <c:ptCount val="1"/>
                <c:pt idx="0">
                  <c:v>3 month Rookie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GVL'!$AO$148:$AZ$148</c15:sqref>
                  </c15:fullRef>
                </c:ext>
              </c:extLst>
              <c:f>'GEN Lion GVL'!$AO$148:$AY$148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GVL'!$AO$155:$AZ$155</c15:sqref>
                  </c15:fullRef>
                </c:ext>
              </c:extLst>
              <c:f>'GEN Lion GVL'!$AO$155:$AY$155</c:f>
              <c:numCache>
                <c:formatCode>0.0</c:formatCode>
                <c:ptCount val="11"/>
                <c:pt idx="0">
                  <c:v>14.170920061887571</c:v>
                </c:pt>
                <c:pt idx="1">
                  <c:v>14.942372168284805</c:v>
                </c:pt>
                <c:pt idx="2">
                  <c:v>14.446659804426144</c:v>
                </c:pt>
                <c:pt idx="3">
                  <c:v>14.33498945888967</c:v>
                </c:pt>
                <c:pt idx="4">
                  <c:v>14.799328762179719</c:v>
                </c:pt>
                <c:pt idx="5">
                  <c:v>14.262841978287094</c:v>
                </c:pt>
                <c:pt idx="6">
                  <c:v>15.136618680950788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'GEN Lion GVL'!$A$156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GVL'!$AO$148:$AZ$148</c15:sqref>
                  </c15:fullRef>
                </c:ext>
              </c:extLst>
              <c:f>'GEN Lion GVL'!$AO$148:$AY$148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GVL'!$AO$156:$AZ$156</c15:sqref>
                  </c15:fullRef>
                </c:ext>
              </c:extLst>
              <c:f>'GEN Lion GVL'!$AO$156:$AY$156</c:f>
              <c:numCache>
                <c:formatCode>0.0</c:formatCode>
                <c:ptCount val="11"/>
                <c:pt idx="0">
                  <c:v>22.4601875</c:v>
                </c:pt>
                <c:pt idx="1">
                  <c:v>32.71586585365857</c:v>
                </c:pt>
                <c:pt idx="2">
                  <c:v>26.061524547803621</c:v>
                </c:pt>
                <c:pt idx="3">
                  <c:v>20.095620998719589</c:v>
                </c:pt>
                <c:pt idx="4">
                  <c:v>21.665062362435805</c:v>
                </c:pt>
                <c:pt idx="5">
                  <c:v>21.616416978776531</c:v>
                </c:pt>
                <c:pt idx="6">
                  <c:v>20.286642402183805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183152"/>
        <c:axId val="456177664"/>
      </c:lineChart>
      <c:dateAx>
        <c:axId val="45618315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77664"/>
        <c:crosses val="autoZero"/>
        <c:auto val="1"/>
        <c:lblOffset val="100"/>
        <c:baseTimeUnit val="months"/>
      </c:dateAx>
      <c:valAx>
        <c:axId val="4561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Case per Active by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 Lion GVL'!$A$159</c:f>
              <c:strCache>
                <c:ptCount val="1"/>
                <c:pt idx="0">
                  <c:v>Mass Agent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GVL'!$AO$3:$AZ$3</c15:sqref>
                  </c15:fullRef>
                </c:ext>
              </c:extLst>
              <c:f>'GEN Lion GVL'!$AO$3:$AY$3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GVL'!$AO$159:$AZ$159</c15:sqref>
                  </c15:fullRef>
                </c:ext>
              </c:extLst>
              <c:f>'GEN Lion GVL'!$AO$159:$AY$159</c:f>
              <c:numCache>
                <c:formatCode>0.0</c:formatCode>
                <c:ptCount val="11"/>
                <c:pt idx="0">
                  <c:v>1.2608024691358024</c:v>
                </c:pt>
                <c:pt idx="1">
                  <c:v>1.4308176100628931</c:v>
                </c:pt>
                <c:pt idx="2">
                  <c:v>1.643288084464555</c:v>
                </c:pt>
                <c:pt idx="3">
                  <c:v>1.5877777777777777</c:v>
                </c:pt>
                <c:pt idx="4">
                  <c:v>3.7020648967551621</c:v>
                </c:pt>
                <c:pt idx="5">
                  <c:v>1.8250773993808049</c:v>
                </c:pt>
                <c:pt idx="6">
                  <c:v>1.830564784053156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'GEN Lion GVL'!$A$160</c:f>
              <c:strCache>
                <c:ptCount val="1"/>
                <c:pt idx="0">
                  <c:v>3 month Rookie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GVL'!$AO$3:$AZ$3</c15:sqref>
                  </c15:fullRef>
                </c:ext>
              </c:extLst>
              <c:f>'GEN Lion GVL'!$AO$3:$AY$3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GVL'!$AO$160:$AZ$160</c15:sqref>
                  </c15:fullRef>
                </c:ext>
              </c:extLst>
              <c:f>'GEN Lion GVL'!$AO$160:$AY$160</c:f>
              <c:numCache>
                <c:formatCode>0.0</c:formatCode>
                <c:ptCount val="11"/>
                <c:pt idx="0">
                  <c:v>1.5738636363636365</c:v>
                </c:pt>
                <c:pt idx="1">
                  <c:v>1.4289017341040462</c:v>
                </c:pt>
                <c:pt idx="2">
                  <c:v>1.6954624781849912</c:v>
                </c:pt>
                <c:pt idx="3">
                  <c:v>1.5334051724137931</c:v>
                </c:pt>
                <c:pt idx="4">
                  <c:v>1.5798175598631699</c:v>
                </c:pt>
                <c:pt idx="5">
                  <c:v>1.5559309309309308</c:v>
                </c:pt>
                <c:pt idx="6">
                  <c:v>1.5688025210084033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'GEN Lion GVL'!$A$161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GVL'!$AO$3:$AZ$3</c15:sqref>
                  </c15:fullRef>
                </c:ext>
              </c:extLst>
              <c:f>'GEN Lion GVL'!$AO$3:$AY$3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GVL'!$AO$161:$AZ$161</c15:sqref>
                  </c15:fullRef>
                </c:ext>
              </c:extLst>
              <c:f>'GEN Lion GVL'!$AO$161:$AY$161</c:f>
              <c:numCache>
                <c:formatCode>0.0</c:formatCode>
                <c:ptCount val="11"/>
                <c:pt idx="0">
                  <c:v>2.7654320987654319</c:v>
                </c:pt>
                <c:pt idx="1">
                  <c:v>2.87</c:v>
                </c:pt>
                <c:pt idx="2">
                  <c:v>3.6509433962264151</c:v>
                </c:pt>
                <c:pt idx="3">
                  <c:v>2.5606557377049182</c:v>
                </c:pt>
                <c:pt idx="4">
                  <c:v>2.7151394422310755</c:v>
                </c:pt>
                <c:pt idx="5">
                  <c:v>3.4377682403433476</c:v>
                </c:pt>
                <c:pt idx="6">
                  <c:v>3.0870786516853932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181192"/>
        <c:axId val="456181584"/>
      </c:lineChart>
      <c:dateAx>
        <c:axId val="45618119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1584"/>
        <c:crosses val="autoZero"/>
        <c:auto val="1"/>
        <c:lblOffset val="100"/>
        <c:baseTimeUnit val="months"/>
      </c:dateAx>
      <c:valAx>
        <c:axId val="4561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APE/ Manpower by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 Lion GVL'!$A$164</c:f>
              <c:strCache>
                <c:ptCount val="1"/>
                <c:pt idx="0">
                  <c:v>Mass Agent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GVL'!$AO$148:$AZ$148</c15:sqref>
                  </c15:fullRef>
                </c:ext>
              </c:extLst>
              <c:f>'GEN Lion GVL'!$AO$148:$AY$148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GVL'!$AO$164:$AZ$164</c15:sqref>
                  </c15:fullRef>
                </c:ext>
              </c:extLst>
              <c:f>'GEN Lion GVL'!$AO$164:$AY$164</c:f>
              <c:numCache>
                <c:formatCode>0.0</c:formatCode>
                <c:ptCount val="11"/>
                <c:pt idx="0">
                  <c:v>1.2482554585152839</c:v>
                </c:pt>
                <c:pt idx="1">
                  <c:v>3.5449674483184199</c:v>
                </c:pt>
                <c:pt idx="2">
                  <c:v>5.1384393063583813</c:v>
                </c:pt>
                <c:pt idx="3">
                  <c:v>4.0982492380629862</c:v>
                </c:pt>
                <c:pt idx="4">
                  <c:v>5.8976045763317835</c:v>
                </c:pt>
                <c:pt idx="5">
                  <c:v>3.6178481455563336</c:v>
                </c:pt>
                <c:pt idx="6">
                  <c:v>3.8074451241453757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'GEN Lion GVL'!$A$165</c:f>
              <c:strCache>
                <c:ptCount val="1"/>
                <c:pt idx="0">
                  <c:v>3 month Rookie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GVL'!$AO$148:$AZ$148</c15:sqref>
                  </c15:fullRef>
                </c:ext>
              </c:extLst>
              <c:f>'GEN Lion GVL'!$AO$148:$AY$148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GVL'!$AO$165:$AZ$165</c15:sqref>
                  </c15:fullRef>
                </c:ext>
              </c:extLst>
              <c:f>'GEN Lion GVL'!$AO$165:$AY$165</c:f>
              <c:numCache>
                <c:formatCode>0.0</c:formatCode>
                <c:ptCount val="11"/>
                <c:pt idx="0">
                  <c:v>3.1302590567327409</c:v>
                </c:pt>
                <c:pt idx="1">
                  <c:v>4.3030689655172454</c:v>
                </c:pt>
                <c:pt idx="2">
                  <c:v>6.7249305222807854</c:v>
                </c:pt>
                <c:pt idx="3">
                  <c:v>5.8016751990898747</c:v>
                </c:pt>
                <c:pt idx="4">
                  <c:v>5.1184398402396409</c:v>
                </c:pt>
                <c:pt idx="5">
                  <c:v>6.4162665509008034</c:v>
                </c:pt>
                <c:pt idx="6">
                  <c:v>4.9402403846153851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'GEN Lion GVL'!$A$166</c:f>
              <c:strCache>
                <c:ptCount val="1"/>
                <c:pt idx="0">
                  <c:v>MDRT/ GEN Lion (from Apr '17)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'GEN Lion GVL'!$AO$148:$AZ$148</c15:sqref>
                  </c15:fullRef>
                </c:ext>
              </c:extLst>
              <c:f>'GEN Lion GVL'!$AO$148:$AY$148</c:f>
              <c:numCache>
                <c:formatCode>mmm\-yy</c:formatCode>
                <c:ptCount val="11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'GEN Lion GVL'!$AO$166:$AZ$166</c15:sqref>
                  </c15:fullRef>
                </c:ext>
              </c:extLst>
              <c:f>'GEN Lion GVL'!$AO$166:$AY$166</c:f>
              <c:numCache>
                <c:formatCode>0.0</c:formatCode>
                <c:ptCount val="11"/>
                <c:pt idx="0">
                  <c:v>34.69711724137931</c:v>
                </c:pt>
                <c:pt idx="1">
                  <c:v>65.660513986014067</c:v>
                </c:pt>
                <c:pt idx="2">
                  <c:v>70.530139860139869</c:v>
                </c:pt>
                <c:pt idx="3">
                  <c:v>26.691632653061227</c:v>
                </c:pt>
                <c:pt idx="4">
                  <c:v>25.588804159445406</c:v>
                </c:pt>
                <c:pt idx="5">
                  <c:v>31.481363636363636</c:v>
                </c:pt>
                <c:pt idx="6">
                  <c:v>21.943917322834647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183936"/>
        <c:axId val="456180408"/>
      </c:lineChart>
      <c:dateAx>
        <c:axId val="4561839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0408"/>
        <c:crosses val="autoZero"/>
        <c:auto val="1"/>
        <c:lblOffset val="100"/>
        <c:baseTimeUnit val="months"/>
      </c:dateAx>
      <c:valAx>
        <c:axId val="4561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Active Ratio by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Agency'!$A$151</c:f>
              <c:strCache>
                <c:ptCount val="1"/>
                <c:pt idx="0">
                  <c:v>Mass Agent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'Full Agency'!$AO$150:$AZ$150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'Full Agency'!$AO$151:$AZ$151</c:f>
              <c:numCache>
                <c:formatCode>0%</c:formatCode>
                <c:ptCount val="12"/>
                <c:pt idx="0">
                  <c:v>5.8951965065502182E-2</c:v>
                </c:pt>
                <c:pt idx="1">
                  <c:v>0.14717679728478864</c:v>
                </c:pt>
                <c:pt idx="2">
                  <c:v>0.19161849710982659</c:v>
                </c:pt>
                <c:pt idx="3">
                  <c:v>0.18461998803111909</c:v>
                </c:pt>
                <c:pt idx="4">
                  <c:v>0.14705882352941177</c:v>
                </c:pt>
                <c:pt idx="5">
                  <c:v>0.1382063882063882</c:v>
                </c:pt>
                <c:pt idx="6">
                  <c:v>0.12610619469026549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Agency'!$A$152</c:f>
              <c:strCache>
                <c:ptCount val="1"/>
                <c:pt idx="0">
                  <c:v>3 month Rookie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'Full Agency'!$AO$150:$AZ$150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'Full Agency'!$AO$152:$AZ$152</c:f>
              <c:numCache>
                <c:formatCode>0%</c:formatCode>
                <c:ptCount val="12"/>
                <c:pt idx="0">
                  <c:v>0.14035087719298245</c:v>
                </c:pt>
                <c:pt idx="1">
                  <c:v>0.20153774464119292</c:v>
                </c:pt>
                <c:pt idx="2">
                  <c:v>0.27455678006708195</c:v>
                </c:pt>
                <c:pt idx="3">
                  <c:v>0.269907795473596</c:v>
                </c:pt>
                <c:pt idx="4">
                  <c:v>0.22329138909449792</c:v>
                </c:pt>
                <c:pt idx="5">
                  <c:v>0.29000215936082918</c:v>
                </c:pt>
                <c:pt idx="6">
                  <c:v>0.20804195804195805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Agency'!$A$153</c:f>
              <c:strCache>
                <c:ptCount val="1"/>
                <c:pt idx="0">
                  <c:v>MDRT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'Full Agency'!$AO$150:$AZ$150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'Full Agency'!$AO$153:$AZ$153</c:f>
              <c:numCache>
                <c:formatCode>0%</c:formatCode>
                <c:ptCount val="12"/>
                <c:pt idx="0">
                  <c:v>0.55862068965517242</c:v>
                </c:pt>
                <c:pt idx="1">
                  <c:v>0.69930069930069927</c:v>
                </c:pt>
                <c:pt idx="2">
                  <c:v>0.74125874125874125</c:v>
                </c:pt>
                <c:pt idx="3">
                  <c:v>0.73529411764705888</c:v>
                </c:pt>
                <c:pt idx="4">
                  <c:v>0.70229007633587781</c:v>
                </c:pt>
                <c:pt idx="5">
                  <c:v>0.7421875</c:v>
                </c:pt>
                <c:pt idx="6">
                  <c:v>0.65040650406504064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190208"/>
        <c:axId val="456196480"/>
      </c:lineChart>
      <c:dateAx>
        <c:axId val="4561902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6480"/>
        <c:crosses val="autoZero"/>
        <c:auto val="1"/>
        <c:lblOffset val="100"/>
        <c:baseTimeUnit val="months"/>
      </c:dateAx>
      <c:valAx>
        <c:axId val="4561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Case Size by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Agency'!$A$156</c:f>
              <c:strCache>
                <c:ptCount val="1"/>
                <c:pt idx="0">
                  <c:v>Mass Agent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'Full Agency'!$AO$150:$AZ$150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'Full Agency'!$AO$156:$AZ$156</c:f>
              <c:numCache>
                <c:formatCode>0.0</c:formatCode>
                <c:ptCount val="12"/>
                <c:pt idx="0">
                  <c:v>16.794154222766217</c:v>
                </c:pt>
                <c:pt idx="1">
                  <c:v>16.834050549450549</c:v>
                </c:pt>
                <c:pt idx="2">
                  <c:v>16.318494722349701</c:v>
                </c:pt>
                <c:pt idx="3">
                  <c:v>16.304917182294144</c:v>
                </c:pt>
                <c:pt idx="4">
                  <c:v>13.975892074198986</c:v>
                </c:pt>
                <c:pt idx="5">
                  <c:v>18.051092258748675</c:v>
                </c:pt>
                <c:pt idx="6">
                  <c:v>17.80792288710672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Agency'!$A$157</c:f>
              <c:strCache>
                <c:ptCount val="1"/>
                <c:pt idx="0">
                  <c:v>3 month Rookie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'Full Agency'!$AO$150:$AZ$150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'Full Agency'!$AO$157:$AZ$157</c:f>
              <c:numCache>
                <c:formatCode>0.0</c:formatCode>
                <c:ptCount val="12"/>
                <c:pt idx="0">
                  <c:v>14.170920061887571</c:v>
                </c:pt>
                <c:pt idx="1">
                  <c:v>14.942372168284805</c:v>
                </c:pt>
                <c:pt idx="2">
                  <c:v>14.446659804426144</c:v>
                </c:pt>
                <c:pt idx="3">
                  <c:v>14.625971840209573</c:v>
                </c:pt>
                <c:pt idx="4">
                  <c:v>15.283087790111001</c:v>
                </c:pt>
                <c:pt idx="5">
                  <c:v>14.422545198403382</c:v>
                </c:pt>
                <c:pt idx="6">
                  <c:v>15.136624372279917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Agency'!$A$158</c:f>
              <c:strCache>
                <c:ptCount val="1"/>
                <c:pt idx="0">
                  <c:v>MDRT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'Full Agency'!$AO$150:$AZ$150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'Full Agency'!$AO$158:$AZ$158</c:f>
              <c:numCache>
                <c:formatCode>0.0</c:formatCode>
                <c:ptCount val="12"/>
                <c:pt idx="0">
                  <c:v>22.4601875</c:v>
                </c:pt>
                <c:pt idx="1">
                  <c:v>32.71586585365857</c:v>
                </c:pt>
                <c:pt idx="2">
                  <c:v>26.061524547803621</c:v>
                </c:pt>
                <c:pt idx="3">
                  <c:v>25.610891495601233</c:v>
                </c:pt>
                <c:pt idx="4">
                  <c:v>23.589915014164305</c:v>
                </c:pt>
                <c:pt idx="5">
                  <c:v>24.274827144686299</c:v>
                </c:pt>
                <c:pt idx="6">
                  <c:v>25.155434482758679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193344"/>
        <c:axId val="456195304"/>
      </c:lineChart>
      <c:dateAx>
        <c:axId val="45619334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5304"/>
        <c:crosses val="autoZero"/>
        <c:auto val="1"/>
        <c:lblOffset val="100"/>
        <c:baseTimeUnit val="months"/>
      </c:dateAx>
      <c:valAx>
        <c:axId val="45619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Case per Active by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Agency'!$A$161</c:f>
              <c:strCache>
                <c:ptCount val="1"/>
                <c:pt idx="0">
                  <c:v>Mass Agent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'Full Agency'!$AO$3:$AZ$3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'Full Agency'!$AO$161:$AZ$161</c:f>
              <c:numCache>
                <c:formatCode>0.0</c:formatCode>
                <c:ptCount val="12"/>
                <c:pt idx="0">
                  <c:v>1.2608024691358024</c:v>
                </c:pt>
                <c:pt idx="1">
                  <c:v>1.4308176100628931</c:v>
                </c:pt>
                <c:pt idx="2">
                  <c:v>1.643288084464555</c:v>
                </c:pt>
                <c:pt idx="3">
                  <c:v>1.7025931928687197</c:v>
                </c:pt>
                <c:pt idx="4">
                  <c:v>3.1542553191489362</c:v>
                </c:pt>
                <c:pt idx="5">
                  <c:v>2.0955555555555554</c:v>
                </c:pt>
                <c:pt idx="6">
                  <c:v>2.0313283208020052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Agency'!$A$162</c:f>
              <c:strCache>
                <c:ptCount val="1"/>
                <c:pt idx="0">
                  <c:v>3 month Rookie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'Full Agency'!$AO$3:$AZ$3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'Full Agency'!$AO$162:$AZ$162</c:f>
              <c:numCache>
                <c:formatCode>0.0</c:formatCode>
                <c:ptCount val="12"/>
                <c:pt idx="0">
                  <c:v>1.5738636363636365</c:v>
                </c:pt>
                <c:pt idx="1">
                  <c:v>1.4289017341040462</c:v>
                </c:pt>
                <c:pt idx="2">
                  <c:v>1.6954624781849912</c:v>
                </c:pt>
                <c:pt idx="3">
                  <c:v>1.5807453416149069</c:v>
                </c:pt>
                <c:pt idx="4">
                  <c:v>1.6425414364640885</c:v>
                </c:pt>
                <c:pt idx="5">
                  <c:v>1.5856291883842144</c:v>
                </c:pt>
                <c:pt idx="6">
                  <c:v>1.5688025210084033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Agency'!$A$163</c:f>
              <c:strCache>
                <c:ptCount val="1"/>
                <c:pt idx="0">
                  <c:v>MDRT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'Full Agency'!$AO$3:$AZ$3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'Full Agency'!$AO$163:$AZ$163</c:f>
              <c:numCache>
                <c:formatCode>0.0</c:formatCode>
                <c:ptCount val="12"/>
                <c:pt idx="0">
                  <c:v>2.7654320987654319</c:v>
                </c:pt>
                <c:pt idx="1">
                  <c:v>2.87</c:v>
                </c:pt>
                <c:pt idx="2">
                  <c:v>3.6509433962264151</c:v>
                </c:pt>
                <c:pt idx="3">
                  <c:v>3.41</c:v>
                </c:pt>
                <c:pt idx="4">
                  <c:v>3.8369565217391304</c:v>
                </c:pt>
                <c:pt idx="5">
                  <c:v>4.1105263157894738</c:v>
                </c:pt>
                <c:pt idx="6">
                  <c:v>3.625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198832"/>
        <c:axId val="456196088"/>
      </c:lineChart>
      <c:dateAx>
        <c:axId val="45619883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6088"/>
        <c:crosses val="autoZero"/>
        <c:auto val="1"/>
        <c:lblOffset val="100"/>
        <c:baseTimeUnit val="months"/>
      </c:dateAx>
      <c:valAx>
        <c:axId val="45619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APE/ Manpower by Segmentation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'Full Agency'!$A$166</c:f>
              <c:strCache>
                <c:ptCount val="1"/>
                <c:pt idx="0">
                  <c:v>Mass Agent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'Full Agency'!$AO$150:$AZ$150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'Full Agency'!$AO$166:$AZ$166</c:f>
              <c:numCache>
                <c:formatCode>0.0</c:formatCode>
                <c:ptCount val="12"/>
                <c:pt idx="0">
                  <c:v>1.2482554585152839</c:v>
                </c:pt>
                <c:pt idx="1">
                  <c:v>3.5449674483184199</c:v>
                </c:pt>
                <c:pt idx="2">
                  <c:v>5.1384393063583813</c:v>
                </c:pt>
                <c:pt idx="3">
                  <c:v>5.1251692100538593</c:v>
                </c:pt>
                <c:pt idx="4">
                  <c:v>6.4828723404255317</c:v>
                </c:pt>
                <c:pt idx="5">
                  <c:v>5.2279422604422603</c:v>
                </c:pt>
                <c:pt idx="6">
                  <c:v>4.5617324589127675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'Full Agency'!$A$167</c:f>
              <c:strCache>
                <c:ptCount val="1"/>
                <c:pt idx="0">
                  <c:v>3 month Rookie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'Full Agency'!$AO$150:$AZ$150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'Full Agency'!$AO$167:$AZ$167</c:f>
              <c:numCache>
                <c:formatCode>0.0</c:formatCode>
                <c:ptCount val="12"/>
                <c:pt idx="0">
                  <c:v>3.1302590567327409</c:v>
                </c:pt>
                <c:pt idx="1">
                  <c:v>4.3030689655172454</c:v>
                </c:pt>
                <c:pt idx="2">
                  <c:v>6.7249305222807854</c:v>
                </c:pt>
                <c:pt idx="3">
                  <c:v>6.2402511874825422</c:v>
                </c:pt>
                <c:pt idx="4">
                  <c:v>5.6053071798667657</c:v>
                </c:pt>
                <c:pt idx="5">
                  <c:v>6.6320038868494926</c:v>
                </c:pt>
                <c:pt idx="6">
                  <c:v>4.9402422421328795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'Full Agency'!$A$168</c:f>
              <c:strCache>
                <c:ptCount val="1"/>
                <c:pt idx="0">
                  <c:v>MDRT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'Full Agency'!$AO$150:$AZ$150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'Full Agency'!$AO$168:$AZ$168</c:f>
              <c:numCache>
                <c:formatCode>0.0</c:formatCode>
                <c:ptCount val="12"/>
                <c:pt idx="0">
                  <c:v>34.69711724137931</c:v>
                </c:pt>
                <c:pt idx="1">
                  <c:v>65.660513986014067</c:v>
                </c:pt>
                <c:pt idx="2">
                  <c:v>70.530139860139869</c:v>
                </c:pt>
                <c:pt idx="3">
                  <c:v>64.215544117647212</c:v>
                </c:pt>
                <c:pt idx="4">
                  <c:v>63.566717557251906</c:v>
                </c:pt>
                <c:pt idx="5">
                  <c:v>74.057187499999998</c:v>
                </c:pt>
                <c:pt idx="6">
                  <c:v>59.309560975609891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6196872"/>
        <c:axId val="456197264"/>
      </c:lineChart>
      <c:dateAx>
        <c:axId val="4561968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7264"/>
        <c:crosses val="autoZero"/>
        <c:auto val="1"/>
        <c:lblOffset val="100"/>
        <c:baseTimeUnit val="months"/>
      </c:dateAx>
      <c:valAx>
        <c:axId val="4561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APE by Segmentation - North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Chart!$A$20</c:f>
              <c:strCache>
                <c:ptCount val="1"/>
                <c:pt idx="0">
                  <c:v>Mass Agent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Chart!$B$3:$M$3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Chart!$B$20:$M$20</c:f>
              <c:numCache>
                <c:formatCode>0%</c:formatCode>
                <c:ptCount val="12"/>
                <c:pt idx="0">
                  <c:v>0.27737092188776435</c:v>
                </c:pt>
                <c:pt idx="1">
                  <c:v>0.30317266011096422</c:v>
                </c:pt>
                <c:pt idx="2">
                  <c:v>0.2942695060606732</c:v>
                </c:pt>
                <c:pt idx="3">
                  <c:v>0.3110309011275797</c:v>
                </c:pt>
                <c:pt idx="4">
                  <c:v>0.29276843646732209</c:v>
                </c:pt>
                <c:pt idx="5">
                  <c:v>0.21138096686100569</c:v>
                </c:pt>
                <c:pt idx="6">
                  <c:v>0.24973936237146671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Chart!$A$21</c:f>
              <c:strCache>
                <c:ptCount val="1"/>
                <c:pt idx="0">
                  <c:v>3 month Rookie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Chart!$B$3:$M$3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Chart!$B$21:$M$21</c:f>
              <c:numCache>
                <c:formatCode>0%</c:formatCode>
                <c:ptCount val="12"/>
                <c:pt idx="0">
                  <c:v>0.63728379028386528</c:v>
                </c:pt>
                <c:pt idx="1">
                  <c:v>0.53722225751095753</c:v>
                </c:pt>
                <c:pt idx="2">
                  <c:v>0.60781860755269124</c:v>
                </c:pt>
                <c:pt idx="3">
                  <c:v>0.52461276741245388</c:v>
                </c:pt>
                <c:pt idx="4">
                  <c:v>0.56505400955159435</c:v>
                </c:pt>
                <c:pt idx="5">
                  <c:v>0.69678690053623549</c:v>
                </c:pt>
                <c:pt idx="6">
                  <c:v>0.63287429442007737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Chart!$A$22</c:f>
              <c:strCache>
                <c:ptCount val="1"/>
                <c:pt idx="0">
                  <c:v>MDRT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Chart!$B$3:$M$3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Chart!$B$22:$M$22</c:f>
              <c:numCache>
                <c:formatCode>0%</c:formatCode>
                <c:ptCount val="12"/>
                <c:pt idx="0">
                  <c:v>8.53452878283706E-2</c:v>
                </c:pt>
                <c:pt idx="1">
                  <c:v>0.10585924429535361</c:v>
                </c:pt>
                <c:pt idx="2">
                  <c:v>7.1018761193157892E-2</c:v>
                </c:pt>
                <c:pt idx="3">
                  <c:v>8.285018381170639E-2</c:v>
                </c:pt>
                <c:pt idx="4">
                  <c:v>0.10142818426332703</c:v>
                </c:pt>
                <c:pt idx="5">
                  <c:v>6.7900363727800617E-2</c:v>
                </c:pt>
                <c:pt idx="6">
                  <c:v>8.356659416121355E-2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188248"/>
        <c:axId val="456190600"/>
      </c:barChart>
      <c:dateAx>
        <c:axId val="4561882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0600"/>
        <c:crosses val="autoZero"/>
        <c:auto val="1"/>
        <c:lblOffset val="100"/>
        <c:baseTimeUnit val="months"/>
      </c:dateAx>
      <c:valAx>
        <c:axId val="45619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8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APE by Segmentation - South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Chart!$S$20</c:f>
              <c:strCache>
                <c:ptCount val="1"/>
                <c:pt idx="0">
                  <c:v>Mass Agent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Chart!$T$3:$AE$3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Chart!$T$20:$AE$20</c:f>
              <c:numCache>
                <c:formatCode>0%</c:formatCode>
                <c:ptCount val="12"/>
                <c:pt idx="0">
                  <c:v>0.25789815778108333</c:v>
                </c:pt>
                <c:pt idx="1">
                  <c:v>0.25883376546456754</c:v>
                </c:pt>
                <c:pt idx="2">
                  <c:v>0.32708649612047574</c:v>
                </c:pt>
                <c:pt idx="3">
                  <c:v>0.36016334378982318</c:v>
                </c:pt>
                <c:pt idx="4">
                  <c:v>0.4582438222955269</c:v>
                </c:pt>
                <c:pt idx="5">
                  <c:v>0.36533477925620794</c:v>
                </c:pt>
                <c:pt idx="6">
                  <c:v>0.38220525143769585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Chart!$S$21</c:f>
              <c:strCache>
                <c:ptCount val="1"/>
                <c:pt idx="0">
                  <c:v>3 month Rookie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Chart!$T$3:$AE$3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Chart!$T$21:$AE$21</c:f>
              <c:numCache>
                <c:formatCode>0%</c:formatCode>
                <c:ptCount val="12"/>
                <c:pt idx="0">
                  <c:v>0.43406728686092139</c:v>
                </c:pt>
                <c:pt idx="1">
                  <c:v>0.36851549210742518</c:v>
                </c:pt>
                <c:pt idx="2">
                  <c:v>0.36163537986827327</c:v>
                </c:pt>
                <c:pt idx="3">
                  <c:v>0.33947107421529898</c:v>
                </c:pt>
                <c:pt idx="4">
                  <c:v>0.33066798854429724</c:v>
                </c:pt>
                <c:pt idx="5">
                  <c:v>0.37864260089277929</c:v>
                </c:pt>
                <c:pt idx="6">
                  <c:v>0.36704913941478678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Chart!$S$22</c:f>
              <c:strCache>
                <c:ptCount val="1"/>
                <c:pt idx="0">
                  <c:v>MDRT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Chart!$T$3:$AE$3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Chart!$T$22:$AE$22</c:f>
              <c:numCache>
                <c:formatCode>0%</c:formatCode>
                <c:ptCount val="12"/>
                <c:pt idx="0">
                  <c:v>0.30803455535799518</c:v>
                </c:pt>
                <c:pt idx="1">
                  <c:v>0.34683007061137255</c:v>
                </c:pt>
                <c:pt idx="2">
                  <c:v>0.28920815904743385</c:v>
                </c:pt>
                <c:pt idx="3">
                  <c:v>0.26643430688055858</c:v>
                </c:pt>
                <c:pt idx="4">
                  <c:v>0.19560240554367775</c:v>
                </c:pt>
                <c:pt idx="5">
                  <c:v>0.24775374841202039</c:v>
                </c:pt>
                <c:pt idx="6">
                  <c:v>0.23405216267128276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199224"/>
        <c:axId val="456200008"/>
      </c:barChart>
      <c:dateAx>
        <c:axId val="4561992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0008"/>
        <c:crosses val="autoZero"/>
        <c:auto val="1"/>
        <c:lblOffset val="100"/>
        <c:baseTimeUnit val="months"/>
      </c:dateAx>
      <c:valAx>
        <c:axId val="45620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Manpower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Chart!$A$43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Chart!$B$42:$M$42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Chart!$B$43:$M$43</c:f>
              <c:numCache>
                <c:formatCode>#,##0</c:formatCode>
                <c:ptCount val="12"/>
                <c:pt idx="0">
                  <c:v>6810</c:v>
                </c:pt>
                <c:pt idx="1">
                  <c:v>6667</c:v>
                </c:pt>
                <c:pt idx="2">
                  <c:v>5243</c:v>
                </c:pt>
                <c:pt idx="3">
                  <c:v>4730</c:v>
                </c:pt>
                <c:pt idx="4" formatCode="_(* #,##0_);_(* \(#,##0\);_(* &quot;-&quot;??_);_(@_)">
                  <c:v>4944</c:v>
                </c:pt>
                <c:pt idx="5" formatCode="_(* #,##0_);_(* \(#,##0\);_(* &quot;-&quot;??_);_(@_)">
                  <c:v>5524</c:v>
                </c:pt>
                <c:pt idx="6" formatCode="_(* #,##0_);_(* \(#,##0\);_(* &quot;-&quot;??_);_(@_)">
                  <c:v>5453</c:v>
                </c:pt>
                <c:pt idx="7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  <c:pt idx="9" formatCode="_(* #,##0_);_(* \(#,##0\);_(* &quot;-&quot;??_);_(@_)">
                  <c:v>0</c:v>
                </c:pt>
                <c:pt idx="10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Chart!$A$44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Chart!$B$42:$M$42</c:f>
              <c:numCache>
                <c:formatCode>mmm\-yy</c:formatCode>
                <c:ptCount val="12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</c:numCache>
            </c:numRef>
          </c:cat>
          <c:val>
            <c:numRef>
              <c:f>Chart!$B$44:$M$44</c:f>
              <c:numCache>
                <c:formatCode>#,##0</c:formatCode>
                <c:ptCount val="12"/>
                <c:pt idx="0">
                  <c:v>3220</c:v>
                </c:pt>
                <c:pt idx="1">
                  <c:v>2564</c:v>
                </c:pt>
                <c:pt idx="2">
                  <c:v>2534</c:v>
                </c:pt>
                <c:pt idx="3">
                  <c:v>2327</c:v>
                </c:pt>
                <c:pt idx="4" formatCode="_(* #,##0_);_(* \(#,##0\);_(* &quot;-&quot;??_);_(@_)">
                  <c:v>2436</c:v>
                </c:pt>
                <c:pt idx="5" formatCode="_(* #,##0_);_(* \(#,##0\);_(* &quot;-&quot;??_);_(@_)">
                  <c:v>2491</c:v>
                </c:pt>
                <c:pt idx="6" formatCode="_(* #,##0_);_(* \(#,##0\);_(* &quot;-&quot;??_);_(@_)">
                  <c:v>2410</c:v>
                </c:pt>
                <c:pt idx="7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  <c:pt idx="9" formatCode="_(* #,##0_);_(* \(#,##0\);_(* &quot;-&quot;??_);_(@_)">
                  <c:v>0</c:v>
                </c:pt>
                <c:pt idx="10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192168"/>
        <c:axId val="456199616"/>
      </c:barChart>
      <c:dateAx>
        <c:axId val="4561921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9616"/>
        <c:crosses val="autoZero"/>
        <c:auto val="1"/>
        <c:lblOffset val="100"/>
        <c:baseTimeUnit val="months"/>
      </c:dateAx>
      <c:valAx>
        <c:axId val="45619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APE Contribution - Growth vs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Chart!$A$60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Chart!$B$55:$N$55</c15:sqref>
                  </c15:fullRef>
                </c:ext>
              </c:extLst>
              <c:f>(Chart!$B$55:$H$55,Chart!$N$55)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Chart!$B$60:$N$60</c15:sqref>
                  </c15:fullRef>
                </c:ext>
              </c:extLst>
              <c:f>(Chart!$B$60:$H$60,Chart!$N$60)</c:f>
              <c:numCache>
                <c:formatCode>#,##0</c:formatCode>
                <c:ptCount val="8"/>
                <c:pt idx="0">
                  <c:v>13431.969839999998</c:v>
                </c:pt>
                <c:pt idx="1">
                  <c:v>20257.13140000002</c:v>
                </c:pt>
                <c:pt idx="2">
                  <c:v>30613.277000000002</c:v>
                </c:pt>
                <c:pt idx="3">
                  <c:v>26920.538300000022</c:v>
                </c:pt>
                <c:pt idx="4">
                  <c:v>22956.976999999999</c:v>
                </c:pt>
                <c:pt idx="5">
                  <c:v>28200.368999999999</c:v>
                </c:pt>
                <c:pt idx="6">
                  <c:v>22465.051900000064</c:v>
                </c:pt>
                <c:pt idx="7" formatCode="_(* #,##0_);_(* \(#,##0\);_(* &quot;-&quot;??_);_(@_)">
                  <c:v>164845.3144400001</c:v>
                </c:pt>
              </c:numCache>
            </c:numRef>
          </c:val>
        </c:ser>
        <c:ser>
          <c:idx val="1"/>
          <c:order val="1"/>
          <c:tx>
            <c:strRef>
              <c:f>Chart!$A$61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Chart!$B$55:$N$55</c15:sqref>
                  </c15:fullRef>
                </c:ext>
              </c:extLst>
              <c:f>(Chart!$B$55:$H$55,Chart!$N$55)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Chart!$B$61:$N$61</c15:sqref>
                  </c15:fullRef>
                </c:ext>
              </c:extLst>
              <c:f>(Chart!$B$61:$H$61,Chart!$N$61)</c:f>
              <c:numCache>
                <c:formatCode>#,##0</c:formatCode>
                <c:ptCount val="8"/>
                <c:pt idx="0">
                  <c:v>13255.832900000001</c:v>
                </c:pt>
                <c:pt idx="1">
                  <c:v>21455.887900000012</c:v>
                </c:pt>
                <c:pt idx="2">
                  <c:v>27891.589999999997</c:v>
                </c:pt>
                <c:pt idx="3">
                  <c:v>24537.054000000022</c:v>
                </c:pt>
                <c:pt idx="4">
                  <c:v>31455.850999999999</c:v>
                </c:pt>
                <c:pt idx="5">
                  <c:v>31246.205000000002</c:v>
                </c:pt>
                <c:pt idx="6">
                  <c:v>23436.137360000008</c:v>
                </c:pt>
                <c:pt idx="7" formatCode="_(* #,##0_);_(* \(#,##0\);_(* &quot;-&quot;??_);_(@_)">
                  <c:v>173278.55816000002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6192560"/>
        <c:axId val="456207848"/>
      </c:barChart>
      <c:lineChart>
        <c:grouping val="standard"/>
        <c:varyColors val="0"/>
        <c:ser>
          <c:idx val="2"/>
          <c:order val="2"/>
          <c:tx>
            <c:strRef>
              <c:f>Chart!$A$65</c:f>
              <c:strCache>
                <c:ptCount val="1"/>
                <c:pt idx="0">
                  <c:v>North growth vs '16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Chart!$B$55:$N$55</c15:sqref>
                  </c15:fullRef>
                </c:ext>
              </c:extLst>
              <c:f>(Chart!$B$55:$H$55,Chart!$N$55)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Chart!$B$65:$N$65</c15:sqref>
                  </c15:fullRef>
                </c:ext>
              </c:extLst>
              <c:f>(Chart!$B$65:$H$65,Chart!$N$65)</c:f>
              <c:numCache>
                <c:formatCode>0%</c:formatCode>
                <c:ptCount val="8"/>
                <c:pt idx="0">
                  <c:v>0.83630012582894797</c:v>
                </c:pt>
                <c:pt idx="1">
                  <c:v>1.8749195980026472</c:v>
                </c:pt>
                <c:pt idx="2">
                  <c:v>0.86482535535252669</c:v>
                </c:pt>
                <c:pt idx="3">
                  <c:v>1.1410441326224654</c:v>
                </c:pt>
                <c:pt idx="4">
                  <c:v>0.5060348385955713</c:v>
                </c:pt>
                <c:pt idx="5">
                  <c:v>0.1263668897457666</c:v>
                </c:pt>
                <c:pt idx="6">
                  <c:v>0.37972015900506007</c:v>
                </c:pt>
                <c:pt idx="7">
                  <c:v>0.64989200531848579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Chart!$A$66</c:f>
              <c:strCache>
                <c:ptCount val="1"/>
                <c:pt idx="0">
                  <c:v>South growth vs '16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Chart!$B$55:$N$55</c15:sqref>
                  </c15:fullRef>
                </c:ext>
              </c:extLst>
              <c:f>(Chart!$B$55:$H$55,Chart!$N$55)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Chart!$B$66:$N$66</c15:sqref>
                  </c15:fullRef>
                </c:ext>
              </c:extLst>
              <c:f>(Chart!$B$66:$H$66,Chart!$N$66)</c:f>
              <c:numCache>
                <c:formatCode>0%</c:formatCode>
                <c:ptCount val="8"/>
                <c:pt idx="0">
                  <c:v>1.1703930844929489</c:v>
                </c:pt>
                <c:pt idx="1">
                  <c:v>2.0926862115001521</c:v>
                </c:pt>
                <c:pt idx="2">
                  <c:v>0.55407695924293088</c:v>
                </c:pt>
                <c:pt idx="3">
                  <c:v>0.32947607498824683</c:v>
                </c:pt>
                <c:pt idx="4">
                  <c:v>1.2703399944795883</c:v>
                </c:pt>
                <c:pt idx="5">
                  <c:v>0.7773380615607981</c:v>
                </c:pt>
                <c:pt idx="6">
                  <c:v>0.63126369176599351</c:v>
                </c:pt>
                <c:pt idx="7">
                  <c:v>0.81917699434898861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Chart!$A$67</c:f>
              <c:strCache>
                <c:ptCount val="1"/>
                <c:pt idx="0">
                  <c:v>GVL growth vs '16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Chart!$B$55:$N$55</c15:sqref>
                  </c15:fullRef>
                </c:ext>
              </c:extLst>
              <c:f>(Chart!$B$55:$H$55,Chart!$N$55)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YTD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Chart!$B$67:$N$67</c15:sqref>
                  </c15:fullRef>
                </c:ext>
              </c:extLst>
              <c:f>(Chart!$B$67:$H$67,Chart!$N$67)</c:f>
              <c:numCache>
                <c:formatCode>0%</c:formatCode>
                <c:ptCount val="8"/>
                <c:pt idx="0">
                  <c:v>0.98832342626181635</c:v>
                </c:pt>
                <c:pt idx="1">
                  <c:v>1.982957817021386</c:v>
                </c:pt>
                <c:pt idx="2">
                  <c:v>0.70252783952177378</c:v>
                </c:pt>
                <c:pt idx="3">
                  <c:v>0.6583314467560859</c:v>
                </c:pt>
                <c:pt idx="4">
                  <c:v>0.86995611268240647</c:v>
                </c:pt>
                <c:pt idx="5">
                  <c:v>0.39490566214288791</c:v>
                </c:pt>
                <c:pt idx="6">
                  <c:v>0.49763163866072913</c:v>
                </c:pt>
                <c:pt idx="7">
                  <c:v>0.73251271404012508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203928"/>
        <c:axId val="456202752"/>
      </c:lineChart>
      <c:catAx>
        <c:axId val="456192560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7848"/>
        <c:crosses val="autoZero"/>
        <c:auto val="1"/>
        <c:lblAlgn val="ctr"/>
        <c:lblOffset val="100"/>
        <c:noMultiLvlLbl val="1"/>
      </c:catAx>
      <c:valAx>
        <c:axId val="456207848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,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92560"/>
        <c:crosses val="autoZero"/>
        <c:crossBetween val="between"/>
      </c:valAx>
      <c:valAx>
        <c:axId val="456202752"/>
        <c:scaling>
          <c:orientation val="minMax"/>
          <c:max val="2.5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03928"/>
        <c:crosses val="max"/>
        <c:crossBetween val="between"/>
        <c:majorUnit val="0.5"/>
      </c:valAx>
      <c:catAx>
        <c:axId val="45620392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456202752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>
          <a:lumMod val="7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0</xdr:rowOff>
    </xdr:from>
    <xdr:to>
      <xdr:col>13</xdr:col>
      <xdr:colOff>36526</xdr:colOff>
      <xdr:row>46</xdr:row>
      <xdr:rowOff>9119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29175"/>
          <a:ext cx="12590476" cy="3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128</xdr:row>
      <xdr:rowOff>152398</xdr:rowOff>
    </xdr:from>
    <xdr:to>
      <xdr:col>30</xdr:col>
      <xdr:colOff>0</xdr:colOff>
      <xdr:row>143</xdr:row>
      <xdr:rowOff>178593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169</xdr:row>
      <xdr:rowOff>4232</xdr:rowOff>
    </xdr:from>
    <xdr:to>
      <xdr:col>29</xdr:col>
      <xdr:colOff>533400</xdr:colOff>
      <xdr:row>183</xdr:row>
      <xdr:rowOff>169331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624429</xdr:colOff>
      <xdr:row>169</xdr:row>
      <xdr:rowOff>4232</xdr:rowOff>
    </xdr:from>
    <xdr:to>
      <xdr:col>45</xdr:col>
      <xdr:colOff>62454</xdr:colOff>
      <xdr:row>183</xdr:row>
      <xdr:rowOff>169331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184</xdr:row>
      <xdr:rowOff>78314</xdr:rowOff>
    </xdr:from>
    <xdr:to>
      <xdr:col>29</xdr:col>
      <xdr:colOff>533400</xdr:colOff>
      <xdr:row>199</xdr:row>
      <xdr:rowOff>52913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613847</xdr:colOff>
      <xdr:row>184</xdr:row>
      <xdr:rowOff>78312</xdr:rowOff>
    </xdr:from>
    <xdr:to>
      <xdr:col>45</xdr:col>
      <xdr:colOff>51872</xdr:colOff>
      <xdr:row>199</xdr:row>
      <xdr:rowOff>52911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300036</xdr:colOff>
      <xdr:row>23</xdr:row>
      <xdr:rowOff>38099</xdr:rowOff>
    </xdr:from>
    <xdr:to>
      <xdr:col>10</xdr:col>
      <xdr:colOff>514349</xdr:colOff>
      <xdr:row>38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604836</xdr:colOff>
      <xdr:row>22</xdr:row>
      <xdr:rowOff>190499</xdr:rowOff>
    </xdr:from>
    <xdr:to>
      <xdr:col>26</xdr:col>
      <xdr:colOff>28854</xdr:colOff>
      <xdr:row>38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604836</xdr:colOff>
      <xdr:row>38</xdr:row>
      <xdr:rowOff>133349</xdr:rowOff>
    </xdr:from>
    <xdr:to>
      <xdr:col>26</xdr:col>
      <xdr:colOff>28854</xdr:colOff>
      <xdr:row>53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604836</xdr:colOff>
      <xdr:row>55</xdr:row>
      <xdr:rowOff>9525</xdr:rowOff>
    </xdr:from>
    <xdr:to>
      <xdr:col>26</xdr:col>
      <xdr:colOff>28854</xdr:colOff>
      <xdr:row>69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604836</xdr:colOff>
      <xdr:row>70</xdr:row>
      <xdr:rowOff>57150</xdr:rowOff>
    </xdr:from>
    <xdr:to>
      <xdr:col>26</xdr:col>
      <xdr:colOff>28854</xdr:colOff>
      <xdr:row>84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604836</xdr:colOff>
      <xdr:row>85</xdr:row>
      <xdr:rowOff>156882</xdr:rowOff>
    </xdr:from>
    <xdr:to>
      <xdr:col>26</xdr:col>
      <xdr:colOff>28854</xdr:colOff>
      <xdr:row>100</xdr:row>
      <xdr:rowOff>77881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224120</xdr:colOff>
      <xdr:row>8</xdr:row>
      <xdr:rowOff>78441</xdr:rowOff>
    </xdr:from>
    <xdr:to>
      <xdr:col>36</xdr:col>
      <xdr:colOff>21517</xdr:colOff>
      <xdr:row>11</xdr:row>
      <xdr:rowOff>336176</xdr:rowOff>
    </xdr:to>
    <xdr:sp macro="" textlink="">
      <xdr:nvSpPr>
        <xdr:cNvPr id="9" name="Rectangle 8"/>
        <xdr:cNvSpPr/>
      </xdr:nvSpPr>
      <xdr:spPr>
        <a:xfrm>
          <a:off x="24944296" y="2879912"/>
          <a:ext cx="1097280" cy="1467970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168090</xdr:colOff>
      <xdr:row>6</xdr:row>
      <xdr:rowOff>56030</xdr:rowOff>
    </xdr:from>
    <xdr:to>
      <xdr:col>34</xdr:col>
      <xdr:colOff>1154207</xdr:colOff>
      <xdr:row>7</xdr:row>
      <xdr:rowOff>381001</xdr:rowOff>
    </xdr:to>
    <xdr:sp macro="" textlink="">
      <xdr:nvSpPr>
        <xdr:cNvPr id="11" name="Rectangle 10"/>
        <xdr:cNvSpPr/>
      </xdr:nvSpPr>
      <xdr:spPr>
        <a:xfrm>
          <a:off x="23588384" y="2050677"/>
          <a:ext cx="986117" cy="728383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224120</xdr:colOff>
      <xdr:row>3</xdr:row>
      <xdr:rowOff>56031</xdr:rowOff>
    </xdr:from>
    <xdr:to>
      <xdr:col>36</xdr:col>
      <xdr:colOff>21517</xdr:colOff>
      <xdr:row>5</xdr:row>
      <xdr:rowOff>369794</xdr:rowOff>
    </xdr:to>
    <xdr:sp macro="" textlink="">
      <xdr:nvSpPr>
        <xdr:cNvPr id="12" name="Rectangle 11"/>
        <xdr:cNvSpPr/>
      </xdr:nvSpPr>
      <xdr:spPr>
        <a:xfrm>
          <a:off x="24944296" y="840443"/>
          <a:ext cx="1097280" cy="1120586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1</xdr:colOff>
      <xdr:row>12</xdr:row>
      <xdr:rowOff>86591</xdr:rowOff>
    </xdr:from>
    <xdr:to>
      <xdr:col>52</xdr:col>
      <xdr:colOff>0</xdr:colOff>
      <xdr:row>45</xdr:row>
      <xdr:rowOff>110938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0.04514</cdr:y>
    </cdr:from>
    <cdr:to>
      <cdr:x>0.09375</cdr:x>
      <cdr:y>0.16319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23825"/>
          <a:ext cx="428625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bn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0.87396</cdr:x>
      <cdr:y>0.07986</cdr:y>
    </cdr:from>
    <cdr:to>
      <cdr:x>0.98333</cdr:x>
      <cdr:y>0.33681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995738" y="219075"/>
          <a:ext cx="500062" cy="704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Growth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126</xdr:row>
      <xdr:rowOff>152398</xdr:rowOff>
    </xdr:from>
    <xdr:to>
      <xdr:col>30</xdr:col>
      <xdr:colOff>0</xdr:colOff>
      <xdr:row>141</xdr:row>
      <xdr:rowOff>178593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79381</xdr:colOff>
      <xdr:row>167</xdr:row>
      <xdr:rowOff>4232</xdr:rowOff>
    </xdr:from>
    <xdr:to>
      <xdr:col>29</xdr:col>
      <xdr:colOff>375707</xdr:colOff>
      <xdr:row>181</xdr:row>
      <xdr:rowOff>169331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624429</xdr:colOff>
      <xdr:row>167</xdr:row>
      <xdr:rowOff>4232</xdr:rowOff>
    </xdr:from>
    <xdr:to>
      <xdr:col>37</xdr:col>
      <xdr:colOff>381004</xdr:colOff>
      <xdr:row>181</xdr:row>
      <xdr:rowOff>169331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74097</xdr:colOff>
      <xdr:row>182</xdr:row>
      <xdr:rowOff>78314</xdr:rowOff>
    </xdr:from>
    <xdr:to>
      <xdr:col>29</xdr:col>
      <xdr:colOff>370423</xdr:colOff>
      <xdr:row>197</xdr:row>
      <xdr:rowOff>52913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613847</xdr:colOff>
      <xdr:row>182</xdr:row>
      <xdr:rowOff>78312</xdr:rowOff>
    </xdr:from>
    <xdr:to>
      <xdr:col>37</xdr:col>
      <xdr:colOff>370422</xdr:colOff>
      <xdr:row>197</xdr:row>
      <xdr:rowOff>52911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notesE1EF34\Temp\notesE1EF34\MRTA%20TestScript,%20Feb%200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Budget/GVL%20Agency%20Business%20Plan%202016%20-%202021_Master%20file%20(2016%2003%2022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VL00600\Downloads\DailySaleReport_20161102_gvlaa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Copy%20of%20APE_201610%20by%20Channel%20-%20(v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Agency%20Performance%20by%20Segmentation_2015_201707_khongdungnu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Segmentation/Segm_data_20161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Segmentation/Segm_data_20161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Segmentation/Segm_data_20170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Segmentation/Segm_data_20170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Segmentation/Segm_data_20170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Segmentation/Segm_data_2017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cmddn/LOCALS~1/Temp/notesE1EF34/DOCUME~1/HCMNTH~1/LOCALS~1/Temp/notesE1EF34/Products/Thach_PremCal/Prem%20Calculation_VT6.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Segmentation/Segm_data_201705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Segmentation/Segm_data_201706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Segm_data_201707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609/Chart%20201609A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Segmentation/Segm_data_201611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Agent%20data%202015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Segmentation/Segm_data_2016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_ZCTmp.Dir\MRTA_NB%20Test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609\201609_GVL_Agency%20report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1.0%20Agency%20Model/Agency%20Plan_SP2013%202015_hybrid_Jan%20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Budget/GVL%20Agency%20Sales%20Plan_2017%202022%20(Sept%202016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610/Banca%20Monthly%20Performance%20Tracking_20161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Banc/201610/Book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GVL00600/Documents/Report/Agency/201610/Production_201610_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Branch Office"/>
      <sheetName val="BD Headcount"/>
      <sheetName val="Sheet1"/>
      <sheetName val="Summary Plan"/>
      <sheetName val="Monthly Summary"/>
      <sheetName val="Assumption"/>
      <sheetName val="Small GA Plan"/>
      <sheetName val="Mid GA Plan"/>
      <sheetName val="Yearly Model"/>
      <sheetName val="GA-S tenure"/>
      <sheetName val="GA-M tenure"/>
      <sheetName val="Tenure Model"/>
      <sheetName val="GA-S_tmp"/>
      <sheetName val="GA-M_tmp"/>
      <sheetName val="GA-B_tmp"/>
      <sheetName val="Sheet2"/>
    </sheetNames>
    <sheetDataSet>
      <sheetData sheetId="0"/>
      <sheetData sheetId="1"/>
      <sheetData sheetId="2"/>
      <sheetData sheetId="3"/>
      <sheetData sheetId="4"/>
      <sheetData sheetId="5">
        <row r="95">
          <cell r="C95">
            <v>12961.262697694023</v>
          </cell>
        </row>
      </sheetData>
      <sheetData sheetId="6"/>
      <sheetData sheetId="7"/>
      <sheetData sheetId="8"/>
      <sheetData sheetId="9">
        <row r="5">
          <cell r="C5">
            <v>4117</v>
          </cell>
          <cell r="H5">
            <v>4183.8</v>
          </cell>
          <cell r="K5">
            <v>622.55999999999995</v>
          </cell>
          <cell r="M5">
            <v>809.32799999999997</v>
          </cell>
          <cell r="O5">
            <v>12961.262697694023</v>
          </cell>
        </row>
        <row r="6">
          <cell r="H6">
            <v>3971.42</v>
          </cell>
          <cell r="K6">
            <v>611.64149999999995</v>
          </cell>
          <cell r="M6">
            <v>795.13394999999991</v>
          </cell>
          <cell r="O6">
            <v>13516.800264277199</v>
          </cell>
        </row>
        <row r="7">
          <cell r="H7">
            <v>4074.8496</v>
          </cell>
          <cell r="K7">
            <v>1287.4031359999999</v>
          </cell>
          <cell r="M7">
            <v>1931.1047039999999</v>
          </cell>
          <cell r="O7">
            <v>33084.871093555972</v>
          </cell>
        </row>
        <row r="8">
          <cell r="H8">
            <v>4242.9598879999994</v>
          </cell>
          <cell r="K8">
            <v>1247.6714231999997</v>
          </cell>
          <cell r="M8">
            <v>1871.5071347999997</v>
          </cell>
          <cell r="O8">
            <v>32751.374858999996</v>
          </cell>
        </row>
        <row r="9">
          <cell r="H9">
            <v>4420.778044319999</v>
          </cell>
          <cell r="K9">
            <v>1386.1980691711997</v>
          </cell>
          <cell r="M9">
            <v>2079.2971037567995</v>
          </cell>
          <cell r="O9">
            <v>36387.699315743994</v>
          </cell>
        </row>
        <row r="10">
          <cell r="H10">
            <v>4602.2362034447997</v>
          </cell>
          <cell r="K10">
            <v>1579.0274933588396</v>
          </cell>
          <cell r="M10">
            <v>2368.5412400382593</v>
          </cell>
          <cell r="O10">
            <v>41449.471700669535</v>
          </cell>
        </row>
        <row r="11">
          <cell r="D11">
            <v>40</v>
          </cell>
          <cell r="E11">
            <v>626.03529033919995</v>
          </cell>
          <cell r="H11">
            <v>4762.0255114050715</v>
          </cell>
          <cell r="J11">
            <v>0.32</v>
          </cell>
          <cell r="K11">
            <v>1498.2818743759797</v>
          </cell>
          <cell r="M11">
            <v>2397.2509990015674</v>
          </cell>
          <cell r="O11">
            <v>43150.517982028214</v>
          </cell>
        </row>
        <row r="12">
          <cell r="D12">
            <v>40</v>
          </cell>
          <cell r="E12">
            <v>649.23529033919999</v>
          </cell>
          <cell r="H12">
            <v>4927.437995489714</v>
          </cell>
          <cell r="J12">
            <v>0.32</v>
          </cell>
          <cell r="K12">
            <v>1550.3141611031658</v>
          </cell>
          <cell r="M12">
            <v>2480.5026577650656</v>
          </cell>
          <cell r="O12">
            <v>44649.047839771178</v>
          </cell>
        </row>
        <row r="13">
          <cell r="D13">
            <v>40</v>
          </cell>
          <cell r="E13">
            <v>672.43529033919992</v>
          </cell>
          <cell r="H13">
            <v>5097.8551063250452</v>
          </cell>
          <cell r="J13">
            <v>0.35</v>
          </cell>
          <cell r="K13">
            <v>1754.4262928175829</v>
          </cell>
          <cell r="M13">
            <v>2807.0820685081326</v>
          </cell>
          <cell r="O13">
            <v>50527.47723314639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nel"/>
      <sheetName val="Region"/>
      <sheetName val="Zone"/>
      <sheetName val="Office"/>
      <sheetName val="Team"/>
      <sheetName val="Branch"/>
      <sheetName val="Unit"/>
      <sheetName val="Sheet1"/>
      <sheetName val="Details"/>
    </sheetNames>
    <sheetDataSet>
      <sheetData sheetId="0">
        <row r="15">
          <cell r="AI15">
            <v>4767705000</v>
          </cell>
        </row>
        <row r="18">
          <cell r="AI18">
            <v>105587000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FYP_AWG"/>
      <sheetName val="SUM"/>
      <sheetName val="TOT_MOF"/>
      <sheetName val="APE_AWG"/>
      <sheetName val="TOT_RO"/>
      <sheetName val="AGN"/>
      <sheetName val="AGN_BAN"/>
      <sheetName val="BAN"/>
      <sheetName val="TCA"/>
      <sheetName val="BRO"/>
      <sheetName val="ESF"/>
      <sheetName val="MUL"/>
      <sheetName val="GIR"/>
      <sheetName val="SCB"/>
      <sheetName val="TCB"/>
      <sheetName val="BCB"/>
      <sheetName val="EXIM"/>
      <sheetName val="TOT_BAN"/>
    </sheetNames>
    <sheetDataSet>
      <sheetData sheetId="0"/>
      <sheetData sheetId="1"/>
      <sheetData sheetId="2">
        <row r="21">
          <cell r="L21">
            <v>15.292055969999977</v>
          </cell>
        </row>
        <row r="22">
          <cell r="L22">
            <v>42.306600000000003</v>
          </cell>
        </row>
        <row r="23">
          <cell r="L23">
            <v>555.65778847999934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"/>
      <sheetName val="Full Agency"/>
      <sheetName val="Agency North"/>
      <sheetName val="Agency South"/>
      <sheetName val="Chart"/>
      <sheetName val="GEN Lion GVL"/>
      <sheetName val="GEN Lion North"/>
      <sheetName val="GEN Lion South"/>
      <sheetName val="North"/>
      <sheetName val="South"/>
      <sheetName val="Total Agency"/>
      <sheetName val="Plan Agency North"/>
      <sheetName val="Plan Agency South"/>
      <sheetName val="Plan Yearly Summary"/>
      <sheetName val="Assumption"/>
    </sheetNames>
    <sheetDataSet>
      <sheetData sheetId="0"/>
      <sheetData sheetId="1">
        <row r="2">
          <cell r="A2">
            <v>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tion"/>
      <sheetName val="Recruit2"/>
      <sheetName val="Recruit"/>
      <sheetName val="cc"/>
      <sheetName val="APE"/>
      <sheetName val="Actv"/>
      <sheetName val="MP"/>
    </sheetNames>
    <sheetDataSet>
      <sheetData sheetId="0">
        <row r="42">
          <cell r="D42">
            <v>0.39939999999999998</v>
          </cell>
        </row>
      </sheetData>
      <sheetData sheetId="1">
        <row r="71">
          <cell r="K71">
            <v>421</v>
          </cell>
        </row>
      </sheetData>
      <sheetData sheetId="2">
        <row r="37">
          <cell r="J37">
            <v>761</v>
          </cell>
          <cell r="K37">
            <v>122</v>
          </cell>
        </row>
        <row r="38">
          <cell r="J38">
            <v>253</v>
          </cell>
          <cell r="K38">
            <v>54</v>
          </cell>
        </row>
        <row r="43">
          <cell r="J43">
            <v>761</v>
          </cell>
        </row>
        <row r="44">
          <cell r="J44">
            <v>10</v>
          </cell>
        </row>
        <row r="45">
          <cell r="J45">
            <v>4</v>
          </cell>
        </row>
        <row r="46">
          <cell r="J46">
            <v>18</v>
          </cell>
        </row>
        <row r="47">
          <cell r="J47">
            <v>90</v>
          </cell>
        </row>
        <row r="48">
          <cell r="J48">
            <v>253</v>
          </cell>
        </row>
        <row r="49">
          <cell r="J49">
            <v>4</v>
          </cell>
        </row>
        <row r="50">
          <cell r="J50">
            <v>1</v>
          </cell>
        </row>
        <row r="51">
          <cell r="J51">
            <v>8</v>
          </cell>
        </row>
        <row r="52">
          <cell r="J52">
            <v>41</v>
          </cell>
        </row>
      </sheetData>
      <sheetData sheetId="3">
        <row r="11">
          <cell r="AB11">
            <v>25</v>
          </cell>
        </row>
        <row r="12">
          <cell r="AB12">
            <v>497.5</v>
          </cell>
        </row>
        <row r="13">
          <cell r="AB13">
            <v>269.5</v>
          </cell>
        </row>
        <row r="14">
          <cell r="AB14">
            <v>268</v>
          </cell>
        </row>
        <row r="15">
          <cell r="AB15">
            <v>177</v>
          </cell>
        </row>
        <row r="16">
          <cell r="AB16">
            <v>68</v>
          </cell>
        </row>
        <row r="17">
          <cell r="AB17">
            <v>149</v>
          </cell>
        </row>
        <row r="19">
          <cell r="AB19">
            <v>92</v>
          </cell>
        </row>
        <row r="20">
          <cell r="AB20">
            <v>139</v>
          </cell>
        </row>
        <row r="21">
          <cell r="AB21">
            <v>166</v>
          </cell>
        </row>
        <row r="22">
          <cell r="AB22">
            <v>88</v>
          </cell>
        </row>
        <row r="23">
          <cell r="AB23">
            <v>150.5</v>
          </cell>
        </row>
        <row r="24">
          <cell r="AB24">
            <v>123</v>
          </cell>
        </row>
        <row r="25">
          <cell r="AB25">
            <v>85.5</v>
          </cell>
        </row>
      </sheetData>
      <sheetData sheetId="4">
        <row r="8">
          <cell r="P8">
            <v>723.47400000000005</v>
          </cell>
          <cell r="AB8">
            <v>523.58199999999999</v>
          </cell>
        </row>
        <row r="9">
          <cell r="AB9">
            <v>6519.5280000000203</v>
          </cell>
        </row>
        <row r="10">
          <cell r="AB10">
            <v>3823.0619999999999</v>
          </cell>
        </row>
        <row r="11">
          <cell r="AB11">
            <v>3671.5749999999998</v>
          </cell>
        </row>
        <row r="12">
          <cell r="AB12">
            <v>2984.922</v>
          </cell>
        </row>
        <row r="13">
          <cell r="AB13">
            <v>1052.402</v>
          </cell>
        </row>
        <row r="14">
          <cell r="AB14">
            <v>3182.1260000000002</v>
          </cell>
        </row>
        <row r="16">
          <cell r="AB16">
            <v>2638.56</v>
          </cell>
        </row>
        <row r="17">
          <cell r="AB17">
            <v>1977.643</v>
          </cell>
        </row>
        <row r="18">
          <cell r="AB18">
            <v>4009.319</v>
          </cell>
        </row>
        <row r="19">
          <cell r="AB19">
            <v>1506.9870000000001</v>
          </cell>
        </row>
        <row r="20">
          <cell r="AB20">
            <v>3897.5075000000002</v>
          </cell>
        </row>
        <row r="21">
          <cell r="AB21">
            <v>2571.761</v>
          </cell>
        </row>
        <row r="22">
          <cell r="AB22">
            <v>1759.1415</v>
          </cell>
        </row>
        <row r="27">
          <cell r="K27">
            <v>537.09</v>
          </cell>
          <cell r="N27">
            <v>0</v>
          </cell>
        </row>
        <row r="28">
          <cell r="K28">
            <v>6514.1230000000196</v>
          </cell>
          <cell r="N28">
            <v>0</v>
          </cell>
        </row>
        <row r="29">
          <cell r="K29">
            <v>3774.4920000000002</v>
          </cell>
          <cell r="N29">
            <v>0</v>
          </cell>
        </row>
        <row r="30">
          <cell r="K30">
            <v>3699.9609999999998</v>
          </cell>
          <cell r="N30">
            <v>0</v>
          </cell>
        </row>
        <row r="31">
          <cell r="K31">
            <v>2881.6950000000002</v>
          </cell>
          <cell r="N31">
            <v>1.635</v>
          </cell>
        </row>
        <row r="32">
          <cell r="K32">
            <v>1079.194</v>
          </cell>
          <cell r="N32">
            <v>434.5</v>
          </cell>
        </row>
        <row r="33">
          <cell r="K33">
            <v>3107.1460000000002</v>
          </cell>
          <cell r="N33">
            <v>3509.261</v>
          </cell>
        </row>
        <row r="34">
          <cell r="K34">
            <v>2419.4389999999999</v>
          </cell>
          <cell r="N34">
            <v>1418.3765000000001</v>
          </cell>
        </row>
        <row r="35">
          <cell r="K35">
            <v>1853.681</v>
          </cell>
          <cell r="N35">
            <v>0</v>
          </cell>
        </row>
        <row r="36">
          <cell r="K36">
            <v>3740.8420000000001</v>
          </cell>
          <cell r="N36">
            <v>652.572</v>
          </cell>
        </row>
        <row r="37">
          <cell r="K37">
            <v>1288.1099999999999</v>
          </cell>
          <cell r="N37">
            <v>0</v>
          </cell>
        </row>
        <row r="38">
          <cell r="K38">
            <v>3858.0965000000001</v>
          </cell>
          <cell r="N38">
            <v>6.4370000000000003</v>
          </cell>
        </row>
        <row r="39">
          <cell r="K39">
            <v>2585.4229999999998</v>
          </cell>
          <cell r="N39">
            <v>736.53399999999999</v>
          </cell>
        </row>
        <row r="40">
          <cell r="K40">
            <v>1761.9224999999999</v>
          </cell>
          <cell r="N40">
            <v>1256.731</v>
          </cell>
        </row>
      </sheetData>
      <sheetData sheetId="5">
        <row r="8">
          <cell r="AD8">
            <v>11</v>
          </cell>
        </row>
        <row r="9">
          <cell r="AD9">
            <v>345</v>
          </cell>
        </row>
        <row r="10">
          <cell r="AD10">
            <v>202</v>
          </cell>
        </row>
        <row r="11">
          <cell r="AD11">
            <v>179</v>
          </cell>
        </row>
        <row r="12">
          <cell r="AD12">
            <v>115</v>
          </cell>
        </row>
        <row r="13">
          <cell r="AD13">
            <v>47</v>
          </cell>
        </row>
        <row r="14">
          <cell r="AD14">
            <v>91</v>
          </cell>
        </row>
        <row r="16">
          <cell r="AD16">
            <v>31</v>
          </cell>
        </row>
        <row r="17">
          <cell r="AD17">
            <v>89</v>
          </cell>
        </row>
        <row r="18">
          <cell r="AD18">
            <v>99</v>
          </cell>
        </row>
        <row r="19">
          <cell r="AD19">
            <v>64</v>
          </cell>
        </row>
        <row r="20">
          <cell r="AD20">
            <v>65</v>
          </cell>
        </row>
        <row r="21">
          <cell r="AD21">
            <v>65</v>
          </cell>
        </row>
        <row r="22">
          <cell r="AD22">
            <v>63</v>
          </cell>
        </row>
      </sheetData>
      <sheetData sheetId="6">
        <row r="6">
          <cell r="AD6">
            <v>26</v>
          </cell>
        </row>
        <row r="7">
          <cell r="AD7">
            <v>881</v>
          </cell>
        </row>
        <row r="8">
          <cell r="AD8">
            <v>934</v>
          </cell>
        </row>
        <row r="9">
          <cell r="AD9">
            <v>1390</v>
          </cell>
        </row>
        <row r="10">
          <cell r="AD10">
            <v>1261</v>
          </cell>
        </row>
        <row r="11">
          <cell r="AD11">
            <v>530</v>
          </cell>
        </row>
        <row r="12">
          <cell r="AD12">
            <v>574</v>
          </cell>
        </row>
        <row r="14">
          <cell r="AD14">
            <v>67</v>
          </cell>
        </row>
        <row r="15">
          <cell r="AD15">
            <v>305</v>
          </cell>
        </row>
        <row r="16">
          <cell r="AD16">
            <v>329</v>
          </cell>
        </row>
        <row r="17">
          <cell r="AD17">
            <v>462</v>
          </cell>
        </row>
        <row r="18">
          <cell r="AD18">
            <v>571</v>
          </cell>
        </row>
        <row r="19">
          <cell r="AD19">
            <v>496</v>
          </cell>
        </row>
        <row r="20">
          <cell r="AD20">
            <v>582</v>
          </cell>
        </row>
        <row r="29">
          <cell r="Z29">
            <v>4438</v>
          </cell>
        </row>
        <row r="30">
          <cell r="Z30">
            <v>194</v>
          </cell>
        </row>
        <row r="31">
          <cell r="Z31">
            <v>67</v>
          </cell>
        </row>
        <row r="32">
          <cell r="Z32">
            <v>47</v>
          </cell>
        </row>
        <row r="33">
          <cell r="Z33">
            <v>210</v>
          </cell>
        </row>
        <row r="34">
          <cell r="Z34">
            <v>640</v>
          </cell>
        </row>
        <row r="35">
          <cell r="Z35">
            <v>2227</v>
          </cell>
        </row>
        <row r="36">
          <cell r="Z36">
            <v>91</v>
          </cell>
        </row>
        <row r="37">
          <cell r="Z37">
            <v>38</v>
          </cell>
        </row>
        <row r="38">
          <cell r="Z38">
            <v>13</v>
          </cell>
        </row>
        <row r="39">
          <cell r="Z39">
            <v>130</v>
          </cell>
        </row>
        <row r="40">
          <cell r="Z40">
            <v>313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tion"/>
      <sheetName val="Recruit2"/>
      <sheetName val="Recruit"/>
      <sheetName val="cc"/>
      <sheetName val="APE"/>
      <sheetName val="Actv"/>
      <sheetName val="MP"/>
    </sheetNames>
    <sheetDataSet>
      <sheetData sheetId="0">
        <row r="63">
          <cell r="D63">
            <v>0.35899999999999999</v>
          </cell>
        </row>
      </sheetData>
      <sheetData sheetId="1">
        <row r="71">
          <cell r="K71">
            <v>532</v>
          </cell>
        </row>
      </sheetData>
      <sheetData sheetId="2">
        <row r="37">
          <cell r="J37">
            <v>1010</v>
          </cell>
          <cell r="K37">
            <v>114</v>
          </cell>
        </row>
        <row r="38">
          <cell r="J38">
            <v>344</v>
          </cell>
          <cell r="K38">
            <v>39</v>
          </cell>
        </row>
        <row r="43">
          <cell r="J43">
            <v>1010</v>
          </cell>
        </row>
        <row r="44">
          <cell r="J44">
            <v>4</v>
          </cell>
        </row>
        <row r="45">
          <cell r="J45">
            <v>4</v>
          </cell>
        </row>
        <row r="46">
          <cell r="J46">
            <v>22</v>
          </cell>
        </row>
        <row r="47">
          <cell r="J47">
            <v>84</v>
          </cell>
        </row>
        <row r="48">
          <cell r="J48">
            <v>344</v>
          </cell>
        </row>
        <row r="49">
          <cell r="J49">
            <v>7</v>
          </cell>
        </row>
        <row r="50">
          <cell r="J50">
            <v>32</v>
          </cell>
        </row>
      </sheetData>
      <sheetData sheetId="3">
        <row r="34">
          <cell r="J34">
            <v>50.5</v>
          </cell>
        </row>
        <row r="35">
          <cell r="J35">
            <v>1110</v>
          </cell>
        </row>
        <row r="36">
          <cell r="J36">
            <v>488.5</v>
          </cell>
        </row>
        <row r="37">
          <cell r="J37">
            <v>554.5</v>
          </cell>
        </row>
        <row r="38">
          <cell r="J38">
            <v>414</v>
          </cell>
        </row>
        <row r="39">
          <cell r="J39">
            <v>276</v>
          </cell>
        </row>
        <row r="40">
          <cell r="J40">
            <v>315.5</v>
          </cell>
        </row>
        <row r="41">
          <cell r="J41">
            <v>165.5</v>
          </cell>
        </row>
        <row r="42">
          <cell r="J42">
            <v>320</v>
          </cell>
        </row>
        <row r="43">
          <cell r="J43">
            <v>190.5</v>
          </cell>
        </row>
        <row r="44">
          <cell r="J44">
            <v>470</v>
          </cell>
        </row>
        <row r="45">
          <cell r="J45">
            <v>156.5</v>
          </cell>
        </row>
        <row r="46">
          <cell r="J46">
            <v>305.5</v>
          </cell>
        </row>
        <row r="47">
          <cell r="J47">
            <v>286</v>
          </cell>
        </row>
      </sheetData>
      <sheetData sheetId="4">
        <row r="27">
          <cell r="J27">
            <v>1904.2725</v>
          </cell>
          <cell r="K27">
            <v>1699.1655000000001</v>
          </cell>
          <cell r="L27">
            <v>2156.2512999999999</v>
          </cell>
          <cell r="N27">
            <v>957.69399999999996</v>
          </cell>
        </row>
        <row r="28">
          <cell r="J28">
            <v>15125.7075000001</v>
          </cell>
          <cell r="K28">
            <v>15026.5985000001</v>
          </cell>
          <cell r="L28">
            <v>0</v>
          </cell>
          <cell r="N28">
            <v>0</v>
          </cell>
        </row>
        <row r="29">
          <cell r="J29">
            <v>6872.1940000000304</v>
          </cell>
          <cell r="K29">
            <v>6393.7850000000299</v>
          </cell>
          <cell r="L29">
            <v>0</v>
          </cell>
          <cell r="N29">
            <v>5.2569999999999997</v>
          </cell>
        </row>
        <row r="30">
          <cell r="J30">
            <v>7577.5540000000301</v>
          </cell>
          <cell r="K30">
            <v>7347.9360000000297</v>
          </cell>
          <cell r="L30">
            <v>26.196999999999999</v>
          </cell>
          <cell r="N30">
            <v>616.75900000000001</v>
          </cell>
        </row>
        <row r="31">
          <cell r="J31">
            <v>6715.1760000000204</v>
          </cell>
          <cell r="K31">
            <v>6625.0630000000201</v>
          </cell>
          <cell r="L31">
            <v>75.369</v>
          </cell>
          <cell r="N31">
            <v>490.21800000000002</v>
          </cell>
        </row>
        <row r="32">
          <cell r="J32">
            <v>6668.1910000000098</v>
          </cell>
          <cell r="K32">
            <v>6265.09800000001</v>
          </cell>
          <cell r="L32">
            <v>408.81599999999997</v>
          </cell>
          <cell r="N32">
            <v>874.60500000000002</v>
          </cell>
        </row>
        <row r="33">
          <cell r="J33">
            <v>6435.8070000000198</v>
          </cell>
          <cell r="K33">
            <v>6337.7720000000199</v>
          </cell>
          <cell r="L33">
            <v>12684.5322000001</v>
          </cell>
          <cell r="N33">
            <v>1669.9417000000001</v>
          </cell>
        </row>
        <row r="34">
          <cell r="J34">
            <v>5031.5439999999999</v>
          </cell>
          <cell r="K34">
            <v>5364.8720000000003</v>
          </cell>
          <cell r="L34">
            <v>7682.7559999999903</v>
          </cell>
          <cell r="N34">
            <v>515.11800000000005</v>
          </cell>
        </row>
        <row r="35">
          <cell r="J35">
            <v>5409.3785000000098</v>
          </cell>
          <cell r="K35">
            <v>5017.8605000000098</v>
          </cell>
          <cell r="L35">
            <v>0</v>
          </cell>
          <cell r="N35">
            <v>0</v>
          </cell>
        </row>
        <row r="36">
          <cell r="J36">
            <v>3257.09599999999</v>
          </cell>
          <cell r="K36">
            <v>3013.951</v>
          </cell>
          <cell r="L36">
            <v>0</v>
          </cell>
          <cell r="N36">
            <v>0</v>
          </cell>
        </row>
        <row r="37">
          <cell r="J37">
            <v>15126.209000000101</v>
          </cell>
          <cell r="K37">
            <v>15138.454</v>
          </cell>
          <cell r="L37">
            <v>18.036000000000001</v>
          </cell>
          <cell r="N37">
            <v>2.0110000000000001</v>
          </cell>
        </row>
        <row r="38">
          <cell r="J38">
            <v>2646.6444999999999</v>
          </cell>
          <cell r="K38">
            <v>2530.0524999999998</v>
          </cell>
          <cell r="L38">
            <v>129.99100000000001</v>
          </cell>
          <cell r="N38">
            <v>111.21299999999999</v>
          </cell>
        </row>
        <row r="39">
          <cell r="J39">
            <v>7132.7160000000104</v>
          </cell>
          <cell r="K39">
            <v>7223.4210000000103</v>
          </cell>
          <cell r="L39">
            <v>1071.393</v>
          </cell>
          <cell r="N39">
            <v>738.38900000000001</v>
          </cell>
        </row>
        <row r="40">
          <cell r="J40">
            <v>6394.2539999999999</v>
          </cell>
          <cell r="K40">
            <v>6450.8249999999998</v>
          </cell>
          <cell r="L40">
            <v>13221.4799</v>
          </cell>
          <cell r="N40">
            <v>1273.3557000000001</v>
          </cell>
        </row>
      </sheetData>
      <sheetData sheetId="5">
        <row r="30">
          <cell r="M30">
            <v>13</v>
          </cell>
        </row>
        <row r="31">
          <cell r="M31">
            <v>600</v>
          </cell>
        </row>
        <row r="32">
          <cell r="M32">
            <v>271</v>
          </cell>
        </row>
        <row r="33">
          <cell r="M33">
            <v>328</v>
          </cell>
        </row>
        <row r="34">
          <cell r="M34">
            <v>230</v>
          </cell>
        </row>
        <row r="35">
          <cell r="M35">
            <v>136</v>
          </cell>
        </row>
        <row r="36">
          <cell r="M36">
            <v>120</v>
          </cell>
        </row>
        <row r="37">
          <cell r="M37">
            <v>38</v>
          </cell>
        </row>
        <row r="38">
          <cell r="M38">
            <v>174</v>
          </cell>
        </row>
        <row r="39">
          <cell r="M39">
            <v>106</v>
          </cell>
        </row>
        <row r="40">
          <cell r="M40">
            <v>166</v>
          </cell>
        </row>
        <row r="41">
          <cell r="M41">
            <v>91</v>
          </cell>
        </row>
        <row r="42">
          <cell r="M42">
            <v>112</v>
          </cell>
        </row>
        <row r="43">
          <cell r="M43">
            <v>135</v>
          </cell>
        </row>
      </sheetData>
      <sheetData sheetId="6">
        <row r="33">
          <cell r="K33">
            <v>22</v>
          </cell>
          <cell r="Z33">
            <v>5348</v>
          </cell>
        </row>
        <row r="34">
          <cell r="K34">
            <v>1116</v>
          </cell>
          <cell r="Z34">
            <v>237</v>
          </cell>
        </row>
        <row r="35">
          <cell r="K35">
            <v>914</v>
          </cell>
          <cell r="Z35">
            <v>73</v>
          </cell>
        </row>
        <row r="36">
          <cell r="K36">
            <v>1690</v>
          </cell>
          <cell r="Z36">
            <v>54</v>
          </cell>
        </row>
        <row r="37">
          <cell r="K37">
            <v>1583</v>
          </cell>
          <cell r="Z37">
            <v>251</v>
          </cell>
        </row>
        <row r="38">
          <cell r="K38">
            <v>672</v>
          </cell>
          <cell r="Z38">
            <v>738</v>
          </cell>
        </row>
        <row r="39">
          <cell r="K39">
            <v>704</v>
          </cell>
          <cell r="Z39">
            <v>2513</v>
          </cell>
        </row>
        <row r="40">
          <cell r="K40">
            <v>61</v>
          </cell>
          <cell r="Z40">
            <v>84</v>
          </cell>
        </row>
        <row r="41">
          <cell r="K41">
            <v>381</v>
          </cell>
          <cell r="Z41">
            <v>36</v>
          </cell>
        </row>
        <row r="42">
          <cell r="K42">
            <v>377</v>
          </cell>
          <cell r="Z42">
            <v>14</v>
          </cell>
        </row>
        <row r="43">
          <cell r="K43">
            <v>603</v>
          </cell>
          <cell r="Z43">
            <v>142</v>
          </cell>
        </row>
        <row r="44">
          <cell r="K44">
            <v>540</v>
          </cell>
          <cell r="Z44">
            <v>355</v>
          </cell>
        </row>
        <row r="45">
          <cell r="K45">
            <v>533</v>
          </cell>
        </row>
        <row r="46">
          <cell r="K46">
            <v>649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tion"/>
      <sheetName val="Recruit2"/>
      <sheetName val="Recruit"/>
      <sheetName val="cc"/>
      <sheetName val="APE"/>
      <sheetName val="Actv"/>
      <sheetName val="MP"/>
    </sheetNames>
    <sheetDataSet>
      <sheetData sheetId="0">
        <row r="73">
          <cell r="D73">
            <v>0.96499999999999997</v>
          </cell>
        </row>
      </sheetData>
      <sheetData sheetId="1">
        <row r="71">
          <cell r="K71">
            <v>206</v>
          </cell>
        </row>
      </sheetData>
      <sheetData sheetId="2">
        <row r="37">
          <cell r="J37">
            <v>281</v>
          </cell>
          <cell r="K37">
            <v>39</v>
          </cell>
        </row>
        <row r="38">
          <cell r="J38">
            <v>150</v>
          </cell>
          <cell r="K38">
            <v>39</v>
          </cell>
        </row>
        <row r="43">
          <cell r="J43">
            <v>281</v>
          </cell>
        </row>
        <row r="44">
          <cell r="J44">
            <v>1</v>
          </cell>
        </row>
        <row r="45">
          <cell r="J45">
            <v>8</v>
          </cell>
        </row>
        <row r="46">
          <cell r="J46">
            <v>30</v>
          </cell>
        </row>
        <row r="47">
          <cell r="J47">
            <v>150</v>
          </cell>
        </row>
        <row r="48">
          <cell r="J48">
            <v>3</v>
          </cell>
        </row>
        <row r="49">
          <cell r="J49">
            <v>3</v>
          </cell>
        </row>
        <row r="50">
          <cell r="J50">
            <v>12</v>
          </cell>
        </row>
        <row r="51">
          <cell r="J51">
            <v>21</v>
          </cell>
        </row>
      </sheetData>
      <sheetData sheetId="3">
        <row r="34">
          <cell r="J34">
            <v>51.5</v>
          </cell>
        </row>
        <row r="35">
          <cell r="J35">
            <v>195</v>
          </cell>
        </row>
        <row r="36">
          <cell r="J36">
            <v>189</v>
          </cell>
        </row>
        <row r="37">
          <cell r="J37">
            <v>239.5</v>
          </cell>
        </row>
        <row r="38">
          <cell r="J38">
            <v>124.5</v>
          </cell>
        </row>
        <row r="39">
          <cell r="J39">
            <v>41</v>
          </cell>
        </row>
        <row r="40">
          <cell r="J40">
            <v>71.5</v>
          </cell>
        </row>
        <row r="41">
          <cell r="J41">
            <v>172.5</v>
          </cell>
        </row>
        <row r="42">
          <cell r="J42">
            <v>90</v>
          </cell>
        </row>
        <row r="43">
          <cell r="J43">
            <v>83</v>
          </cell>
        </row>
        <row r="44">
          <cell r="J44">
            <v>173</v>
          </cell>
        </row>
        <row r="45">
          <cell r="J45">
            <v>62</v>
          </cell>
        </row>
        <row r="46">
          <cell r="J46">
            <v>34</v>
          </cell>
        </row>
        <row r="47">
          <cell r="J47">
            <v>75.5</v>
          </cell>
        </row>
      </sheetData>
      <sheetData sheetId="4">
        <row r="27">
          <cell r="J27">
            <v>1097.587</v>
          </cell>
          <cell r="K27">
            <v>1687.2940000000001</v>
          </cell>
          <cell r="L27">
            <v>1686.0008</v>
          </cell>
          <cell r="N27">
            <v>2564.2089999999998</v>
          </cell>
        </row>
        <row r="28">
          <cell r="J28">
            <v>2756.6320000000001</v>
          </cell>
          <cell r="K28">
            <v>2744.444</v>
          </cell>
          <cell r="L28">
            <v>0</v>
          </cell>
          <cell r="N28">
            <v>0</v>
          </cell>
        </row>
        <row r="29">
          <cell r="J29">
            <v>2279.9690000000001</v>
          </cell>
          <cell r="K29">
            <v>2254.7399999999998</v>
          </cell>
          <cell r="L29">
            <v>0</v>
          </cell>
          <cell r="N29">
            <v>0</v>
          </cell>
        </row>
        <row r="30">
          <cell r="J30">
            <v>3159.2165</v>
          </cell>
          <cell r="K30">
            <v>3424.9974999999999</v>
          </cell>
          <cell r="L30">
            <v>10.595000000000001</v>
          </cell>
          <cell r="N30">
            <v>0</v>
          </cell>
        </row>
        <row r="31">
          <cell r="J31">
            <v>1720.3544999999999</v>
          </cell>
          <cell r="K31">
            <v>1760.8865000000001</v>
          </cell>
          <cell r="L31">
            <v>10.239000000000001</v>
          </cell>
          <cell r="N31">
            <v>35.591000000000001</v>
          </cell>
        </row>
        <row r="32">
          <cell r="J32">
            <v>506.363</v>
          </cell>
          <cell r="K32">
            <v>840.21400000000096</v>
          </cell>
          <cell r="L32">
            <v>214.21299999999999</v>
          </cell>
          <cell r="N32">
            <v>624.68399999999997</v>
          </cell>
        </row>
        <row r="33">
          <cell r="J33">
            <v>1340.424</v>
          </cell>
          <cell r="K33">
            <v>1217.8309999999999</v>
          </cell>
          <cell r="L33">
            <v>12339.5870000001</v>
          </cell>
          <cell r="N33">
            <v>2489.7543999999998</v>
          </cell>
        </row>
        <row r="34">
          <cell r="J34">
            <v>3933.4949999999999</v>
          </cell>
          <cell r="K34">
            <v>4045.5320000000002</v>
          </cell>
          <cell r="L34">
            <v>4232.5529999999999</v>
          </cell>
          <cell r="N34">
            <v>1850</v>
          </cell>
        </row>
        <row r="35">
          <cell r="J35">
            <v>1264.491</v>
          </cell>
          <cell r="K35">
            <v>1221.7750000000001</v>
          </cell>
          <cell r="L35">
            <v>0</v>
          </cell>
          <cell r="N35">
            <v>0</v>
          </cell>
        </row>
        <row r="36">
          <cell r="J36">
            <v>1266.1579999999999</v>
          </cell>
          <cell r="K36">
            <v>1370.3530000000001</v>
          </cell>
          <cell r="L36">
            <v>0</v>
          </cell>
          <cell r="N36">
            <v>0</v>
          </cell>
        </row>
        <row r="37">
          <cell r="J37">
            <v>3012.2404999999999</v>
          </cell>
          <cell r="K37">
            <v>2823.7734999999998</v>
          </cell>
          <cell r="L37">
            <v>6.7889999999999997</v>
          </cell>
          <cell r="N37">
            <v>0</v>
          </cell>
        </row>
        <row r="38">
          <cell r="J38">
            <v>1240.9359999999999</v>
          </cell>
          <cell r="K38">
            <v>1309.0219999999999</v>
          </cell>
          <cell r="L38">
            <v>160.35</v>
          </cell>
          <cell r="N38">
            <v>47.988999999999997</v>
          </cell>
        </row>
        <row r="39">
          <cell r="J39">
            <v>485.90499999999997</v>
          </cell>
          <cell r="K39">
            <v>692.01399999999899</v>
          </cell>
          <cell r="L39">
            <v>314.14499999999998</v>
          </cell>
          <cell r="N39">
            <v>120.5</v>
          </cell>
        </row>
        <row r="40">
          <cell r="J40">
            <v>1566.4295</v>
          </cell>
          <cell r="K40">
            <v>1738.6735000000001</v>
          </cell>
          <cell r="L40">
            <v>12042.558000000099</v>
          </cell>
          <cell r="N40">
            <v>2843.29</v>
          </cell>
        </row>
      </sheetData>
      <sheetData sheetId="5">
        <row r="30">
          <cell r="M30">
            <v>26</v>
          </cell>
        </row>
        <row r="31">
          <cell r="M31">
            <v>113</v>
          </cell>
        </row>
        <row r="32">
          <cell r="M32">
            <v>163</v>
          </cell>
        </row>
        <row r="33">
          <cell r="M33">
            <v>154</v>
          </cell>
        </row>
        <row r="34">
          <cell r="M34">
            <v>105</v>
          </cell>
        </row>
        <row r="35">
          <cell r="M35">
            <v>45</v>
          </cell>
        </row>
        <row r="36">
          <cell r="M36">
            <v>55</v>
          </cell>
        </row>
        <row r="37">
          <cell r="M37">
            <v>55</v>
          </cell>
        </row>
        <row r="38">
          <cell r="M38">
            <v>47</v>
          </cell>
        </row>
        <row r="39">
          <cell r="M39">
            <v>55</v>
          </cell>
        </row>
        <row r="40">
          <cell r="M40">
            <v>84</v>
          </cell>
        </row>
        <row r="41">
          <cell r="M41">
            <v>41</v>
          </cell>
        </row>
        <row r="42">
          <cell r="M42">
            <v>28</v>
          </cell>
        </row>
        <row r="43">
          <cell r="M43">
            <v>50</v>
          </cell>
        </row>
      </sheetData>
      <sheetData sheetId="6">
        <row r="33">
          <cell r="K33">
            <v>48</v>
          </cell>
          <cell r="Z33">
            <v>5455</v>
          </cell>
        </row>
        <row r="34">
          <cell r="K34">
            <v>320</v>
          </cell>
          <cell r="Z34">
            <v>253</v>
          </cell>
        </row>
        <row r="35">
          <cell r="K35">
            <v>1116</v>
          </cell>
          <cell r="Z35">
            <v>74</v>
          </cell>
        </row>
        <row r="36">
          <cell r="K36">
            <v>1727</v>
          </cell>
          <cell r="Z36">
            <v>51</v>
          </cell>
        </row>
        <row r="37">
          <cell r="K37">
            <v>1778</v>
          </cell>
          <cell r="Z37">
            <v>255</v>
          </cell>
        </row>
        <row r="38">
          <cell r="K38">
            <v>1048</v>
          </cell>
          <cell r="Z38">
            <v>722</v>
          </cell>
        </row>
        <row r="39">
          <cell r="K39">
            <v>773</v>
          </cell>
          <cell r="Z39">
            <v>2581</v>
          </cell>
        </row>
        <row r="40">
          <cell r="K40">
            <v>97</v>
          </cell>
          <cell r="Z40">
            <v>85</v>
          </cell>
        </row>
        <row r="41">
          <cell r="K41">
            <v>189</v>
          </cell>
          <cell r="Z41">
            <v>37</v>
          </cell>
        </row>
        <row r="42">
          <cell r="K42">
            <v>379</v>
          </cell>
          <cell r="Z42">
            <v>18</v>
          </cell>
        </row>
        <row r="43">
          <cell r="K43">
            <v>658</v>
          </cell>
          <cell r="Z43">
            <v>143</v>
          </cell>
        </row>
        <row r="44">
          <cell r="K44">
            <v>563</v>
          </cell>
          <cell r="Z44">
            <v>356</v>
          </cell>
        </row>
        <row r="45">
          <cell r="K45">
            <v>609</v>
          </cell>
        </row>
        <row r="46">
          <cell r="K46">
            <v>725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tion"/>
      <sheetName val="Recruit2"/>
      <sheetName val="Recruit"/>
      <sheetName val="cc"/>
      <sheetName val="APE"/>
      <sheetName val="Actv"/>
      <sheetName val="MP"/>
    </sheetNames>
    <sheetDataSet>
      <sheetData sheetId="0">
        <row r="84">
          <cell r="D84">
            <v>0.84347298117789926</v>
          </cell>
        </row>
      </sheetData>
      <sheetData sheetId="1">
        <row r="71">
          <cell r="K71">
            <v>343</v>
          </cell>
        </row>
      </sheetData>
      <sheetData sheetId="2">
        <row r="37">
          <cell r="J37">
            <v>597</v>
          </cell>
          <cell r="K37">
            <v>74</v>
          </cell>
        </row>
        <row r="38">
          <cell r="J38">
            <v>323</v>
          </cell>
          <cell r="K38">
            <v>58</v>
          </cell>
        </row>
        <row r="43">
          <cell r="J43">
            <v>597</v>
          </cell>
        </row>
        <row r="44">
          <cell r="J44">
            <v>8</v>
          </cell>
        </row>
        <row r="45">
          <cell r="J45">
            <v>2</v>
          </cell>
        </row>
        <row r="46">
          <cell r="J46">
            <v>15</v>
          </cell>
        </row>
        <row r="47">
          <cell r="J47">
            <v>48</v>
          </cell>
        </row>
        <row r="48">
          <cell r="J48">
            <v>1</v>
          </cell>
        </row>
        <row r="49">
          <cell r="J49">
            <v>323</v>
          </cell>
        </row>
        <row r="50">
          <cell r="J50">
            <v>3</v>
          </cell>
        </row>
        <row r="51">
          <cell r="J51">
            <v>4</v>
          </cell>
        </row>
        <row r="52">
          <cell r="J52">
            <v>10</v>
          </cell>
        </row>
        <row r="53">
          <cell r="J53">
            <v>41</v>
          </cell>
        </row>
      </sheetData>
      <sheetData sheetId="3">
        <row r="34">
          <cell r="J34">
            <v>92.5</v>
          </cell>
        </row>
        <row r="35">
          <cell r="J35">
            <v>268</v>
          </cell>
        </row>
        <row r="36">
          <cell r="J36">
            <v>116</v>
          </cell>
        </row>
        <row r="37">
          <cell r="J37">
            <v>417</v>
          </cell>
        </row>
        <row r="38">
          <cell r="J38">
            <v>238</v>
          </cell>
        </row>
        <row r="39">
          <cell r="J39">
            <v>88</v>
          </cell>
        </row>
        <row r="40">
          <cell r="J40">
            <v>104.5</v>
          </cell>
        </row>
        <row r="41">
          <cell r="J41">
            <v>81</v>
          </cell>
        </row>
        <row r="42">
          <cell r="J42">
            <v>194.5</v>
          </cell>
        </row>
        <row r="43">
          <cell r="J43">
            <v>158</v>
          </cell>
        </row>
        <row r="44">
          <cell r="J44">
            <v>69</v>
          </cell>
        </row>
        <row r="45">
          <cell r="J45">
            <v>208</v>
          </cell>
        </row>
        <row r="46">
          <cell r="J46">
            <v>152</v>
          </cell>
        </row>
        <row r="47">
          <cell r="J47">
            <v>37</v>
          </cell>
        </row>
        <row r="48">
          <cell r="J48">
            <v>63</v>
          </cell>
        </row>
        <row r="49">
          <cell r="J49">
            <v>36.5</v>
          </cell>
        </row>
      </sheetData>
      <sheetData sheetId="4">
        <row r="27">
          <cell r="J27">
            <v>2116.5275000000001</v>
          </cell>
          <cell r="K27">
            <v>2150.1574999999998</v>
          </cell>
          <cell r="L27">
            <v>2554.1039000000001</v>
          </cell>
          <cell r="N27">
            <v>790</v>
          </cell>
        </row>
        <row r="28">
          <cell r="J28">
            <v>3733.1240000000098</v>
          </cell>
          <cell r="K28">
            <v>3649.1990000000101</v>
          </cell>
          <cell r="L28">
            <v>0</v>
          </cell>
          <cell r="N28">
            <v>0</v>
          </cell>
        </row>
        <row r="29">
          <cell r="J29">
            <v>1583.258</v>
          </cell>
          <cell r="K29">
            <v>1543.393</v>
          </cell>
          <cell r="L29">
            <v>0</v>
          </cell>
          <cell r="N29">
            <v>0</v>
          </cell>
        </row>
        <row r="30">
          <cell r="J30">
            <v>5424.7270000000099</v>
          </cell>
          <cell r="K30">
            <v>5209.3430000000199</v>
          </cell>
          <cell r="L30">
            <v>0</v>
          </cell>
          <cell r="N30">
            <v>0</v>
          </cell>
        </row>
        <row r="31">
          <cell r="J31">
            <v>3040.5129999999999</v>
          </cell>
          <cell r="K31">
            <v>2975.2559999999999</v>
          </cell>
          <cell r="L31">
            <v>21.611000000000001</v>
          </cell>
          <cell r="N31">
            <v>3.7999999999999999E-2</v>
          </cell>
        </row>
        <row r="32">
          <cell r="J32">
            <v>1163.989</v>
          </cell>
          <cell r="K32">
            <v>1171.4829999999999</v>
          </cell>
          <cell r="L32">
            <v>208.959</v>
          </cell>
          <cell r="N32">
            <v>75</v>
          </cell>
        </row>
        <row r="33">
          <cell r="J33">
            <v>1857.0685000000001</v>
          </cell>
          <cell r="K33">
            <v>1922.7315000000001</v>
          </cell>
          <cell r="L33">
            <v>7086.4660000000304</v>
          </cell>
          <cell r="N33">
            <v>1768.376</v>
          </cell>
        </row>
        <row r="34">
          <cell r="J34">
            <v>1074.5830000000001</v>
          </cell>
          <cell r="K34">
            <v>1084.7329999999999</v>
          </cell>
          <cell r="L34">
            <v>3185.58</v>
          </cell>
        </row>
        <row r="35">
          <cell r="J35">
            <v>7272.9260000000104</v>
          </cell>
          <cell r="K35">
            <v>6912.7448000000104</v>
          </cell>
          <cell r="L35">
            <v>6562.8535000000002</v>
          </cell>
        </row>
        <row r="36">
          <cell r="J36">
            <v>2129.3139999999999</v>
          </cell>
          <cell r="K36">
            <v>2108.953</v>
          </cell>
          <cell r="L36">
            <v>0</v>
          </cell>
        </row>
        <row r="37">
          <cell r="J37">
            <v>1064.2650000000001</v>
          </cell>
          <cell r="K37">
            <v>1004.44</v>
          </cell>
          <cell r="L37">
            <v>0</v>
          </cell>
        </row>
        <row r="38">
          <cell r="J38">
            <v>4534.0839999999998</v>
          </cell>
          <cell r="K38">
            <v>4470.6319999999996</v>
          </cell>
          <cell r="L38">
            <v>13.279</v>
          </cell>
        </row>
        <row r="39">
          <cell r="J39">
            <v>3796.6129999999998</v>
          </cell>
          <cell r="K39">
            <v>3900.0279999999998</v>
          </cell>
          <cell r="L39">
            <v>214.23099999999999</v>
          </cell>
        </row>
        <row r="40">
          <cell r="J40">
            <v>536.13</v>
          </cell>
          <cell r="K40">
            <v>711.98749999999995</v>
          </cell>
          <cell r="L40">
            <v>149.48599999999999</v>
          </cell>
        </row>
        <row r="41">
          <cell r="J41">
            <v>1094.9259999999999</v>
          </cell>
          <cell r="K41">
            <v>1249.3910000000001</v>
          </cell>
          <cell r="L41">
            <v>8075.3524000000198</v>
          </cell>
        </row>
        <row r="42">
          <cell r="J42">
            <v>541.452</v>
          </cell>
          <cell r="K42">
            <v>659.01</v>
          </cell>
          <cell r="L42">
            <v>3527.4623999999999</v>
          </cell>
        </row>
      </sheetData>
      <sheetData sheetId="5">
        <row r="30">
          <cell r="M30">
            <v>35</v>
          </cell>
        </row>
        <row r="31">
          <cell r="M31">
            <v>203</v>
          </cell>
        </row>
        <row r="32">
          <cell r="M32">
            <v>71</v>
          </cell>
        </row>
        <row r="33">
          <cell r="M33">
            <v>299</v>
          </cell>
        </row>
        <row r="34">
          <cell r="M34">
            <v>168</v>
          </cell>
        </row>
        <row r="35">
          <cell r="M35">
            <v>73</v>
          </cell>
        </row>
        <row r="36">
          <cell r="M36">
            <v>71</v>
          </cell>
        </row>
        <row r="37">
          <cell r="M37">
            <v>67</v>
          </cell>
        </row>
        <row r="38">
          <cell r="M38">
            <v>65</v>
          </cell>
        </row>
        <row r="39">
          <cell r="M39">
            <v>122</v>
          </cell>
        </row>
        <row r="40">
          <cell r="M40">
            <v>46</v>
          </cell>
        </row>
        <row r="41">
          <cell r="M41">
            <v>124</v>
          </cell>
        </row>
        <row r="42">
          <cell r="M42">
            <v>87</v>
          </cell>
        </row>
        <row r="43">
          <cell r="M43">
            <v>34</v>
          </cell>
        </row>
        <row r="44">
          <cell r="M44">
            <v>44</v>
          </cell>
        </row>
        <row r="45">
          <cell r="M45">
            <v>31</v>
          </cell>
        </row>
      </sheetData>
      <sheetData sheetId="6">
        <row r="33">
          <cell r="K33">
            <v>48</v>
          </cell>
          <cell r="Z33">
            <v>3696</v>
          </cell>
        </row>
        <row r="34">
          <cell r="K34">
            <v>666</v>
          </cell>
          <cell r="Z34">
            <v>272</v>
          </cell>
        </row>
        <row r="35">
          <cell r="K35">
            <v>319</v>
          </cell>
          <cell r="Z35">
            <v>83</v>
          </cell>
        </row>
        <row r="36">
          <cell r="K36">
            <v>1989</v>
          </cell>
          <cell r="Z36">
            <v>53</v>
          </cell>
        </row>
        <row r="37">
          <cell r="K37">
            <v>1020</v>
          </cell>
          <cell r="Z37">
            <v>259</v>
          </cell>
        </row>
        <row r="38">
          <cell r="K38">
            <v>609</v>
          </cell>
          <cell r="Z38">
            <v>749</v>
          </cell>
        </row>
        <row r="39">
          <cell r="K39">
            <v>461</v>
          </cell>
          <cell r="Z39">
            <v>1555</v>
          </cell>
        </row>
        <row r="40">
          <cell r="K40">
            <v>1555</v>
          </cell>
          <cell r="Z40">
            <v>1867</v>
          </cell>
        </row>
        <row r="41">
          <cell r="K41">
            <v>95</v>
          </cell>
          <cell r="Z41">
            <v>97</v>
          </cell>
        </row>
        <row r="42">
          <cell r="K42">
            <v>379</v>
          </cell>
          <cell r="Z42">
            <v>40</v>
          </cell>
        </row>
        <row r="43">
          <cell r="K43">
            <v>189</v>
          </cell>
          <cell r="Z43">
            <v>21</v>
          </cell>
        </row>
        <row r="44">
          <cell r="K44">
            <v>750</v>
          </cell>
          <cell r="Z44">
            <v>151</v>
          </cell>
        </row>
        <row r="45">
          <cell r="K45">
            <v>444</v>
          </cell>
          <cell r="Z45">
            <v>388</v>
          </cell>
        </row>
        <row r="46">
          <cell r="K46">
            <v>327</v>
          </cell>
          <cell r="Z46">
            <v>799</v>
          </cell>
        </row>
        <row r="47">
          <cell r="K47">
            <v>380</v>
          </cell>
        </row>
        <row r="48">
          <cell r="K48">
            <v>799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tion"/>
      <sheetName val="Recruit2"/>
      <sheetName val="Recruit"/>
      <sheetName val="cc"/>
      <sheetName val="APE"/>
      <sheetName val="Actv"/>
      <sheetName val="MP"/>
    </sheetNames>
    <sheetDataSet>
      <sheetData sheetId="0">
        <row r="98">
          <cell r="D98">
            <v>0.75070000000000003</v>
          </cell>
        </row>
      </sheetData>
      <sheetData sheetId="1">
        <row r="71">
          <cell r="K71">
            <v>397</v>
          </cell>
        </row>
      </sheetData>
      <sheetData sheetId="2">
        <row r="37">
          <cell r="J37">
            <v>823</v>
          </cell>
          <cell r="K37">
            <v>38</v>
          </cell>
        </row>
        <row r="38">
          <cell r="J38">
            <v>328</v>
          </cell>
          <cell r="K38">
            <v>20</v>
          </cell>
        </row>
        <row r="43">
          <cell r="J43">
            <v>823</v>
          </cell>
        </row>
        <row r="44">
          <cell r="J44">
            <v>1</v>
          </cell>
        </row>
        <row r="45">
          <cell r="J45">
            <v>10</v>
          </cell>
        </row>
        <row r="46">
          <cell r="J46">
            <v>27</v>
          </cell>
        </row>
        <row r="47">
          <cell r="J47">
            <v>328</v>
          </cell>
        </row>
        <row r="48">
          <cell r="J48">
            <v>2</v>
          </cell>
        </row>
        <row r="49">
          <cell r="J49">
            <v>5</v>
          </cell>
        </row>
        <row r="50">
          <cell r="J50">
            <v>13</v>
          </cell>
        </row>
      </sheetData>
      <sheetData sheetId="3">
        <row r="34">
          <cell r="J34">
            <v>102.5</v>
          </cell>
        </row>
        <row r="35">
          <cell r="J35">
            <v>726</v>
          </cell>
        </row>
        <row r="36">
          <cell r="J36">
            <v>281</v>
          </cell>
        </row>
        <row r="37">
          <cell r="J37">
            <v>326</v>
          </cell>
        </row>
        <row r="38">
          <cell r="J38">
            <v>352.5</v>
          </cell>
        </row>
        <row r="39">
          <cell r="J39">
            <v>148.5</v>
          </cell>
        </row>
        <row r="40">
          <cell r="J40">
            <v>94.5</v>
          </cell>
        </row>
        <row r="41">
          <cell r="J41">
            <v>64</v>
          </cell>
        </row>
        <row r="42">
          <cell r="J42">
            <v>284.5</v>
          </cell>
        </row>
        <row r="43">
          <cell r="J43">
            <v>260</v>
          </cell>
        </row>
        <row r="44">
          <cell r="J44">
            <v>201</v>
          </cell>
        </row>
        <row r="45">
          <cell r="J45">
            <v>149</v>
          </cell>
        </row>
        <row r="46">
          <cell r="J46">
            <v>279</v>
          </cell>
        </row>
        <row r="47">
          <cell r="J47">
            <v>80</v>
          </cell>
        </row>
        <row r="48">
          <cell r="J48">
            <v>135</v>
          </cell>
        </row>
        <row r="49">
          <cell r="J49">
            <v>39.5</v>
          </cell>
        </row>
      </sheetData>
      <sheetData sheetId="4">
        <row r="27">
          <cell r="J27">
            <v>2115.21</v>
          </cell>
          <cell r="K27">
            <v>2114.09</v>
          </cell>
          <cell r="L27">
            <v>1955.31</v>
          </cell>
          <cell r="N27">
            <v>817.85</v>
          </cell>
        </row>
        <row r="28">
          <cell r="J28">
            <v>10037.33</v>
          </cell>
          <cell r="K28">
            <v>9992.42</v>
          </cell>
          <cell r="L28">
            <v>0</v>
          </cell>
          <cell r="N28">
            <v>0</v>
          </cell>
        </row>
        <row r="29">
          <cell r="J29">
            <v>3757.04</v>
          </cell>
          <cell r="K29">
            <v>3691.16</v>
          </cell>
          <cell r="L29">
            <v>0</v>
          </cell>
          <cell r="N29">
            <v>0</v>
          </cell>
        </row>
        <row r="30">
          <cell r="J30">
            <v>4308.79</v>
          </cell>
          <cell r="K30">
            <v>4190.08</v>
          </cell>
          <cell r="L30">
            <v>0</v>
          </cell>
          <cell r="N30">
            <v>0.12</v>
          </cell>
        </row>
        <row r="31">
          <cell r="J31">
            <v>4865.8</v>
          </cell>
          <cell r="K31">
            <v>4736.33</v>
          </cell>
          <cell r="L31">
            <v>26.43</v>
          </cell>
          <cell r="N31">
            <v>79.62</v>
          </cell>
        </row>
        <row r="32">
          <cell r="J32">
            <v>2121.54</v>
          </cell>
          <cell r="K32">
            <v>2134.5100000000002</v>
          </cell>
          <cell r="L32">
            <v>338.12</v>
          </cell>
          <cell r="N32">
            <v>71.680000000000007</v>
          </cell>
        </row>
        <row r="33">
          <cell r="J33">
            <v>1777.13</v>
          </cell>
          <cell r="K33">
            <v>1980.48</v>
          </cell>
          <cell r="L33">
            <v>5855.43</v>
          </cell>
          <cell r="N33">
            <v>7245.3</v>
          </cell>
        </row>
        <row r="34">
          <cell r="J34">
            <v>800.98</v>
          </cell>
          <cell r="K34">
            <v>796.16</v>
          </cell>
          <cell r="L34">
            <v>3131.26</v>
          </cell>
          <cell r="N34">
            <v>80</v>
          </cell>
        </row>
        <row r="35">
          <cell r="L35">
            <v>67.77</v>
          </cell>
        </row>
        <row r="36">
          <cell r="J36">
            <v>7970.6</v>
          </cell>
          <cell r="K36">
            <v>8180.7</v>
          </cell>
          <cell r="L36">
            <v>3682.39</v>
          </cell>
          <cell r="N36">
            <v>1389.31</v>
          </cell>
        </row>
        <row r="37">
          <cell r="J37">
            <v>4333.7</v>
          </cell>
          <cell r="K37">
            <v>3886.32</v>
          </cell>
          <cell r="L37">
            <v>0</v>
          </cell>
          <cell r="N37">
            <v>0</v>
          </cell>
        </row>
        <row r="38">
          <cell r="J38">
            <v>3299.38</v>
          </cell>
          <cell r="K38">
            <v>3189.04</v>
          </cell>
          <cell r="L38">
            <v>0</v>
          </cell>
          <cell r="N38">
            <v>3.58</v>
          </cell>
        </row>
        <row r="39">
          <cell r="J39">
            <v>2333.62</v>
          </cell>
          <cell r="K39">
            <v>2328.29</v>
          </cell>
          <cell r="L39">
            <v>0</v>
          </cell>
          <cell r="N39">
            <v>3</v>
          </cell>
        </row>
        <row r="40">
          <cell r="J40">
            <v>5473.45</v>
          </cell>
          <cell r="K40">
            <v>5236.03</v>
          </cell>
          <cell r="L40">
            <v>39.76</v>
          </cell>
          <cell r="N40">
            <v>14.78</v>
          </cell>
        </row>
        <row r="41">
          <cell r="J41">
            <v>1310.55</v>
          </cell>
          <cell r="K41">
            <v>1303.98</v>
          </cell>
          <cell r="L41">
            <v>347.7</v>
          </cell>
          <cell r="N41">
            <v>636.30999999999995</v>
          </cell>
        </row>
        <row r="42">
          <cell r="J42">
            <v>2230.5300000000002</v>
          </cell>
          <cell r="K42">
            <v>2293.5</v>
          </cell>
          <cell r="L42">
            <v>6124.55</v>
          </cell>
          <cell r="N42">
            <v>722.83</v>
          </cell>
        </row>
        <row r="43">
          <cell r="J43">
            <v>608.25</v>
          </cell>
          <cell r="K43">
            <v>708.99</v>
          </cell>
          <cell r="L43">
            <v>3139.57</v>
          </cell>
          <cell r="N43">
            <v>545.29</v>
          </cell>
        </row>
      </sheetData>
      <sheetData sheetId="5">
        <row r="30">
          <cell r="M30">
            <v>33</v>
          </cell>
        </row>
        <row r="31">
          <cell r="M31">
            <v>448</v>
          </cell>
        </row>
        <row r="32">
          <cell r="M32">
            <v>179</v>
          </cell>
        </row>
        <row r="33">
          <cell r="M33">
            <v>194</v>
          </cell>
        </row>
        <row r="34">
          <cell r="M34">
            <v>214</v>
          </cell>
        </row>
        <row r="35">
          <cell r="M35">
            <v>111</v>
          </cell>
        </row>
        <row r="36">
          <cell r="M36">
            <v>67</v>
          </cell>
        </row>
        <row r="37">
          <cell r="M37">
            <v>45</v>
          </cell>
        </row>
        <row r="38">
          <cell r="M38">
            <v>73</v>
          </cell>
        </row>
        <row r="39">
          <cell r="M39">
            <v>143</v>
          </cell>
        </row>
        <row r="40">
          <cell r="M40">
            <v>95</v>
          </cell>
        </row>
        <row r="41">
          <cell r="M41">
            <v>87</v>
          </cell>
        </row>
        <row r="42">
          <cell r="M42">
            <v>148</v>
          </cell>
        </row>
        <row r="43">
          <cell r="M43">
            <v>55</v>
          </cell>
        </row>
        <row r="44">
          <cell r="M44">
            <v>68</v>
          </cell>
        </row>
        <row r="45">
          <cell r="M45">
            <v>31</v>
          </cell>
        </row>
      </sheetData>
      <sheetData sheetId="6">
        <row r="33">
          <cell r="K33">
            <v>48</v>
          </cell>
          <cell r="Z33">
            <v>3844</v>
          </cell>
        </row>
        <row r="34">
          <cell r="K34">
            <v>855</v>
          </cell>
          <cell r="Z34">
            <v>1709</v>
          </cell>
        </row>
        <row r="35">
          <cell r="K35">
            <v>661</v>
          </cell>
          <cell r="Z35">
            <v>287</v>
          </cell>
        </row>
        <row r="36">
          <cell r="K36">
            <v>1372</v>
          </cell>
          <cell r="Z36">
            <v>82</v>
          </cell>
        </row>
        <row r="37">
          <cell r="K37">
            <v>1138</v>
          </cell>
          <cell r="Z37">
            <v>52</v>
          </cell>
        </row>
        <row r="38">
          <cell r="K38">
            <v>734</v>
          </cell>
          <cell r="Z38">
            <v>249</v>
          </cell>
        </row>
        <row r="39">
          <cell r="K39">
            <v>435</v>
          </cell>
          <cell r="Z39">
            <v>729</v>
          </cell>
        </row>
        <row r="40">
          <cell r="K40">
            <v>1709</v>
          </cell>
          <cell r="Z40">
            <v>1817</v>
          </cell>
        </row>
        <row r="41">
          <cell r="K41">
            <v>95</v>
          </cell>
          <cell r="Z41">
            <v>902</v>
          </cell>
        </row>
        <row r="42">
          <cell r="K42">
            <v>346</v>
          </cell>
          <cell r="Z42">
            <v>125</v>
          </cell>
        </row>
        <row r="43">
          <cell r="K43">
            <v>379</v>
          </cell>
          <cell r="Z43">
            <v>40</v>
          </cell>
        </row>
        <row r="44">
          <cell r="K44">
            <v>561</v>
          </cell>
          <cell r="Z44">
            <v>21</v>
          </cell>
        </row>
        <row r="45">
          <cell r="K45">
            <v>481</v>
          </cell>
          <cell r="Z45">
            <v>144</v>
          </cell>
        </row>
        <row r="46">
          <cell r="K46">
            <v>310</v>
          </cell>
          <cell r="Z46">
            <v>387</v>
          </cell>
        </row>
        <row r="47">
          <cell r="K47">
            <v>362</v>
          </cell>
        </row>
        <row r="48">
          <cell r="K48">
            <v>902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tion"/>
      <sheetName val="Recruit2"/>
      <sheetName val="Recruit"/>
      <sheetName val="cc"/>
      <sheetName val="APE"/>
      <sheetName val="Actv"/>
      <sheetName val="MP"/>
    </sheetNames>
    <sheetDataSet>
      <sheetData sheetId="0" refreshError="1"/>
      <sheetData sheetId="1" refreshError="1"/>
      <sheetData sheetId="2">
        <row r="37">
          <cell r="J37">
            <v>633</v>
          </cell>
          <cell r="K37">
            <v>35</v>
          </cell>
        </row>
        <row r="38">
          <cell r="J38">
            <v>272</v>
          </cell>
          <cell r="K38">
            <v>22</v>
          </cell>
        </row>
        <row r="43">
          <cell r="J43">
            <v>633</v>
          </cell>
        </row>
        <row r="44">
          <cell r="J44">
            <v>1</v>
          </cell>
        </row>
        <row r="45">
          <cell r="J45">
            <v>3</v>
          </cell>
        </row>
        <row r="46">
          <cell r="J46">
            <v>4</v>
          </cell>
        </row>
        <row r="47">
          <cell r="J47">
            <v>27</v>
          </cell>
        </row>
        <row r="48">
          <cell r="J48">
            <v>272</v>
          </cell>
        </row>
        <row r="49">
          <cell r="J49">
            <v>4</v>
          </cell>
        </row>
        <row r="50">
          <cell r="J50">
            <v>1</v>
          </cell>
        </row>
        <row r="51">
          <cell r="J51">
            <v>3</v>
          </cell>
        </row>
        <row r="52">
          <cell r="J52">
            <v>14</v>
          </cell>
        </row>
      </sheetData>
      <sheetData sheetId="3">
        <row r="34">
          <cell r="J34">
            <v>105</v>
          </cell>
        </row>
        <row r="35">
          <cell r="J35">
            <v>470</v>
          </cell>
        </row>
        <row r="36">
          <cell r="J36">
            <v>313</v>
          </cell>
        </row>
        <row r="37">
          <cell r="J37">
            <v>232</v>
          </cell>
        </row>
        <row r="38">
          <cell r="J38">
            <v>302</v>
          </cell>
        </row>
        <row r="39">
          <cell r="J39">
            <v>163</v>
          </cell>
        </row>
        <row r="40">
          <cell r="J40">
            <v>131</v>
          </cell>
        </row>
        <row r="41">
          <cell r="J41">
            <v>159</v>
          </cell>
        </row>
        <row r="42">
          <cell r="J42">
            <v>236</v>
          </cell>
        </row>
        <row r="43">
          <cell r="J43">
            <v>253</v>
          </cell>
        </row>
        <row r="44">
          <cell r="J44">
            <v>128</v>
          </cell>
        </row>
        <row r="45">
          <cell r="J45">
            <v>131</v>
          </cell>
        </row>
        <row r="46">
          <cell r="J46">
            <v>201.5</v>
          </cell>
        </row>
        <row r="47">
          <cell r="J47">
            <v>124</v>
          </cell>
        </row>
        <row r="48">
          <cell r="J48">
            <v>129</v>
          </cell>
        </row>
        <row r="49">
          <cell r="J49">
            <v>56.5</v>
          </cell>
        </row>
        <row r="54">
          <cell r="J54">
            <v>332</v>
          </cell>
        </row>
        <row r="55">
          <cell r="J55">
            <v>470</v>
          </cell>
        </row>
        <row r="56">
          <cell r="J56">
            <v>292</v>
          </cell>
        </row>
        <row r="57">
          <cell r="J57">
            <v>205</v>
          </cell>
        </row>
        <row r="58">
          <cell r="J58">
            <v>145</v>
          </cell>
        </row>
        <row r="59">
          <cell r="J59">
            <v>132</v>
          </cell>
        </row>
        <row r="60">
          <cell r="J60">
            <v>140</v>
          </cell>
        </row>
        <row r="61">
          <cell r="J61">
            <v>159</v>
          </cell>
        </row>
        <row r="62">
          <cell r="J62">
            <v>449</v>
          </cell>
        </row>
        <row r="63">
          <cell r="J63">
            <v>253</v>
          </cell>
        </row>
        <row r="64">
          <cell r="J64">
            <v>102</v>
          </cell>
        </row>
        <row r="65">
          <cell r="J65">
            <v>101</v>
          </cell>
        </row>
        <row r="66">
          <cell r="J66">
            <v>79.5</v>
          </cell>
        </row>
        <row r="67">
          <cell r="J67">
            <v>105</v>
          </cell>
        </row>
        <row r="68">
          <cell r="J68">
            <v>113</v>
          </cell>
        </row>
        <row r="69">
          <cell r="J69">
            <v>56.5</v>
          </cell>
        </row>
      </sheetData>
      <sheetData sheetId="4">
        <row r="27">
          <cell r="V27">
            <v>141.29</v>
          </cell>
        </row>
        <row r="28">
          <cell r="J28">
            <v>2215.6280000000002</v>
          </cell>
          <cell r="K28">
            <v>2062.384</v>
          </cell>
          <cell r="L28">
            <v>1661.2629999999999</v>
          </cell>
          <cell r="N28">
            <v>591.81100000000004</v>
          </cell>
          <cell r="T28">
            <v>4994.8500000000004</v>
          </cell>
          <cell r="U28">
            <v>4779.33</v>
          </cell>
          <cell r="V28">
            <v>1640.23</v>
          </cell>
        </row>
        <row r="29">
          <cell r="J29">
            <v>6735.6140000000196</v>
          </cell>
          <cell r="K29">
            <v>6493.5840000000098</v>
          </cell>
          <cell r="L29">
            <v>0</v>
          </cell>
          <cell r="N29">
            <v>0</v>
          </cell>
          <cell r="T29">
            <v>6735.61</v>
          </cell>
          <cell r="U29">
            <v>6493.58</v>
          </cell>
          <cell r="V29">
            <v>0</v>
          </cell>
        </row>
        <row r="30">
          <cell r="J30">
            <v>4106.826</v>
          </cell>
          <cell r="K30">
            <v>3868.163</v>
          </cell>
          <cell r="L30">
            <v>0</v>
          </cell>
          <cell r="N30">
            <v>0</v>
          </cell>
          <cell r="T30">
            <v>3820.79</v>
          </cell>
          <cell r="U30">
            <v>3582.12</v>
          </cell>
          <cell r="V30">
            <v>0</v>
          </cell>
        </row>
        <row r="31">
          <cell r="J31">
            <v>3187.0610000000001</v>
          </cell>
          <cell r="K31">
            <v>3066.2719999999999</v>
          </cell>
          <cell r="L31">
            <v>0</v>
          </cell>
          <cell r="N31">
            <v>0</v>
          </cell>
          <cell r="T31">
            <v>2774.46</v>
          </cell>
          <cell r="U31">
            <v>2673.88</v>
          </cell>
          <cell r="V31">
            <v>0</v>
          </cell>
        </row>
        <row r="32">
          <cell r="J32">
            <v>4200.0630000000001</v>
          </cell>
          <cell r="K32">
            <v>4115.96</v>
          </cell>
          <cell r="L32">
            <v>10.554</v>
          </cell>
          <cell r="N32">
            <v>250</v>
          </cell>
          <cell r="T32">
            <v>2048.56</v>
          </cell>
          <cell r="U32">
            <v>1972.66</v>
          </cell>
          <cell r="V32">
            <v>10.55</v>
          </cell>
        </row>
        <row r="33">
          <cell r="J33">
            <v>2228.7310000000002</v>
          </cell>
          <cell r="K33">
            <v>2058.346</v>
          </cell>
          <cell r="L33">
            <v>231.74199999999999</v>
          </cell>
          <cell r="N33">
            <v>55.146000000000001</v>
          </cell>
          <cell r="T33">
            <v>1892.71</v>
          </cell>
          <cell r="U33">
            <v>1761.58</v>
          </cell>
          <cell r="V33">
            <v>331.86</v>
          </cell>
        </row>
        <row r="34">
          <cell r="J34">
            <v>1888.9760000000001</v>
          </cell>
          <cell r="K34">
            <v>1766.6179999999999</v>
          </cell>
          <cell r="L34">
            <v>4543.3680000000004</v>
          </cell>
          <cell r="N34">
            <v>532.5</v>
          </cell>
          <cell r="T34">
            <v>2295.9299999999998</v>
          </cell>
          <cell r="U34">
            <v>2168.1799999999998</v>
          </cell>
          <cell r="V34">
            <v>4464.28</v>
          </cell>
        </row>
        <row r="35">
          <cell r="J35">
            <v>2179.6849999999999</v>
          </cell>
          <cell r="K35">
            <v>2040.4670000000001</v>
          </cell>
          <cell r="L35">
            <v>2542.538</v>
          </cell>
          <cell r="N35">
            <v>350.08600000000001</v>
          </cell>
          <cell r="T35">
            <v>2179.69</v>
          </cell>
          <cell r="U35">
            <v>2040.47</v>
          </cell>
          <cell r="V35">
            <v>2542.54</v>
          </cell>
        </row>
        <row r="36">
          <cell r="J36">
            <v>6517.6860000000197</v>
          </cell>
          <cell r="K36">
            <v>6663.7450000000199</v>
          </cell>
          <cell r="L36">
            <v>3179.59</v>
          </cell>
          <cell r="N36">
            <v>268.50400000000002</v>
          </cell>
          <cell r="T36">
            <v>10699.83</v>
          </cell>
          <cell r="U36">
            <v>11061.66</v>
          </cell>
          <cell r="V36">
            <v>3365.57</v>
          </cell>
        </row>
        <row r="37">
          <cell r="J37">
            <v>3917.5839999999998</v>
          </cell>
          <cell r="K37">
            <v>3767.0279999999998</v>
          </cell>
          <cell r="L37">
            <v>0</v>
          </cell>
          <cell r="N37">
            <v>0</v>
          </cell>
          <cell r="T37">
            <v>3917.58</v>
          </cell>
          <cell r="U37">
            <v>3767.03</v>
          </cell>
          <cell r="V37">
            <v>0</v>
          </cell>
        </row>
        <row r="38">
          <cell r="J38">
            <v>2142.2919999999999</v>
          </cell>
          <cell r="K38">
            <v>2173.6979999999999</v>
          </cell>
          <cell r="L38">
            <v>0</v>
          </cell>
          <cell r="N38">
            <v>0</v>
          </cell>
          <cell r="T38">
            <v>1586.81</v>
          </cell>
          <cell r="U38">
            <v>1420.61</v>
          </cell>
          <cell r="V38">
            <v>0</v>
          </cell>
        </row>
        <row r="39">
          <cell r="J39">
            <v>2244.482</v>
          </cell>
          <cell r="K39">
            <v>2233.645</v>
          </cell>
          <cell r="L39">
            <v>0</v>
          </cell>
          <cell r="N39">
            <v>0</v>
          </cell>
          <cell r="T39">
            <v>1563.44</v>
          </cell>
          <cell r="U39">
            <v>1552.6</v>
          </cell>
          <cell r="V39">
            <v>0</v>
          </cell>
        </row>
        <row r="40">
          <cell r="J40">
            <v>3947.5065</v>
          </cell>
          <cell r="K40">
            <v>3909.8105</v>
          </cell>
          <cell r="L40">
            <v>15.46</v>
          </cell>
          <cell r="N40">
            <v>2.5999999999999999E-2</v>
          </cell>
          <cell r="T40">
            <v>1200.6199999999999</v>
          </cell>
          <cell r="U40">
            <v>1111.31</v>
          </cell>
          <cell r="V40">
            <v>15.46</v>
          </cell>
        </row>
        <row r="41">
          <cell r="J41">
            <v>2670.3989999999999</v>
          </cell>
          <cell r="K41">
            <v>2672.5055000000002</v>
          </cell>
          <cell r="L41">
            <v>122.89700000000001</v>
          </cell>
          <cell r="N41">
            <v>19.13</v>
          </cell>
          <cell r="T41">
            <v>2466.52</v>
          </cell>
          <cell r="U41">
            <v>2518.94</v>
          </cell>
          <cell r="V41">
            <v>92.86</v>
          </cell>
        </row>
        <row r="42">
          <cell r="J42">
            <v>2192.64</v>
          </cell>
          <cell r="K42">
            <v>2165.19</v>
          </cell>
          <cell r="L42">
            <v>5366.1808000000101</v>
          </cell>
          <cell r="N42">
            <v>208.119</v>
          </cell>
          <cell r="T42">
            <v>2197.79</v>
          </cell>
          <cell r="U42">
            <v>2153.4699999999998</v>
          </cell>
          <cell r="V42">
            <v>5210.24</v>
          </cell>
        </row>
        <row r="43">
          <cell r="J43">
            <v>830.04849999999999</v>
          </cell>
          <cell r="K43">
            <v>907.77499999999998</v>
          </cell>
          <cell r="L43">
            <v>4080.6550000000002</v>
          </cell>
          <cell r="N43">
            <v>248.381</v>
          </cell>
          <cell r="T43">
            <v>830.05</v>
          </cell>
          <cell r="U43">
            <v>907.77</v>
          </cell>
          <cell r="V43">
            <v>4080.66</v>
          </cell>
        </row>
      </sheetData>
      <sheetData sheetId="5">
        <row r="30">
          <cell r="M30">
            <v>36</v>
          </cell>
        </row>
        <row r="31">
          <cell r="M31">
            <v>317</v>
          </cell>
        </row>
        <row r="32">
          <cell r="M32">
            <v>198</v>
          </cell>
        </row>
        <row r="33">
          <cell r="M33">
            <v>149</v>
          </cell>
        </row>
        <row r="34">
          <cell r="M34">
            <v>202</v>
          </cell>
        </row>
        <row r="35">
          <cell r="M35">
            <v>122</v>
          </cell>
        </row>
        <row r="36">
          <cell r="M36">
            <v>74</v>
          </cell>
        </row>
        <row r="37">
          <cell r="M37">
            <v>115</v>
          </cell>
        </row>
        <row r="38">
          <cell r="M38">
            <v>64</v>
          </cell>
        </row>
        <row r="39">
          <cell r="M39">
            <v>143</v>
          </cell>
        </row>
        <row r="40">
          <cell r="M40">
            <v>84</v>
          </cell>
        </row>
        <row r="41">
          <cell r="M41">
            <v>75</v>
          </cell>
        </row>
        <row r="42">
          <cell r="M42">
            <v>96</v>
          </cell>
        </row>
        <row r="43">
          <cell r="M43">
            <v>57</v>
          </cell>
        </row>
        <row r="44">
          <cell r="M44">
            <v>66</v>
          </cell>
        </row>
        <row r="45">
          <cell r="M45">
            <v>35</v>
          </cell>
        </row>
        <row r="51">
          <cell r="M51">
            <v>157</v>
          </cell>
        </row>
        <row r="52">
          <cell r="M52">
            <v>317</v>
          </cell>
        </row>
        <row r="53">
          <cell r="M53">
            <v>188</v>
          </cell>
        </row>
        <row r="54">
          <cell r="M54">
            <v>139</v>
          </cell>
        </row>
        <row r="55">
          <cell r="M55">
            <v>130</v>
          </cell>
        </row>
        <row r="56">
          <cell r="M56">
            <v>94</v>
          </cell>
        </row>
        <row r="57">
          <cell r="M57">
            <v>73</v>
          </cell>
        </row>
        <row r="58">
          <cell r="M58">
            <v>115</v>
          </cell>
        </row>
        <row r="59">
          <cell r="M59">
            <v>148</v>
          </cell>
        </row>
        <row r="60">
          <cell r="M60">
            <v>143</v>
          </cell>
        </row>
        <row r="61">
          <cell r="M61">
            <v>74</v>
          </cell>
        </row>
        <row r="62">
          <cell r="M62">
            <v>67</v>
          </cell>
        </row>
        <row r="63">
          <cell r="M63">
            <v>50</v>
          </cell>
        </row>
        <row r="64">
          <cell r="M64">
            <v>45</v>
          </cell>
        </row>
        <row r="65">
          <cell r="M65">
            <v>58</v>
          </cell>
        </row>
        <row r="66">
          <cell r="M66">
            <v>35</v>
          </cell>
        </row>
      </sheetData>
      <sheetData sheetId="6">
        <row r="33">
          <cell r="K33">
            <v>47</v>
          </cell>
          <cell r="Z33">
            <v>3460</v>
          </cell>
        </row>
        <row r="34">
          <cell r="K34">
            <v>650</v>
          </cell>
          <cell r="Z34">
            <v>295</v>
          </cell>
        </row>
        <row r="35">
          <cell r="K35">
            <v>850</v>
          </cell>
          <cell r="Z35">
            <v>602</v>
          </cell>
        </row>
        <row r="36">
          <cell r="K36">
            <v>926</v>
          </cell>
          <cell r="Z36">
            <v>238</v>
          </cell>
        </row>
        <row r="37">
          <cell r="K37">
            <v>1026</v>
          </cell>
          <cell r="Z37">
            <v>82</v>
          </cell>
        </row>
        <row r="38">
          <cell r="K38">
            <v>794</v>
          </cell>
          <cell r="Z38">
            <v>53</v>
          </cell>
        </row>
        <row r="39">
          <cell r="K39">
            <v>437</v>
          </cell>
          <cell r="Z39">
            <v>2366</v>
          </cell>
        </row>
        <row r="40">
          <cell r="K40">
            <v>2366</v>
          </cell>
          <cell r="Z40">
            <v>1650</v>
          </cell>
        </row>
        <row r="41">
          <cell r="K41">
            <v>89</v>
          </cell>
          <cell r="Z41">
            <v>131</v>
          </cell>
        </row>
        <row r="42">
          <cell r="K42">
            <v>289</v>
          </cell>
          <cell r="Z42">
            <v>336</v>
          </cell>
        </row>
        <row r="43">
          <cell r="K43">
            <v>332</v>
          </cell>
          <cell r="Z43">
            <v>147</v>
          </cell>
        </row>
        <row r="44">
          <cell r="K44">
            <v>532</v>
          </cell>
          <cell r="Z44">
            <v>42</v>
          </cell>
        </row>
        <row r="45">
          <cell r="K45">
            <v>476</v>
          </cell>
          <cell r="Z45">
            <v>21</v>
          </cell>
        </row>
        <row r="46">
          <cell r="K46">
            <v>267</v>
          </cell>
          <cell r="Z46">
            <v>1130</v>
          </cell>
        </row>
        <row r="47">
          <cell r="K47">
            <v>342</v>
          </cell>
        </row>
        <row r="48">
          <cell r="K48">
            <v>1130</v>
          </cell>
        </row>
        <row r="58">
          <cell r="K58">
            <v>339</v>
          </cell>
        </row>
        <row r="59">
          <cell r="K59">
            <v>650</v>
          </cell>
        </row>
        <row r="60">
          <cell r="K60">
            <v>837</v>
          </cell>
        </row>
        <row r="61">
          <cell r="K61">
            <v>903</v>
          </cell>
        </row>
        <row r="62">
          <cell r="K62">
            <v>860</v>
          </cell>
        </row>
        <row r="63">
          <cell r="K63">
            <v>718</v>
          </cell>
        </row>
        <row r="64">
          <cell r="K64">
            <v>423</v>
          </cell>
        </row>
        <row r="65">
          <cell r="K65">
            <v>2366</v>
          </cell>
        </row>
        <row r="66">
          <cell r="K66">
            <v>249</v>
          </cell>
        </row>
        <row r="67">
          <cell r="K67">
            <v>289</v>
          </cell>
        </row>
        <row r="68">
          <cell r="K68">
            <v>321</v>
          </cell>
        </row>
        <row r="69">
          <cell r="K69">
            <v>516</v>
          </cell>
        </row>
        <row r="70">
          <cell r="K70">
            <v>387</v>
          </cell>
        </row>
        <row r="71">
          <cell r="K71">
            <v>243</v>
          </cell>
        </row>
        <row r="72">
          <cell r="K72">
            <v>322</v>
          </cell>
        </row>
        <row r="73">
          <cell r="K73">
            <v>1130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tion"/>
      <sheetName val="Recruit2"/>
      <sheetName val="Recruit"/>
      <sheetName val="cc"/>
      <sheetName val="APE"/>
      <sheetName val="Actv"/>
      <sheetName val="MP"/>
    </sheetNames>
    <sheetDataSet>
      <sheetData sheetId="0"/>
      <sheetData sheetId="1">
        <row r="76">
          <cell r="K76">
            <v>300</v>
          </cell>
        </row>
      </sheetData>
      <sheetData sheetId="2">
        <row r="37">
          <cell r="J37">
            <v>565</v>
          </cell>
          <cell r="K37">
            <v>36</v>
          </cell>
        </row>
        <row r="38">
          <cell r="J38">
            <v>334</v>
          </cell>
          <cell r="K38">
            <v>18</v>
          </cell>
        </row>
        <row r="43">
          <cell r="J43">
            <v>565</v>
          </cell>
        </row>
        <row r="44">
          <cell r="J44">
            <v>4</v>
          </cell>
        </row>
        <row r="45">
          <cell r="J45">
            <v>1</v>
          </cell>
        </row>
        <row r="46">
          <cell r="J46">
            <v>8</v>
          </cell>
        </row>
        <row r="47">
          <cell r="J47">
            <v>23</v>
          </cell>
        </row>
        <row r="48">
          <cell r="J48">
            <v>334</v>
          </cell>
        </row>
        <row r="49">
          <cell r="J49">
            <v>2</v>
          </cell>
        </row>
        <row r="50">
          <cell r="J50">
            <v>1</v>
          </cell>
        </row>
        <row r="51">
          <cell r="J51">
            <v>5</v>
          </cell>
        </row>
        <row r="52">
          <cell r="J52">
            <v>10</v>
          </cell>
        </row>
      </sheetData>
      <sheetData sheetId="3">
        <row r="34">
          <cell r="J34">
            <v>114</v>
          </cell>
        </row>
        <row r="35">
          <cell r="J35">
            <v>458</v>
          </cell>
        </row>
        <row r="36">
          <cell r="J36">
            <v>199</v>
          </cell>
        </row>
        <row r="37">
          <cell r="J37">
            <v>248</v>
          </cell>
        </row>
        <row r="38">
          <cell r="J38">
            <v>191</v>
          </cell>
        </row>
        <row r="39">
          <cell r="J39">
            <v>112</v>
          </cell>
        </row>
        <row r="40">
          <cell r="J40">
            <v>114</v>
          </cell>
        </row>
        <row r="41">
          <cell r="J41">
            <v>57</v>
          </cell>
        </row>
        <row r="42">
          <cell r="J42">
            <v>239</v>
          </cell>
        </row>
        <row r="43">
          <cell r="J43">
            <v>218.5</v>
          </cell>
        </row>
        <row r="44">
          <cell r="J44">
            <v>158</v>
          </cell>
        </row>
        <row r="45">
          <cell r="J45">
            <v>205</v>
          </cell>
        </row>
        <row r="46">
          <cell r="J46">
            <v>115</v>
          </cell>
        </row>
        <row r="47">
          <cell r="J47">
            <v>848</v>
          </cell>
        </row>
        <row r="48">
          <cell r="J48">
            <v>102.5</v>
          </cell>
        </row>
        <row r="49">
          <cell r="J49">
            <v>29</v>
          </cell>
        </row>
        <row r="54">
          <cell r="J54">
            <v>241</v>
          </cell>
        </row>
        <row r="55">
          <cell r="J55">
            <v>458</v>
          </cell>
        </row>
        <row r="56">
          <cell r="J56">
            <v>199</v>
          </cell>
        </row>
        <row r="57">
          <cell r="J57">
            <v>226</v>
          </cell>
        </row>
        <row r="58">
          <cell r="J58">
            <v>100</v>
          </cell>
        </row>
        <row r="59">
          <cell r="J59">
            <v>97</v>
          </cell>
        </row>
        <row r="60">
          <cell r="J60">
            <v>115</v>
          </cell>
        </row>
        <row r="61">
          <cell r="J61">
            <v>57</v>
          </cell>
        </row>
        <row r="62">
          <cell r="J62">
            <v>440.5</v>
          </cell>
        </row>
        <row r="63">
          <cell r="J63">
            <v>218.5</v>
          </cell>
        </row>
        <row r="64">
          <cell r="J64">
            <v>158</v>
          </cell>
        </row>
        <row r="65">
          <cell r="J65">
            <v>126</v>
          </cell>
        </row>
        <row r="66">
          <cell r="J66">
            <v>53</v>
          </cell>
        </row>
        <row r="67">
          <cell r="J67">
            <v>777</v>
          </cell>
        </row>
        <row r="68">
          <cell r="J68">
            <v>113</v>
          </cell>
        </row>
        <row r="69">
          <cell r="J69">
            <v>29</v>
          </cell>
        </row>
      </sheetData>
      <sheetData sheetId="4">
        <row r="27">
          <cell r="L27">
            <v>147.07</v>
          </cell>
        </row>
        <row r="28">
          <cell r="J28">
            <v>2226.8000000000002</v>
          </cell>
          <cell r="K28">
            <v>2393.8200000000002</v>
          </cell>
          <cell r="L28">
            <v>4506.82</v>
          </cell>
          <cell r="N28">
            <v>2396.04</v>
          </cell>
          <cell r="T28">
            <v>3824.19</v>
          </cell>
          <cell r="U28">
            <v>4006.04</v>
          </cell>
          <cell r="V28">
            <v>2893.19</v>
          </cell>
        </row>
        <row r="29">
          <cell r="J29">
            <v>6413.6</v>
          </cell>
          <cell r="K29">
            <v>6387.61</v>
          </cell>
          <cell r="L29">
            <v>0</v>
          </cell>
          <cell r="N29">
            <v>0</v>
          </cell>
          <cell r="T29">
            <v>6413.6</v>
          </cell>
          <cell r="U29">
            <v>6387.61</v>
          </cell>
          <cell r="V29">
            <v>0</v>
          </cell>
        </row>
        <row r="30">
          <cell r="J30">
            <v>2595.56</v>
          </cell>
          <cell r="K30">
            <v>2801.18</v>
          </cell>
          <cell r="L30">
            <v>0</v>
          </cell>
          <cell r="N30">
            <v>2.2999999999999998</v>
          </cell>
          <cell r="T30">
            <v>2595.56</v>
          </cell>
          <cell r="U30">
            <v>2801.18</v>
          </cell>
          <cell r="V30">
            <v>0</v>
          </cell>
        </row>
        <row r="31">
          <cell r="J31">
            <v>3396.29</v>
          </cell>
          <cell r="K31">
            <v>3408.23</v>
          </cell>
          <cell r="L31">
            <v>0</v>
          </cell>
          <cell r="N31">
            <v>11.58</v>
          </cell>
          <cell r="T31">
            <v>3083.16</v>
          </cell>
          <cell r="U31">
            <v>3095.1</v>
          </cell>
          <cell r="V31">
            <v>0</v>
          </cell>
        </row>
        <row r="32">
          <cell r="J32">
            <v>3037.75</v>
          </cell>
          <cell r="K32">
            <v>3040.16</v>
          </cell>
          <cell r="L32">
            <v>2.48</v>
          </cell>
          <cell r="N32">
            <v>29.84</v>
          </cell>
          <cell r="T32">
            <v>1657.9</v>
          </cell>
          <cell r="U32">
            <v>1658.56</v>
          </cell>
          <cell r="V32">
            <v>2.48</v>
          </cell>
        </row>
        <row r="33">
          <cell r="J33">
            <v>1652.74</v>
          </cell>
          <cell r="K33">
            <v>1759.76</v>
          </cell>
          <cell r="L33">
            <v>366.7</v>
          </cell>
          <cell r="N33">
            <v>0.24</v>
          </cell>
          <cell r="T33">
            <v>1420.3</v>
          </cell>
          <cell r="U33">
            <v>1530.32</v>
          </cell>
          <cell r="V33">
            <v>235.16</v>
          </cell>
        </row>
        <row r="34">
          <cell r="J34">
            <v>1737.08</v>
          </cell>
          <cell r="K34">
            <v>1840.75</v>
          </cell>
          <cell r="L34">
            <v>6681.47</v>
          </cell>
          <cell r="N34">
            <v>7584.96</v>
          </cell>
          <cell r="T34">
            <v>2065.11</v>
          </cell>
          <cell r="U34">
            <v>2152.69</v>
          </cell>
          <cell r="V34">
            <v>8426.64</v>
          </cell>
        </row>
        <row r="35">
          <cell r="J35">
            <v>894.63</v>
          </cell>
          <cell r="K35">
            <v>801.39</v>
          </cell>
          <cell r="L35">
            <v>5669.87</v>
          </cell>
          <cell r="N35">
            <v>0.31</v>
          </cell>
          <cell r="T35">
            <v>894.63</v>
          </cell>
          <cell r="U35">
            <v>801.39</v>
          </cell>
          <cell r="V35">
            <v>5669.87</v>
          </cell>
        </row>
        <row r="36">
          <cell r="J36">
            <v>6100.44</v>
          </cell>
          <cell r="K36">
            <v>6116.01</v>
          </cell>
          <cell r="L36">
            <v>5280.44</v>
          </cell>
          <cell r="N36">
            <v>329.16</v>
          </cell>
          <cell r="T36">
            <v>10940.55</v>
          </cell>
          <cell r="U36">
            <v>11041.58</v>
          </cell>
          <cell r="V36">
            <v>5602.64</v>
          </cell>
        </row>
        <row r="37">
          <cell r="J37">
            <v>3298.59</v>
          </cell>
          <cell r="K37">
            <v>3178.47</v>
          </cell>
          <cell r="L37">
            <v>0</v>
          </cell>
          <cell r="N37">
            <v>0</v>
          </cell>
          <cell r="T37">
            <v>3298.59</v>
          </cell>
          <cell r="U37">
            <v>3178.47</v>
          </cell>
          <cell r="V37">
            <v>0</v>
          </cell>
        </row>
        <row r="38">
          <cell r="J38">
            <v>3248.4</v>
          </cell>
          <cell r="K38">
            <v>3137.58</v>
          </cell>
          <cell r="L38">
            <v>0</v>
          </cell>
          <cell r="N38">
            <v>16.690000000000001</v>
          </cell>
          <cell r="T38">
            <v>3248.4</v>
          </cell>
          <cell r="U38">
            <v>3137.58</v>
          </cell>
          <cell r="V38">
            <v>0</v>
          </cell>
        </row>
        <row r="39">
          <cell r="J39">
            <v>3765.87</v>
          </cell>
          <cell r="K39">
            <v>3743.62</v>
          </cell>
          <cell r="L39">
            <v>0</v>
          </cell>
          <cell r="N39">
            <v>0</v>
          </cell>
          <cell r="T39">
            <v>1865.16</v>
          </cell>
          <cell r="U39">
            <v>1848.64</v>
          </cell>
          <cell r="V39">
            <v>0</v>
          </cell>
        </row>
        <row r="40">
          <cell r="J40">
            <v>2270.69</v>
          </cell>
          <cell r="K40">
            <v>2226.09</v>
          </cell>
          <cell r="L40">
            <v>109.26</v>
          </cell>
          <cell r="N40">
            <v>5.73</v>
          </cell>
          <cell r="T40">
            <v>1020.13</v>
          </cell>
          <cell r="U40">
            <v>971.91</v>
          </cell>
          <cell r="V40">
            <v>0</v>
          </cell>
        </row>
        <row r="41">
          <cell r="J41">
            <v>9797.42</v>
          </cell>
          <cell r="K41">
            <v>9905.15</v>
          </cell>
          <cell r="L41">
            <v>178.23</v>
          </cell>
          <cell r="N41">
            <v>121.19</v>
          </cell>
          <cell r="T41">
            <v>7865.96</v>
          </cell>
          <cell r="U41">
            <v>7870.49</v>
          </cell>
          <cell r="V41">
            <v>281.77</v>
          </cell>
        </row>
        <row r="42">
          <cell r="J42">
            <v>2223.58</v>
          </cell>
          <cell r="K42">
            <v>2303.86</v>
          </cell>
          <cell r="L42">
            <v>6489.54</v>
          </cell>
          <cell r="N42">
            <v>1969</v>
          </cell>
          <cell r="T42">
            <v>2466.1999999999998</v>
          </cell>
          <cell r="U42">
            <v>2562.1</v>
          </cell>
          <cell r="V42">
            <v>6173.05</v>
          </cell>
        </row>
        <row r="43">
          <cell r="J43">
            <v>482.97</v>
          </cell>
          <cell r="K43">
            <v>602.87</v>
          </cell>
          <cell r="L43">
            <v>6196.35</v>
          </cell>
          <cell r="N43">
            <v>237.14</v>
          </cell>
          <cell r="T43">
            <v>482.97</v>
          </cell>
          <cell r="U43">
            <v>602.87</v>
          </cell>
          <cell r="V43">
            <v>6196.35</v>
          </cell>
        </row>
      </sheetData>
      <sheetData sheetId="5">
        <row r="30">
          <cell r="M30">
            <v>31</v>
          </cell>
        </row>
        <row r="31">
          <cell r="M31">
            <v>275</v>
          </cell>
        </row>
        <row r="32">
          <cell r="M32">
            <v>137</v>
          </cell>
        </row>
        <row r="33">
          <cell r="M33">
            <v>166</v>
          </cell>
        </row>
        <row r="34">
          <cell r="M34">
            <v>108</v>
          </cell>
        </row>
        <row r="35">
          <cell r="M35">
            <v>84</v>
          </cell>
        </row>
        <row r="36">
          <cell r="M36">
            <v>63</v>
          </cell>
        </row>
        <row r="37">
          <cell r="M37">
            <v>44</v>
          </cell>
        </row>
        <row r="38">
          <cell r="M38">
            <v>61</v>
          </cell>
        </row>
        <row r="39">
          <cell r="M39">
            <v>154</v>
          </cell>
        </row>
        <row r="40">
          <cell r="M40">
            <v>76</v>
          </cell>
        </row>
        <row r="41">
          <cell r="M41">
            <v>97</v>
          </cell>
        </row>
        <row r="42">
          <cell r="M42">
            <v>68</v>
          </cell>
        </row>
        <row r="43">
          <cell r="M43">
            <v>85</v>
          </cell>
        </row>
        <row r="44">
          <cell r="M44">
            <v>62</v>
          </cell>
        </row>
        <row r="45">
          <cell r="M45">
            <v>23</v>
          </cell>
        </row>
        <row r="51">
          <cell r="M51">
            <v>102</v>
          </cell>
        </row>
        <row r="52">
          <cell r="M52">
            <v>275</v>
          </cell>
        </row>
        <row r="53">
          <cell r="M53">
            <v>137</v>
          </cell>
        </row>
        <row r="54">
          <cell r="M54">
            <v>154</v>
          </cell>
        </row>
        <row r="55">
          <cell r="M55">
            <v>70</v>
          </cell>
        </row>
        <row r="56">
          <cell r="M56">
            <v>65</v>
          </cell>
        </row>
        <row r="57">
          <cell r="M57">
            <v>61</v>
          </cell>
        </row>
        <row r="58">
          <cell r="M58">
            <v>44</v>
          </cell>
        </row>
        <row r="59">
          <cell r="M59">
            <v>149</v>
          </cell>
        </row>
        <row r="60">
          <cell r="M60">
            <v>154</v>
          </cell>
        </row>
        <row r="61">
          <cell r="M61">
            <v>76</v>
          </cell>
        </row>
        <row r="62">
          <cell r="M62">
            <v>81</v>
          </cell>
        </row>
        <row r="63">
          <cell r="M63">
            <v>39</v>
          </cell>
        </row>
        <row r="64">
          <cell r="M64">
            <v>53</v>
          </cell>
        </row>
        <row r="65">
          <cell r="M65">
            <v>51</v>
          </cell>
        </row>
        <row r="66">
          <cell r="M66">
            <v>23</v>
          </cell>
        </row>
      </sheetData>
      <sheetData sheetId="6">
        <row r="33">
          <cell r="K33">
            <v>46</v>
          </cell>
          <cell r="Z33">
            <v>3625</v>
          </cell>
        </row>
        <row r="34">
          <cell r="K34">
            <v>587</v>
          </cell>
          <cell r="Z34">
            <v>2740</v>
          </cell>
        </row>
        <row r="35">
          <cell r="K35">
            <v>650</v>
          </cell>
          <cell r="Z35">
            <v>313</v>
          </cell>
        </row>
        <row r="36">
          <cell r="K36">
            <v>1491</v>
          </cell>
          <cell r="Z36">
            <v>81</v>
          </cell>
        </row>
        <row r="37">
          <cell r="K37">
            <v>762</v>
          </cell>
          <cell r="Z37">
            <v>54</v>
          </cell>
        </row>
        <row r="38">
          <cell r="K38">
            <v>949</v>
          </cell>
          <cell r="Z38">
            <v>241</v>
          </cell>
        </row>
        <row r="39">
          <cell r="K39">
            <v>459</v>
          </cell>
          <cell r="Z39">
            <v>630</v>
          </cell>
        </row>
        <row r="40">
          <cell r="K40">
            <v>2740</v>
          </cell>
          <cell r="Z40">
            <v>1756</v>
          </cell>
        </row>
        <row r="41">
          <cell r="K41">
            <v>85</v>
          </cell>
          <cell r="Z41">
            <v>1301</v>
          </cell>
        </row>
        <row r="42">
          <cell r="K42">
            <v>347</v>
          </cell>
          <cell r="Z42">
            <v>146</v>
          </cell>
        </row>
        <row r="43">
          <cell r="K43">
            <v>286</v>
          </cell>
          <cell r="Z43">
            <v>43</v>
          </cell>
        </row>
        <row r="44">
          <cell r="K44">
            <v>692</v>
          </cell>
          <cell r="Z44">
            <v>22</v>
          </cell>
        </row>
        <row r="45">
          <cell r="K45">
            <v>350</v>
          </cell>
          <cell r="Z45">
            <v>144</v>
          </cell>
        </row>
        <row r="46">
          <cell r="K46">
            <v>337</v>
          </cell>
          <cell r="Z46">
            <v>325</v>
          </cell>
        </row>
        <row r="47">
          <cell r="K47">
            <v>339</v>
          </cell>
        </row>
        <row r="48">
          <cell r="K48">
            <v>1301</v>
          </cell>
        </row>
        <row r="58">
          <cell r="K58">
            <v>336</v>
          </cell>
        </row>
        <row r="59">
          <cell r="K59">
            <v>587</v>
          </cell>
        </row>
        <row r="60">
          <cell r="K60">
            <v>650</v>
          </cell>
        </row>
        <row r="61">
          <cell r="K61">
            <v>1466</v>
          </cell>
        </row>
        <row r="62">
          <cell r="K62">
            <v>626</v>
          </cell>
        </row>
        <row r="63">
          <cell r="K63">
            <v>841</v>
          </cell>
        </row>
        <row r="64">
          <cell r="K64">
            <v>438</v>
          </cell>
        </row>
        <row r="65">
          <cell r="K65">
            <v>2740</v>
          </cell>
        </row>
        <row r="66">
          <cell r="K66">
            <v>241</v>
          </cell>
        </row>
        <row r="67">
          <cell r="K67">
            <v>347</v>
          </cell>
        </row>
        <row r="68">
          <cell r="K68">
            <v>286</v>
          </cell>
        </row>
        <row r="69">
          <cell r="K69">
            <v>670</v>
          </cell>
        </row>
        <row r="70">
          <cell r="K70">
            <v>293</v>
          </cell>
        </row>
        <row r="71">
          <cell r="K71">
            <v>281</v>
          </cell>
        </row>
        <row r="72">
          <cell r="K72">
            <v>318</v>
          </cell>
        </row>
        <row r="73">
          <cell r="K73">
            <v>1301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tion"/>
      <sheetName val="Recruit2"/>
      <sheetName val="Recruit"/>
      <sheetName val="cc"/>
      <sheetName val="APE"/>
      <sheetName val="Actv"/>
      <sheetName val="MP"/>
    </sheetNames>
    <sheetDataSet>
      <sheetData sheetId="0"/>
      <sheetData sheetId="1">
        <row r="76">
          <cell r="K76">
            <v>490</v>
          </cell>
        </row>
      </sheetData>
      <sheetData sheetId="2">
        <row r="37">
          <cell r="J37">
            <v>1292</v>
          </cell>
          <cell r="K37">
            <v>35</v>
          </cell>
        </row>
        <row r="38">
          <cell r="J38">
            <v>392</v>
          </cell>
          <cell r="K38">
            <v>20</v>
          </cell>
        </row>
        <row r="43">
          <cell r="J43">
            <v>1292</v>
          </cell>
        </row>
        <row r="44">
          <cell r="J44">
            <v>2</v>
          </cell>
        </row>
        <row r="45">
          <cell r="J45">
            <v>1</v>
          </cell>
        </row>
        <row r="46">
          <cell r="J46">
            <v>2</v>
          </cell>
        </row>
        <row r="47">
          <cell r="J47">
            <v>28</v>
          </cell>
        </row>
        <row r="48">
          <cell r="J48">
            <v>2</v>
          </cell>
        </row>
        <row r="49">
          <cell r="J49">
            <v>392</v>
          </cell>
        </row>
        <row r="50">
          <cell r="J50">
            <v>1</v>
          </cell>
        </row>
        <row r="51">
          <cell r="J51">
            <v>1</v>
          </cell>
        </row>
        <row r="52">
          <cell r="J52">
            <v>3</v>
          </cell>
        </row>
        <row r="53">
          <cell r="J53">
            <v>15</v>
          </cell>
        </row>
      </sheetData>
      <sheetData sheetId="3">
        <row r="34">
          <cell r="J34">
            <v>86</v>
          </cell>
        </row>
        <row r="35">
          <cell r="J35">
            <v>1053</v>
          </cell>
        </row>
        <row r="36">
          <cell r="J36">
            <v>154.5</v>
          </cell>
        </row>
        <row r="37">
          <cell r="J37">
            <v>205.5</v>
          </cell>
        </row>
        <row r="38">
          <cell r="J38">
            <v>130</v>
          </cell>
        </row>
        <row r="39">
          <cell r="J39">
            <v>122</v>
          </cell>
        </row>
        <row r="40">
          <cell r="J40">
            <v>101</v>
          </cell>
        </row>
        <row r="41">
          <cell r="J41">
            <v>47</v>
          </cell>
        </row>
        <row r="42">
          <cell r="J42">
            <v>304.5</v>
          </cell>
        </row>
        <row r="43">
          <cell r="J43">
            <v>337</v>
          </cell>
        </row>
        <row r="44">
          <cell r="J44">
            <v>149</v>
          </cell>
        </row>
        <row r="45">
          <cell r="J45">
            <v>230.5</v>
          </cell>
        </row>
        <row r="46">
          <cell r="J46">
            <v>228</v>
          </cell>
        </row>
        <row r="47">
          <cell r="J47">
            <v>246.5</v>
          </cell>
        </row>
        <row r="48">
          <cell r="J48">
            <v>115.5</v>
          </cell>
        </row>
        <row r="49">
          <cell r="J49">
            <v>15</v>
          </cell>
        </row>
        <row r="54">
          <cell r="J54">
            <v>156.5</v>
          </cell>
        </row>
        <row r="55">
          <cell r="J55">
            <v>1053</v>
          </cell>
        </row>
        <row r="56">
          <cell r="J56">
            <v>154.5</v>
          </cell>
        </row>
        <row r="57">
          <cell r="J57">
            <v>203.5</v>
          </cell>
        </row>
        <row r="58">
          <cell r="J58">
            <v>99</v>
          </cell>
        </row>
        <row r="59">
          <cell r="J59">
            <v>76.5</v>
          </cell>
        </row>
        <row r="60">
          <cell r="J60">
            <v>109</v>
          </cell>
        </row>
        <row r="61">
          <cell r="J61">
            <v>47</v>
          </cell>
        </row>
        <row r="62">
          <cell r="J62">
            <v>644.5</v>
          </cell>
        </row>
        <row r="63">
          <cell r="J63">
            <v>337</v>
          </cell>
        </row>
        <row r="64">
          <cell r="J64">
            <v>149</v>
          </cell>
        </row>
        <row r="65">
          <cell r="J65">
            <v>175.5</v>
          </cell>
        </row>
        <row r="66">
          <cell r="J66">
            <v>58</v>
          </cell>
        </row>
        <row r="67">
          <cell r="J67">
            <v>145.5</v>
          </cell>
        </row>
        <row r="68">
          <cell r="J68">
            <v>101.5</v>
          </cell>
        </row>
        <row r="69">
          <cell r="J69">
            <v>15</v>
          </cell>
        </row>
      </sheetData>
      <sheetData sheetId="4">
        <row r="27">
          <cell r="L27">
            <v>169.29</v>
          </cell>
        </row>
        <row r="28">
          <cell r="J28">
            <v>1857.83</v>
          </cell>
          <cell r="K28">
            <v>1886.73</v>
          </cell>
          <cell r="L28">
            <v>2498.86</v>
          </cell>
          <cell r="N28">
            <v>3970.32</v>
          </cell>
          <cell r="T28">
            <v>3126.56</v>
          </cell>
          <cell r="U28">
            <v>3243.06</v>
          </cell>
          <cell r="V28">
            <v>3360.45</v>
          </cell>
        </row>
        <row r="29">
          <cell r="J29">
            <v>14161.59</v>
          </cell>
          <cell r="K29">
            <v>14011.94</v>
          </cell>
          <cell r="L29">
            <v>0</v>
          </cell>
          <cell r="N29">
            <v>0</v>
          </cell>
          <cell r="T29">
            <v>14161.59</v>
          </cell>
          <cell r="U29">
            <v>14011.94</v>
          </cell>
          <cell r="V29">
            <v>0</v>
          </cell>
        </row>
        <row r="30">
          <cell r="J30">
            <v>2120.2800000000002</v>
          </cell>
          <cell r="K30">
            <v>2103.4</v>
          </cell>
          <cell r="L30">
            <v>0</v>
          </cell>
          <cell r="N30">
            <v>0.01</v>
          </cell>
          <cell r="T30">
            <v>2120.2800000000002</v>
          </cell>
          <cell r="U30">
            <v>2103.4</v>
          </cell>
          <cell r="V30">
            <v>0</v>
          </cell>
        </row>
        <row r="31">
          <cell r="J31">
            <v>2783</v>
          </cell>
          <cell r="K31">
            <v>2760.19</v>
          </cell>
          <cell r="L31">
            <v>0</v>
          </cell>
          <cell r="N31">
            <v>7.12</v>
          </cell>
          <cell r="T31">
            <v>2752.66</v>
          </cell>
          <cell r="U31">
            <v>2729.84</v>
          </cell>
          <cell r="V31">
            <v>0</v>
          </cell>
        </row>
        <row r="32">
          <cell r="J32">
            <v>1939.3</v>
          </cell>
          <cell r="K32">
            <v>1943.25</v>
          </cell>
          <cell r="L32">
            <v>0</v>
          </cell>
          <cell r="N32">
            <v>13.37</v>
          </cell>
          <cell r="T32">
            <v>1472.99</v>
          </cell>
          <cell r="U32">
            <v>1482.39</v>
          </cell>
          <cell r="V32">
            <v>0</v>
          </cell>
        </row>
        <row r="33">
          <cell r="J33">
            <v>1644.53</v>
          </cell>
          <cell r="K33">
            <v>1671.83</v>
          </cell>
          <cell r="L33">
            <v>1064.73</v>
          </cell>
          <cell r="N33">
            <v>1.55</v>
          </cell>
          <cell r="T33">
            <v>1019.87</v>
          </cell>
          <cell r="U33">
            <v>1037.1600000000001</v>
          </cell>
          <cell r="V33">
            <v>879.45</v>
          </cell>
        </row>
        <row r="34">
          <cell r="J34">
            <v>2199.79</v>
          </cell>
          <cell r="K34">
            <v>2241.2600000000002</v>
          </cell>
          <cell r="L34">
            <v>8070.13</v>
          </cell>
          <cell r="N34">
            <v>4385.12</v>
          </cell>
          <cell r="T34">
            <v>2052.37</v>
          </cell>
          <cell r="U34">
            <v>2010.81</v>
          </cell>
          <cell r="V34">
            <v>7393.82</v>
          </cell>
        </row>
        <row r="35">
          <cell r="J35">
            <v>654.79999999999995</v>
          </cell>
          <cell r="K35">
            <v>755.55</v>
          </cell>
          <cell r="L35">
            <v>4640.75</v>
          </cell>
          <cell r="N35">
            <v>15</v>
          </cell>
          <cell r="T35">
            <v>654.79999999999995</v>
          </cell>
          <cell r="U35">
            <v>755.55</v>
          </cell>
          <cell r="V35">
            <v>4640.75</v>
          </cell>
        </row>
        <row r="36">
          <cell r="J36">
            <v>7621.49</v>
          </cell>
          <cell r="K36">
            <v>7612.45</v>
          </cell>
          <cell r="L36">
            <v>5394.48</v>
          </cell>
          <cell r="N36">
            <v>2399.23</v>
          </cell>
          <cell r="T36">
            <v>14188.19</v>
          </cell>
          <cell r="U36">
            <v>14090.89</v>
          </cell>
          <cell r="V36">
            <v>5572.51</v>
          </cell>
        </row>
        <row r="37">
          <cell r="J37">
            <v>5003.32</v>
          </cell>
          <cell r="K37">
            <v>4919.76</v>
          </cell>
          <cell r="L37">
            <v>0</v>
          </cell>
          <cell r="N37">
            <v>0</v>
          </cell>
          <cell r="T37">
            <v>5003.32</v>
          </cell>
          <cell r="U37">
            <v>4919.76</v>
          </cell>
          <cell r="V37">
            <v>0</v>
          </cell>
        </row>
        <row r="38">
          <cell r="J38">
            <v>2156.14</v>
          </cell>
          <cell r="K38">
            <v>2115.9899999999998</v>
          </cell>
          <cell r="L38">
            <v>0</v>
          </cell>
          <cell r="N38">
            <v>0.32</v>
          </cell>
          <cell r="T38">
            <v>2156.14</v>
          </cell>
          <cell r="U38">
            <v>2115.9899999999998</v>
          </cell>
          <cell r="V38">
            <v>0</v>
          </cell>
        </row>
        <row r="39">
          <cell r="J39">
            <v>4488.4799999999996</v>
          </cell>
          <cell r="K39">
            <v>4129.46</v>
          </cell>
          <cell r="L39">
            <v>20.8</v>
          </cell>
          <cell r="N39">
            <v>1.0900000000000001</v>
          </cell>
          <cell r="T39">
            <v>3365.75</v>
          </cell>
          <cell r="U39">
            <v>3006.73</v>
          </cell>
          <cell r="V39">
            <v>20.8</v>
          </cell>
        </row>
        <row r="40">
          <cell r="J40">
            <v>4405.57</v>
          </cell>
          <cell r="K40">
            <v>4375.99</v>
          </cell>
          <cell r="L40">
            <v>0</v>
          </cell>
          <cell r="N40">
            <v>71.540000000000006</v>
          </cell>
          <cell r="T40">
            <v>1004.7</v>
          </cell>
          <cell r="U40">
            <v>1031.01</v>
          </cell>
          <cell r="V40">
            <v>0</v>
          </cell>
        </row>
        <row r="41">
          <cell r="J41">
            <v>4937.8599999999997</v>
          </cell>
          <cell r="K41">
            <v>5173.57</v>
          </cell>
          <cell r="L41">
            <v>290.92</v>
          </cell>
          <cell r="N41">
            <v>81.89</v>
          </cell>
          <cell r="T41">
            <v>2594.13</v>
          </cell>
          <cell r="U41">
            <v>2753.23</v>
          </cell>
          <cell r="V41">
            <v>240</v>
          </cell>
        </row>
        <row r="42">
          <cell r="J42">
            <v>1895.13</v>
          </cell>
          <cell r="K42">
            <v>1959.52</v>
          </cell>
          <cell r="L42">
            <v>7691.96</v>
          </cell>
          <cell r="N42">
            <v>1989.43</v>
          </cell>
          <cell r="T42">
            <v>2195.75</v>
          </cell>
          <cell r="U42">
            <v>2369.13</v>
          </cell>
          <cell r="V42">
            <v>7564.85</v>
          </cell>
        </row>
        <row r="43">
          <cell r="J43">
            <v>254.37</v>
          </cell>
          <cell r="K43">
            <v>472.69</v>
          </cell>
          <cell r="L43">
            <v>6468.61</v>
          </cell>
          <cell r="N43">
            <v>294.95</v>
          </cell>
          <cell r="T43">
            <v>254.37</v>
          </cell>
          <cell r="U43">
            <v>472.69</v>
          </cell>
          <cell r="V43">
            <v>6468.61</v>
          </cell>
        </row>
      </sheetData>
      <sheetData sheetId="5">
        <row r="30">
          <cell r="M30">
            <v>31</v>
          </cell>
        </row>
        <row r="31">
          <cell r="M31">
            <v>706</v>
          </cell>
        </row>
        <row r="32">
          <cell r="M32">
            <v>108</v>
          </cell>
        </row>
        <row r="33">
          <cell r="M33">
            <v>139</v>
          </cell>
        </row>
        <row r="34">
          <cell r="M34">
            <v>89</v>
          </cell>
        </row>
        <row r="35">
          <cell r="M35">
            <v>93</v>
          </cell>
        </row>
        <row r="36">
          <cell r="M36">
            <v>60</v>
          </cell>
        </row>
        <row r="37">
          <cell r="M37">
            <v>42</v>
          </cell>
        </row>
        <row r="38">
          <cell r="M38">
            <v>64</v>
          </cell>
        </row>
        <row r="39">
          <cell r="M39">
            <v>208</v>
          </cell>
        </row>
        <row r="40">
          <cell r="M40">
            <v>88</v>
          </cell>
        </row>
        <row r="41">
          <cell r="M41">
            <v>94</v>
          </cell>
        </row>
        <row r="42">
          <cell r="M42">
            <v>62</v>
          </cell>
        </row>
        <row r="43">
          <cell r="M43">
            <v>88</v>
          </cell>
        </row>
        <row r="44">
          <cell r="M44">
            <v>58</v>
          </cell>
        </row>
        <row r="45">
          <cell r="M45">
            <v>15</v>
          </cell>
        </row>
        <row r="51">
          <cell r="M51">
            <v>92</v>
          </cell>
        </row>
        <row r="52">
          <cell r="M52">
            <v>706</v>
          </cell>
        </row>
        <row r="53">
          <cell r="M53">
            <v>108</v>
          </cell>
        </row>
        <row r="54">
          <cell r="M54">
            <v>136</v>
          </cell>
        </row>
        <row r="55">
          <cell r="M55">
            <v>68</v>
          </cell>
        </row>
        <row r="56">
          <cell r="M56">
            <v>62</v>
          </cell>
        </row>
        <row r="57">
          <cell r="M57">
            <v>54</v>
          </cell>
        </row>
        <row r="58">
          <cell r="M58">
            <v>42</v>
          </cell>
        </row>
        <row r="59">
          <cell r="M59">
            <v>141</v>
          </cell>
        </row>
        <row r="60">
          <cell r="M60">
            <v>208</v>
          </cell>
        </row>
        <row r="61">
          <cell r="M61">
            <v>88</v>
          </cell>
        </row>
        <row r="62">
          <cell r="M62">
            <v>86</v>
          </cell>
        </row>
        <row r="63">
          <cell r="M63">
            <v>37</v>
          </cell>
        </row>
        <row r="64">
          <cell r="M64">
            <v>55</v>
          </cell>
        </row>
        <row r="65">
          <cell r="M65">
            <v>47</v>
          </cell>
        </row>
        <row r="66">
          <cell r="M66">
            <v>15</v>
          </cell>
        </row>
      </sheetData>
      <sheetData sheetId="6">
        <row r="33">
          <cell r="K33">
            <v>47</v>
          </cell>
          <cell r="Z33">
            <v>4210</v>
          </cell>
        </row>
        <row r="34">
          <cell r="K34">
            <v>1312</v>
          </cell>
          <cell r="Z34">
            <v>3299</v>
          </cell>
        </row>
        <row r="35">
          <cell r="K35">
            <v>563</v>
          </cell>
          <cell r="Z35">
            <v>324</v>
          </cell>
        </row>
        <row r="36">
          <cell r="K36">
            <v>1437</v>
          </cell>
          <cell r="Z36">
            <v>80</v>
          </cell>
        </row>
        <row r="37">
          <cell r="K37">
            <v>651</v>
          </cell>
          <cell r="Z37">
            <v>51</v>
          </cell>
        </row>
        <row r="38">
          <cell r="K38">
            <v>1014</v>
          </cell>
          <cell r="Z38">
            <v>225</v>
          </cell>
        </row>
        <row r="39">
          <cell r="K39">
            <v>500</v>
          </cell>
          <cell r="Z39">
            <v>634</v>
          </cell>
        </row>
        <row r="40">
          <cell r="K40">
            <v>3299</v>
          </cell>
          <cell r="Z40">
            <v>1833</v>
          </cell>
        </row>
        <row r="41">
          <cell r="K41">
            <v>81</v>
          </cell>
          <cell r="Z41">
            <v>1550</v>
          </cell>
        </row>
        <row r="42">
          <cell r="K42">
            <v>405</v>
          </cell>
          <cell r="Z42">
            <v>143</v>
          </cell>
        </row>
        <row r="43">
          <cell r="K43">
            <v>324</v>
          </cell>
          <cell r="Z43">
            <v>42</v>
          </cell>
        </row>
        <row r="44">
          <cell r="K44">
            <v>590</v>
          </cell>
          <cell r="Z44">
            <v>23</v>
          </cell>
        </row>
        <row r="45">
          <cell r="K45">
            <v>334</v>
          </cell>
          <cell r="Z45">
            <v>134</v>
          </cell>
        </row>
        <row r="46">
          <cell r="K46">
            <v>415</v>
          </cell>
          <cell r="Z46">
            <v>316</v>
          </cell>
        </row>
        <row r="47">
          <cell r="K47">
            <v>342</v>
          </cell>
        </row>
        <row r="48">
          <cell r="K48">
            <v>1550</v>
          </cell>
        </row>
        <row r="58">
          <cell r="K58">
            <v>316</v>
          </cell>
        </row>
        <row r="59">
          <cell r="K59">
            <v>1312</v>
          </cell>
        </row>
        <row r="60">
          <cell r="K60">
            <v>563</v>
          </cell>
        </row>
        <row r="61">
          <cell r="K61">
            <v>1424</v>
          </cell>
        </row>
        <row r="62">
          <cell r="K62">
            <v>569</v>
          </cell>
        </row>
        <row r="63">
          <cell r="K63">
            <v>867</v>
          </cell>
        </row>
        <row r="64">
          <cell r="K64">
            <v>473</v>
          </cell>
        </row>
        <row r="65">
          <cell r="K65">
            <v>3299</v>
          </cell>
        </row>
        <row r="66">
          <cell r="K66">
            <v>234</v>
          </cell>
        </row>
        <row r="67">
          <cell r="K67">
            <v>405</v>
          </cell>
        </row>
        <row r="68">
          <cell r="K68">
            <v>324</v>
          </cell>
        </row>
        <row r="69">
          <cell r="K69">
            <v>579</v>
          </cell>
        </row>
        <row r="70">
          <cell r="K70">
            <v>291</v>
          </cell>
        </row>
        <row r="71">
          <cell r="K71">
            <v>339</v>
          </cell>
        </row>
        <row r="72">
          <cell r="K72">
            <v>319</v>
          </cell>
        </row>
        <row r="73">
          <cell r="K73">
            <v>1550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tion"/>
      <sheetName val="Recruit2"/>
      <sheetName val="Recruit"/>
      <sheetName val="cc"/>
      <sheetName val="APE"/>
      <sheetName val="Actv"/>
      <sheetName val="MP"/>
    </sheetNames>
    <sheetDataSet>
      <sheetData sheetId="0"/>
      <sheetData sheetId="1"/>
      <sheetData sheetId="2">
        <row r="37">
          <cell r="J37">
            <v>794</v>
          </cell>
          <cell r="K37">
            <v>32</v>
          </cell>
        </row>
        <row r="38">
          <cell r="J38">
            <v>309</v>
          </cell>
          <cell r="K38">
            <v>29</v>
          </cell>
        </row>
      </sheetData>
      <sheetData sheetId="3">
        <row r="34">
          <cell r="J34">
            <v>82</v>
          </cell>
        </row>
        <row r="35">
          <cell r="J35">
            <v>568</v>
          </cell>
        </row>
        <row r="36">
          <cell r="J36">
            <v>228</v>
          </cell>
        </row>
        <row r="37">
          <cell r="J37">
            <v>203.5</v>
          </cell>
        </row>
        <row r="38">
          <cell r="J38">
            <v>138</v>
          </cell>
        </row>
        <row r="39">
          <cell r="J39">
            <v>138</v>
          </cell>
        </row>
        <row r="40">
          <cell r="J40">
            <v>90.5</v>
          </cell>
        </row>
        <row r="41">
          <cell r="J41">
            <v>49</v>
          </cell>
        </row>
        <row r="42">
          <cell r="J42">
            <v>208</v>
          </cell>
        </row>
        <row r="43">
          <cell r="J43">
            <v>224</v>
          </cell>
        </row>
        <row r="44">
          <cell r="J44">
            <v>121</v>
          </cell>
        </row>
        <row r="45">
          <cell r="J45">
            <v>149</v>
          </cell>
        </row>
        <row r="46">
          <cell r="J46">
            <v>137</v>
          </cell>
        </row>
        <row r="47">
          <cell r="J47">
            <v>184.5</v>
          </cell>
        </row>
        <row r="48">
          <cell r="J48">
            <v>122.5</v>
          </cell>
        </row>
        <row r="49">
          <cell r="J49">
            <v>25</v>
          </cell>
        </row>
        <row r="54">
          <cell r="J54">
            <v>181</v>
          </cell>
        </row>
        <row r="55">
          <cell r="J55">
            <v>568</v>
          </cell>
        </row>
        <row r="56">
          <cell r="J56">
            <v>228</v>
          </cell>
        </row>
        <row r="57">
          <cell r="J57">
            <v>203.5</v>
          </cell>
        </row>
        <row r="58">
          <cell r="J58">
            <v>118</v>
          </cell>
        </row>
        <row r="59">
          <cell r="J59">
            <v>69</v>
          </cell>
        </row>
        <row r="60">
          <cell r="J60">
            <v>80.5</v>
          </cell>
        </row>
        <row r="61">
          <cell r="J61">
            <v>49</v>
          </cell>
        </row>
        <row r="62">
          <cell r="J62">
            <v>368.5</v>
          </cell>
        </row>
        <row r="63">
          <cell r="J63">
            <v>224</v>
          </cell>
        </row>
        <row r="64">
          <cell r="J64">
            <v>121</v>
          </cell>
        </row>
        <row r="65">
          <cell r="J65">
            <v>149</v>
          </cell>
        </row>
        <row r="66">
          <cell r="J66">
            <v>62</v>
          </cell>
        </row>
        <row r="67">
          <cell r="J67">
            <v>115</v>
          </cell>
        </row>
        <row r="68">
          <cell r="J68">
            <v>106.5</v>
          </cell>
        </row>
        <row r="69">
          <cell r="J69">
            <v>25</v>
          </cell>
        </row>
      </sheetData>
      <sheetData sheetId="4">
        <row r="27">
          <cell r="L27">
            <v>138.24799999999999</v>
          </cell>
        </row>
        <row r="28">
          <cell r="J28">
            <v>1859.4570000000001</v>
          </cell>
          <cell r="K28">
            <v>1928.3249999999989</v>
          </cell>
          <cell r="L28">
            <v>2234.1870999999978</v>
          </cell>
          <cell r="N28">
            <v>1491.395</v>
          </cell>
          <cell r="T28">
            <v>2942</v>
          </cell>
          <cell r="U28">
            <v>2933.93</v>
          </cell>
          <cell r="V28">
            <v>3188.19</v>
          </cell>
          <cell r="X28">
            <v>1373.88</v>
          </cell>
        </row>
        <row r="29">
          <cell r="J29">
            <v>7721.5930000000726</v>
          </cell>
          <cell r="K29">
            <v>7614.0160000000751</v>
          </cell>
          <cell r="L29">
            <v>0</v>
          </cell>
          <cell r="N29">
            <v>0</v>
          </cell>
          <cell r="T29">
            <v>7721.59</v>
          </cell>
          <cell r="U29">
            <v>7614.02</v>
          </cell>
          <cell r="V29">
            <v>0</v>
          </cell>
          <cell r="X29">
            <v>0</v>
          </cell>
        </row>
        <row r="30">
          <cell r="J30">
            <v>3228.5269999999973</v>
          </cell>
          <cell r="K30">
            <v>3269.7989999999968</v>
          </cell>
          <cell r="L30">
            <v>0</v>
          </cell>
          <cell r="N30">
            <v>0</v>
          </cell>
          <cell r="T30">
            <v>3228.53</v>
          </cell>
          <cell r="U30">
            <v>3269.8</v>
          </cell>
          <cell r="V30">
            <v>0</v>
          </cell>
          <cell r="X30">
            <v>0</v>
          </cell>
        </row>
        <row r="31">
          <cell r="J31">
            <v>3132.0924999999957</v>
          </cell>
          <cell r="K31">
            <v>3090.080499999995</v>
          </cell>
          <cell r="L31">
            <v>11.364000000000001</v>
          </cell>
          <cell r="N31">
            <v>2.59</v>
          </cell>
          <cell r="T31">
            <v>3132.09</v>
          </cell>
          <cell r="U31">
            <v>3090.08</v>
          </cell>
          <cell r="V31">
            <v>11.36</v>
          </cell>
          <cell r="X31">
            <v>2.59</v>
          </cell>
        </row>
        <row r="32">
          <cell r="J32">
            <v>2044.4809999999984</v>
          </cell>
          <cell r="K32">
            <v>2035.2569999999985</v>
          </cell>
          <cell r="L32">
            <v>0</v>
          </cell>
          <cell r="N32">
            <v>9.2060000000000013</v>
          </cell>
          <cell r="T32">
            <v>1702.81</v>
          </cell>
          <cell r="U32">
            <v>1693.59</v>
          </cell>
          <cell r="V32">
            <v>0</v>
          </cell>
          <cell r="X32">
            <v>3.46</v>
          </cell>
        </row>
        <row r="33">
          <cell r="J33">
            <v>1880.2609999999984</v>
          </cell>
          <cell r="K33">
            <v>1912.5309999999988</v>
          </cell>
          <cell r="L33">
            <v>465.17700000000002</v>
          </cell>
          <cell r="N33">
            <v>0</v>
          </cell>
          <cell r="T33">
            <v>984.35</v>
          </cell>
          <cell r="U33">
            <v>1006.66</v>
          </cell>
          <cell r="V33">
            <v>427.74</v>
          </cell>
          <cell r="X33">
            <v>0</v>
          </cell>
        </row>
        <row r="34">
          <cell r="J34">
            <v>1632.2584999999992</v>
          </cell>
          <cell r="K34">
            <v>1657.7604999999994</v>
          </cell>
          <cell r="L34">
            <v>8502.0770000000593</v>
          </cell>
          <cell r="N34">
            <v>635.32799999999997</v>
          </cell>
          <cell r="T34">
            <v>1787.3</v>
          </cell>
          <cell r="U34">
            <v>1899.69</v>
          </cell>
          <cell r="V34">
            <v>7585.51</v>
          </cell>
          <cell r="X34">
            <v>758.58</v>
          </cell>
        </row>
        <row r="35">
          <cell r="J35">
            <v>752.52999999999975</v>
          </cell>
          <cell r="K35">
            <v>872.73199999999963</v>
          </cell>
          <cell r="L35">
            <v>5708.3410000000022</v>
          </cell>
          <cell r="N35">
            <v>0</v>
          </cell>
          <cell r="T35">
            <v>752.53</v>
          </cell>
          <cell r="U35">
            <v>872.73</v>
          </cell>
          <cell r="V35">
            <v>5708.34</v>
          </cell>
        </row>
        <row r="36">
          <cell r="J36">
            <v>5435.6190000000161</v>
          </cell>
          <cell r="K36">
            <v>5574.8750000000155</v>
          </cell>
          <cell r="L36">
            <v>4197.3299999999963</v>
          </cell>
          <cell r="N36">
            <v>1072.5236</v>
          </cell>
          <cell r="T36">
            <v>8205.51</v>
          </cell>
          <cell r="U36">
            <v>8362</v>
          </cell>
          <cell r="V36">
            <v>4508.2299999999996</v>
          </cell>
        </row>
        <row r="37">
          <cell r="J37">
            <v>3396.4389999999967</v>
          </cell>
          <cell r="K37">
            <v>3358.8269999999975</v>
          </cell>
          <cell r="L37">
            <v>0</v>
          </cell>
          <cell r="N37">
            <v>9</v>
          </cell>
          <cell r="T37">
            <v>3396.44</v>
          </cell>
          <cell r="U37">
            <v>3358.83</v>
          </cell>
          <cell r="V37">
            <v>0</v>
          </cell>
        </row>
        <row r="38">
          <cell r="J38">
            <v>2176.9739999999993</v>
          </cell>
          <cell r="K38">
            <v>2052.6609999999987</v>
          </cell>
          <cell r="L38">
            <v>0</v>
          </cell>
          <cell r="N38">
            <v>0</v>
          </cell>
          <cell r="T38">
            <v>2176.9699999999998</v>
          </cell>
          <cell r="U38">
            <v>2052.66</v>
          </cell>
          <cell r="V38">
            <v>0</v>
          </cell>
        </row>
        <row r="39">
          <cell r="J39">
            <v>2950.922999999997</v>
          </cell>
          <cell r="K39">
            <v>2863.3569999999977</v>
          </cell>
          <cell r="L39">
            <v>0</v>
          </cell>
          <cell r="N39">
            <v>3.0000000000000001E-3</v>
          </cell>
          <cell r="T39">
            <v>2950.92</v>
          </cell>
          <cell r="U39">
            <v>2863.36</v>
          </cell>
          <cell r="V39">
            <v>0</v>
          </cell>
        </row>
        <row r="40">
          <cell r="J40">
            <v>2452.579999999999</v>
          </cell>
          <cell r="K40">
            <v>2455.5169999999985</v>
          </cell>
          <cell r="L40">
            <v>0</v>
          </cell>
          <cell r="N40">
            <v>0</v>
          </cell>
          <cell r="T40">
            <v>1023.41</v>
          </cell>
          <cell r="U40">
            <v>1035.32</v>
          </cell>
          <cell r="V40">
            <v>0</v>
          </cell>
        </row>
        <row r="41">
          <cell r="J41">
            <v>3897.3770000000027</v>
          </cell>
          <cell r="K41">
            <v>3886.9210000000016</v>
          </cell>
          <cell r="L41">
            <v>504.53399999999999</v>
          </cell>
          <cell r="N41">
            <v>93.953000000000003</v>
          </cell>
          <cell r="T41">
            <v>2362.84</v>
          </cell>
          <cell r="U41">
            <v>2366.09</v>
          </cell>
          <cell r="V41">
            <v>504.53</v>
          </cell>
        </row>
        <row r="42">
          <cell r="J42">
            <v>2526.3639999999982</v>
          </cell>
          <cell r="K42">
            <v>2601.9159999999979</v>
          </cell>
          <cell r="L42">
            <v>6945.3060000000178</v>
          </cell>
          <cell r="N42">
            <v>781.11199999999985</v>
          </cell>
          <cell r="T42">
            <v>2720.18</v>
          </cell>
          <cell r="U42">
            <v>2755.82</v>
          </cell>
          <cell r="V42">
            <v>6634.4</v>
          </cell>
        </row>
        <row r="43">
          <cell r="J43">
            <v>387.68799999999999</v>
          </cell>
          <cell r="K43">
            <v>494.73399999999992</v>
          </cell>
          <cell r="L43">
            <v>7129.9290000000228</v>
          </cell>
          <cell r="N43">
            <v>165.142</v>
          </cell>
          <cell r="T43">
            <v>387.69</v>
          </cell>
          <cell r="U43">
            <v>494.73</v>
          </cell>
          <cell r="V43">
            <v>7129.93</v>
          </cell>
        </row>
      </sheetData>
      <sheetData sheetId="5">
        <row r="30">
          <cell r="M30">
            <v>22</v>
          </cell>
        </row>
        <row r="31">
          <cell r="M31">
            <v>360</v>
          </cell>
        </row>
        <row r="32">
          <cell r="M32">
            <v>180</v>
          </cell>
        </row>
        <row r="33">
          <cell r="M33">
            <v>115</v>
          </cell>
        </row>
        <row r="34">
          <cell r="M34">
            <v>74</v>
          </cell>
        </row>
        <row r="35">
          <cell r="M35">
            <v>80</v>
          </cell>
        </row>
        <row r="36">
          <cell r="M36">
            <v>60</v>
          </cell>
        </row>
        <row r="37">
          <cell r="M37">
            <v>32</v>
          </cell>
        </row>
        <row r="38">
          <cell r="M38">
            <v>58</v>
          </cell>
        </row>
        <row r="39">
          <cell r="M39">
            <v>155</v>
          </cell>
        </row>
        <row r="40">
          <cell r="M40">
            <v>63</v>
          </cell>
        </row>
        <row r="41">
          <cell r="M41">
            <v>79</v>
          </cell>
        </row>
        <row r="42">
          <cell r="M42">
            <v>64</v>
          </cell>
        </row>
        <row r="43">
          <cell r="M43">
            <v>69</v>
          </cell>
        </row>
        <row r="44">
          <cell r="M44">
            <v>52</v>
          </cell>
        </row>
        <row r="45">
          <cell r="M45">
            <v>20</v>
          </cell>
        </row>
        <row r="51">
          <cell r="M51">
            <v>64</v>
          </cell>
        </row>
        <row r="52">
          <cell r="M52">
            <v>360</v>
          </cell>
        </row>
        <row r="53">
          <cell r="M53">
            <v>180</v>
          </cell>
        </row>
        <row r="54">
          <cell r="M54">
            <v>115</v>
          </cell>
        </row>
        <row r="55">
          <cell r="M55">
            <v>65</v>
          </cell>
        </row>
        <row r="56">
          <cell r="M56">
            <v>56</v>
          </cell>
        </row>
        <row r="57">
          <cell r="M57">
            <v>51</v>
          </cell>
        </row>
        <row r="58">
          <cell r="M58">
            <v>32</v>
          </cell>
        </row>
        <row r="59">
          <cell r="M59">
            <v>114</v>
          </cell>
        </row>
        <row r="60">
          <cell r="M60">
            <v>155</v>
          </cell>
        </row>
        <row r="61">
          <cell r="M61">
            <v>63</v>
          </cell>
        </row>
        <row r="62">
          <cell r="M62">
            <v>79</v>
          </cell>
        </row>
        <row r="63">
          <cell r="M63">
            <v>45</v>
          </cell>
        </row>
        <row r="64">
          <cell r="M64">
            <v>39</v>
          </cell>
        </row>
        <row r="65">
          <cell r="M65">
            <v>45</v>
          </cell>
        </row>
        <row r="66">
          <cell r="M66">
            <v>20</v>
          </cell>
        </row>
      </sheetData>
      <sheetData sheetId="6">
        <row r="33">
          <cell r="K33">
            <v>46</v>
          </cell>
          <cell r="Z33">
            <v>4273</v>
          </cell>
        </row>
        <row r="34">
          <cell r="K34">
            <v>825</v>
          </cell>
          <cell r="Z34">
            <v>4093</v>
          </cell>
        </row>
        <row r="35">
          <cell r="K35">
            <v>1306</v>
          </cell>
          <cell r="Z35">
            <v>308</v>
          </cell>
        </row>
        <row r="36">
          <cell r="K36">
            <v>1143</v>
          </cell>
          <cell r="Z36">
            <v>74</v>
          </cell>
        </row>
        <row r="37">
          <cell r="K37">
            <v>554</v>
          </cell>
          <cell r="Z37">
            <v>41</v>
          </cell>
        </row>
        <row r="38">
          <cell r="K38">
            <v>1001</v>
          </cell>
          <cell r="Z38">
            <v>216</v>
          </cell>
        </row>
        <row r="39">
          <cell r="K39">
            <v>578</v>
          </cell>
          <cell r="Z39">
            <v>541</v>
          </cell>
        </row>
        <row r="40">
          <cell r="K40">
            <v>4093</v>
          </cell>
          <cell r="Z40">
            <v>1789</v>
          </cell>
        </row>
        <row r="41">
          <cell r="K41">
            <v>77</v>
          </cell>
          <cell r="Z41">
            <v>1761</v>
          </cell>
        </row>
        <row r="42">
          <cell r="K42">
            <v>338</v>
          </cell>
          <cell r="Z42">
            <v>121</v>
          </cell>
        </row>
        <row r="43">
          <cell r="K43">
            <v>399</v>
          </cell>
          <cell r="Z43">
            <v>40</v>
          </cell>
        </row>
        <row r="44">
          <cell r="K44">
            <v>565</v>
          </cell>
          <cell r="Z44">
            <v>23</v>
          </cell>
        </row>
        <row r="45">
          <cell r="K45">
            <v>288</v>
          </cell>
          <cell r="Z45">
            <v>117</v>
          </cell>
        </row>
        <row r="46">
          <cell r="K46">
            <v>392</v>
          </cell>
          <cell r="Z46">
            <v>320</v>
          </cell>
        </row>
        <row r="47">
          <cell r="K47">
            <v>351</v>
          </cell>
        </row>
        <row r="48">
          <cell r="K48">
            <v>1761</v>
          </cell>
        </row>
        <row r="58">
          <cell r="K58">
            <v>292</v>
          </cell>
        </row>
        <row r="59">
          <cell r="K59">
            <v>825</v>
          </cell>
        </row>
        <row r="60">
          <cell r="K60">
            <v>1306</v>
          </cell>
        </row>
        <row r="61">
          <cell r="K61">
            <v>1143</v>
          </cell>
        </row>
        <row r="62">
          <cell r="K62">
            <v>522</v>
          </cell>
        </row>
        <row r="63">
          <cell r="K63">
            <v>817</v>
          </cell>
        </row>
        <row r="64">
          <cell r="K64">
            <v>548</v>
          </cell>
        </row>
        <row r="65">
          <cell r="K65">
            <v>4093</v>
          </cell>
        </row>
        <row r="66">
          <cell r="K66">
            <v>216</v>
          </cell>
        </row>
        <row r="67">
          <cell r="K67">
            <v>338</v>
          </cell>
        </row>
        <row r="68">
          <cell r="K68">
            <v>399</v>
          </cell>
        </row>
        <row r="69">
          <cell r="K69">
            <v>565</v>
          </cell>
        </row>
        <row r="70">
          <cell r="K70">
            <v>261</v>
          </cell>
        </row>
        <row r="71">
          <cell r="K71">
            <v>308</v>
          </cell>
        </row>
        <row r="72">
          <cell r="K72">
            <v>323</v>
          </cell>
        </row>
        <row r="73">
          <cell r="K73">
            <v>1761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P"/>
      <sheetName val="Sheet1"/>
    </sheetNames>
    <sheetDataSet>
      <sheetData sheetId="0"/>
      <sheetData sheetId="1">
        <row r="8">
          <cell r="X8">
            <v>5389.3</v>
          </cell>
          <cell r="Y8">
            <v>722.77800000000002</v>
          </cell>
          <cell r="Z8">
            <v>590</v>
          </cell>
          <cell r="AA8">
            <v>180</v>
          </cell>
          <cell r="AB8">
            <v>7635.21</v>
          </cell>
          <cell r="AC8">
            <v>3390.1489999999999</v>
          </cell>
          <cell r="AD8">
            <v>4398.2489999999998</v>
          </cell>
          <cell r="AE8">
            <v>4082.2380000000003</v>
          </cell>
          <cell r="AF8">
            <v>2134.3669999999997</v>
          </cell>
        </row>
      </sheetData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tion"/>
      <sheetName val="Recruit2"/>
      <sheetName val="Recruit"/>
      <sheetName val="cc"/>
      <sheetName val="APE"/>
      <sheetName val="Actv"/>
      <sheetName val="MP"/>
    </sheetNames>
    <sheetDataSet>
      <sheetData sheetId="0">
        <row r="52">
          <cell r="D52">
            <v>0.376</v>
          </cell>
        </row>
      </sheetData>
      <sheetData sheetId="1">
        <row r="71">
          <cell r="K71">
            <v>456</v>
          </cell>
        </row>
      </sheetData>
      <sheetData sheetId="2">
        <row r="37">
          <cell r="J37">
            <v>793</v>
          </cell>
          <cell r="K37">
            <v>149</v>
          </cell>
        </row>
        <row r="38">
          <cell r="J38">
            <v>307</v>
          </cell>
          <cell r="K38">
            <v>70</v>
          </cell>
        </row>
        <row r="43">
          <cell r="J43">
            <v>793</v>
          </cell>
        </row>
        <row r="44">
          <cell r="J44">
            <v>8</v>
          </cell>
        </row>
        <row r="45">
          <cell r="J45">
            <v>4</v>
          </cell>
        </row>
        <row r="46">
          <cell r="J46">
            <v>28</v>
          </cell>
        </row>
        <row r="47">
          <cell r="J47">
            <v>109</v>
          </cell>
        </row>
        <row r="48">
          <cell r="J48">
            <v>307</v>
          </cell>
        </row>
        <row r="49">
          <cell r="J49">
            <v>2</v>
          </cell>
        </row>
        <row r="50">
          <cell r="J50">
            <v>1</v>
          </cell>
        </row>
        <row r="51">
          <cell r="J51">
            <v>10</v>
          </cell>
        </row>
        <row r="52">
          <cell r="J52">
            <v>57</v>
          </cell>
        </row>
      </sheetData>
      <sheetData sheetId="3">
        <row r="11">
          <cell r="AC11">
            <v>20</v>
          </cell>
        </row>
        <row r="12">
          <cell r="AC12">
            <v>533</v>
          </cell>
        </row>
        <row r="13">
          <cell r="AC13">
            <v>305.5</v>
          </cell>
        </row>
        <row r="14">
          <cell r="AC14">
            <v>294</v>
          </cell>
        </row>
        <row r="15">
          <cell r="AC15">
            <v>200</v>
          </cell>
        </row>
        <row r="16">
          <cell r="AC16">
            <v>114</v>
          </cell>
        </row>
        <row r="17">
          <cell r="AC17">
            <v>169.5</v>
          </cell>
        </row>
        <row r="19">
          <cell r="AC19">
            <v>118.5</v>
          </cell>
        </row>
        <row r="20">
          <cell r="AC20">
            <v>205</v>
          </cell>
        </row>
        <row r="21">
          <cell r="AC21">
            <v>229</v>
          </cell>
        </row>
        <row r="22">
          <cell r="AC22">
            <v>267</v>
          </cell>
        </row>
        <row r="23">
          <cell r="AC23">
            <v>112.5</v>
          </cell>
        </row>
        <row r="24">
          <cell r="AC24">
            <v>215</v>
          </cell>
        </row>
        <row r="25">
          <cell r="AC25">
            <v>135</v>
          </cell>
        </row>
      </sheetData>
      <sheetData sheetId="4">
        <row r="16">
          <cell r="AC16">
            <v>3233.2505000000001</v>
          </cell>
        </row>
        <row r="17">
          <cell r="AC17">
            <v>3613.904</v>
          </cell>
        </row>
        <row r="18">
          <cell r="AC18">
            <v>4548.3230000000103</v>
          </cell>
        </row>
        <row r="19">
          <cell r="AC19">
            <v>7030.70550000002</v>
          </cell>
        </row>
        <row r="20">
          <cell r="AC20">
            <v>1992.4794999999999</v>
          </cell>
        </row>
        <row r="21">
          <cell r="AC21">
            <v>4710.0249999999996</v>
          </cell>
        </row>
        <row r="22">
          <cell r="AC22">
            <v>2505.2604999999999</v>
          </cell>
        </row>
        <row r="27">
          <cell r="K27">
            <v>492.32600000000002</v>
          </cell>
          <cell r="N27">
            <v>6720</v>
          </cell>
        </row>
        <row r="28">
          <cell r="K28">
            <v>7541.33900000005</v>
          </cell>
          <cell r="N28">
            <v>0</v>
          </cell>
        </row>
        <row r="29">
          <cell r="K29">
            <v>3899.4929999999999</v>
          </cell>
          <cell r="N29">
            <v>2.1999999999999999E-2</v>
          </cell>
        </row>
        <row r="30">
          <cell r="K30">
            <v>3926.4920000000002</v>
          </cell>
          <cell r="N30">
            <v>0</v>
          </cell>
        </row>
        <row r="31">
          <cell r="K31">
            <v>2638.5010000000002</v>
          </cell>
          <cell r="N31">
            <v>1613.799</v>
          </cell>
        </row>
        <row r="32">
          <cell r="K32">
            <v>2252.297</v>
          </cell>
          <cell r="N32">
            <v>3296.4</v>
          </cell>
        </row>
        <row r="33">
          <cell r="K33">
            <v>2400.953</v>
          </cell>
          <cell r="N33">
            <v>1439.175</v>
          </cell>
        </row>
        <row r="34">
          <cell r="K34">
            <v>3168.6145000000001</v>
          </cell>
          <cell r="N34">
            <v>1993.1020000000001</v>
          </cell>
        </row>
        <row r="35">
          <cell r="K35">
            <v>3529.88</v>
          </cell>
          <cell r="N35">
            <v>0</v>
          </cell>
        </row>
        <row r="36">
          <cell r="K36">
            <v>4035.6750000000002</v>
          </cell>
          <cell r="N36">
            <v>0</v>
          </cell>
        </row>
        <row r="37">
          <cell r="K37">
            <v>7188.4295000000102</v>
          </cell>
          <cell r="N37">
            <v>17.646000000000001</v>
          </cell>
        </row>
        <row r="38">
          <cell r="K38">
            <v>1922.1234999999999</v>
          </cell>
          <cell r="N38">
            <v>540.77859999999998</v>
          </cell>
        </row>
        <row r="39">
          <cell r="K39">
            <v>4923.0280000000103</v>
          </cell>
          <cell r="N39">
            <v>1638.173</v>
          </cell>
        </row>
        <row r="40">
          <cell r="K40">
            <v>2507.7444999999998</v>
          </cell>
          <cell r="N40">
            <v>1138.116</v>
          </cell>
        </row>
      </sheetData>
      <sheetData sheetId="5">
        <row r="8">
          <cell r="AE8">
            <v>11</v>
          </cell>
        </row>
        <row r="9">
          <cell r="AE9">
            <v>280</v>
          </cell>
        </row>
        <row r="10">
          <cell r="AE10">
            <v>207</v>
          </cell>
        </row>
        <row r="11">
          <cell r="AE11">
            <v>216</v>
          </cell>
        </row>
        <row r="12">
          <cell r="AE12">
            <v>108</v>
          </cell>
        </row>
        <row r="13">
          <cell r="AE13">
            <v>63</v>
          </cell>
        </row>
        <row r="14">
          <cell r="AE14">
            <v>80</v>
          </cell>
        </row>
        <row r="16">
          <cell r="AE16">
            <v>31</v>
          </cell>
        </row>
        <row r="17">
          <cell r="AE17">
            <v>127</v>
          </cell>
        </row>
        <row r="18">
          <cell r="AE18">
            <v>106</v>
          </cell>
        </row>
        <row r="19">
          <cell r="AE19">
            <v>107</v>
          </cell>
        </row>
        <row r="20">
          <cell r="AE20">
            <v>48</v>
          </cell>
        </row>
        <row r="21">
          <cell r="AE21">
            <v>80</v>
          </cell>
        </row>
        <row r="22">
          <cell r="AE22">
            <v>75</v>
          </cell>
        </row>
      </sheetData>
      <sheetData sheetId="6">
        <row r="33">
          <cell r="K33">
            <v>25</v>
          </cell>
          <cell r="Z33">
            <v>4775</v>
          </cell>
        </row>
        <row r="34">
          <cell r="K34">
            <v>935</v>
          </cell>
          <cell r="Z34">
            <v>206</v>
          </cell>
        </row>
        <row r="35">
          <cell r="K35">
            <v>873</v>
          </cell>
          <cell r="Z35">
            <v>70</v>
          </cell>
        </row>
        <row r="36">
          <cell r="K36">
            <v>1640</v>
          </cell>
          <cell r="Z36">
            <v>50</v>
          </cell>
        </row>
        <row r="37">
          <cell r="K37">
            <v>1364</v>
          </cell>
          <cell r="Z37">
            <v>231</v>
          </cell>
        </row>
        <row r="38">
          <cell r="K38">
            <v>583</v>
          </cell>
          <cell r="Z38">
            <v>688</v>
          </cell>
        </row>
        <row r="39">
          <cell r="K39">
            <v>600</v>
          </cell>
          <cell r="Z39">
            <v>2410</v>
          </cell>
        </row>
        <row r="40">
          <cell r="K40">
            <v>65</v>
          </cell>
          <cell r="Z40">
            <v>85</v>
          </cell>
        </row>
        <row r="41">
          <cell r="K41">
            <v>377</v>
          </cell>
          <cell r="Z41">
            <v>39</v>
          </cell>
        </row>
        <row r="42">
          <cell r="K42">
            <v>304</v>
          </cell>
          <cell r="Z42">
            <v>14</v>
          </cell>
        </row>
        <row r="43">
          <cell r="K43">
            <v>538</v>
          </cell>
          <cell r="Z43">
            <v>136</v>
          </cell>
        </row>
        <row r="44">
          <cell r="K44">
            <v>599</v>
          </cell>
          <cell r="Z44">
            <v>347</v>
          </cell>
        </row>
        <row r="45">
          <cell r="K45">
            <v>551</v>
          </cell>
        </row>
        <row r="46">
          <cell r="K46">
            <v>597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Ag"/>
    </sheetNames>
    <sheetDataSet>
      <sheetData sheetId="0">
        <row r="6">
          <cell r="L6">
            <v>673.03800000000001</v>
          </cell>
          <cell r="M6">
            <v>225.52699999999999</v>
          </cell>
          <cell r="N6">
            <v>1937.2429999999999</v>
          </cell>
          <cell r="O6">
            <v>827.22</v>
          </cell>
          <cell r="P6">
            <v>599.57299999999998</v>
          </cell>
          <cell r="Q6">
            <v>523.68200000000002</v>
          </cell>
          <cell r="R6">
            <v>2684.6819999999998</v>
          </cell>
          <cell r="S6">
            <v>508.12900000000002</v>
          </cell>
          <cell r="T6">
            <v>1326.2429999999999</v>
          </cell>
          <cell r="U6">
            <v>695.10699999999997</v>
          </cell>
          <cell r="V6">
            <v>1316.827</v>
          </cell>
          <cell r="W6">
            <v>3204.8004999999998</v>
          </cell>
          <cell r="X6">
            <v>755.13900000000001</v>
          </cell>
          <cell r="Y6">
            <v>363.15600000000001</v>
          </cell>
          <cell r="Z6">
            <v>774.62699999999995</v>
          </cell>
          <cell r="AA6">
            <v>1055.442</v>
          </cell>
          <cell r="AB6">
            <v>1161.5550000000001</v>
          </cell>
          <cell r="AC6">
            <v>1331.558</v>
          </cell>
        </row>
        <row r="7">
          <cell r="L7">
            <v>1367.6179999999999</v>
          </cell>
          <cell r="M7">
            <v>740.48900000000003</v>
          </cell>
          <cell r="N7">
            <v>1374.5329999999999</v>
          </cell>
          <cell r="O7">
            <v>2474.6950000000002</v>
          </cell>
          <cell r="P7">
            <v>1744.1355000000001</v>
          </cell>
          <cell r="Q7">
            <v>1637.4580000000001</v>
          </cell>
          <cell r="R7">
            <v>2592.8339999999998</v>
          </cell>
          <cell r="S7">
            <v>1504.8530000000001</v>
          </cell>
          <cell r="T7">
            <v>4215.3289999999997</v>
          </cell>
          <cell r="U7">
            <v>2258.0909999999999</v>
          </cell>
          <cell r="V7">
            <v>5982.0250000000296</v>
          </cell>
          <cell r="W7">
            <v>3170.7759999999998</v>
          </cell>
          <cell r="X7">
            <v>1044.7270000000001</v>
          </cell>
          <cell r="Y7">
            <v>594.255</v>
          </cell>
          <cell r="Z7">
            <v>4405.8109999999997</v>
          </cell>
          <cell r="AA7">
            <v>5134.652</v>
          </cell>
          <cell r="AB7">
            <v>4380.3810000000003</v>
          </cell>
          <cell r="AC7">
            <v>9662.9010000000708</v>
          </cell>
        </row>
        <row r="8">
          <cell r="L8">
            <v>839.61</v>
          </cell>
          <cell r="M8">
            <v>971.577</v>
          </cell>
          <cell r="N8">
            <v>1126.9590000000001</v>
          </cell>
          <cell r="O8">
            <v>1070.1110000000001</v>
          </cell>
          <cell r="P8">
            <v>1567.7805000000001</v>
          </cell>
          <cell r="Q8">
            <v>1537.37</v>
          </cell>
          <cell r="R8">
            <v>1841.1880000000001</v>
          </cell>
          <cell r="S8">
            <v>1357.1469999999999</v>
          </cell>
          <cell r="T8">
            <v>2503.2579999999998</v>
          </cell>
          <cell r="U8">
            <v>2792.973</v>
          </cell>
          <cell r="V8">
            <v>1628.165</v>
          </cell>
          <cell r="W8">
            <v>5124.8200000000197</v>
          </cell>
          <cell r="X8">
            <v>811.64300000000003</v>
          </cell>
          <cell r="Y8">
            <v>733.62300000000005</v>
          </cell>
          <cell r="Z8">
            <v>488.98200000000003</v>
          </cell>
          <cell r="AA8">
            <v>1419.0409999999999</v>
          </cell>
          <cell r="AB8">
            <v>1679.569</v>
          </cell>
          <cell r="AC8">
            <v>4216.5190000000002</v>
          </cell>
        </row>
        <row r="9">
          <cell r="L9">
            <v>1092.3879999999999</v>
          </cell>
          <cell r="M9">
            <v>876.43200000000002</v>
          </cell>
          <cell r="N9">
            <v>1594.164</v>
          </cell>
          <cell r="O9">
            <v>986.51099999999997</v>
          </cell>
          <cell r="P9">
            <v>960.32299999999998</v>
          </cell>
          <cell r="Q9">
            <v>2113.9740000000002</v>
          </cell>
          <cell r="R9">
            <v>2130.625</v>
          </cell>
          <cell r="S9">
            <v>1108.345</v>
          </cell>
          <cell r="T9">
            <v>3265.096</v>
          </cell>
          <cell r="U9">
            <v>2456.33</v>
          </cell>
          <cell r="V9">
            <v>4300.9849999999997</v>
          </cell>
          <cell r="W9">
            <v>3604.2489999999998</v>
          </cell>
          <cell r="X9">
            <v>1211.4739999999999</v>
          </cell>
          <cell r="Y9">
            <v>1786.569</v>
          </cell>
          <cell r="Z9">
            <v>2730.4490000000001</v>
          </cell>
          <cell r="AA9">
            <v>1252.002</v>
          </cell>
          <cell r="AB9">
            <v>1709.058</v>
          </cell>
          <cell r="AC9">
            <v>3072.9389999999999</v>
          </cell>
        </row>
        <row r="10">
          <cell r="L10">
            <v>529.53200000000004</v>
          </cell>
          <cell r="M10">
            <v>443.279</v>
          </cell>
          <cell r="N10">
            <v>937.19</v>
          </cell>
          <cell r="O10">
            <v>2338.2334999999998</v>
          </cell>
          <cell r="P10">
            <v>1382.296</v>
          </cell>
          <cell r="Q10">
            <v>1151.614</v>
          </cell>
          <cell r="R10">
            <v>1384.9860000000001</v>
          </cell>
          <cell r="S10">
            <v>848.61699999999996</v>
          </cell>
          <cell r="T10">
            <v>2056.1945000000001</v>
          </cell>
          <cell r="U10">
            <v>1323.0015000000001</v>
          </cell>
          <cell r="V10">
            <v>2989.585</v>
          </cell>
          <cell r="W10">
            <v>3389.16</v>
          </cell>
          <cell r="X10">
            <v>1480.9929999999999</v>
          </cell>
          <cell r="Y10">
            <v>1156.4369999999999</v>
          </cell>
          <cell r="Z10">
            <v>3256.3330000000001</v>
          </cell>
          <cell r="AA10">
            <v>1253.287</v>
          </cell>
          <cell r="AB10">
            <v>1410.527</v>
          </cell>
          <cell r="AC10">
            <v>1159.6510000000001</v>
          </cell>
        </row>
        <row r="11">
          <cell r="L11">
            <v>599.70799999999997</v>
          </cell>
          <cell r="M11">
            <v>658.34400000000005</v>
          </cell>
          <cell r="N11">
            <v>985.68899999999996</v>
          </cell>
          <cell r="O11">
            <v>1874.7915</v>
          </cell>
          <cell r="P11">
            <v>931.06399999999996</v>
          </cell>
          <cell r="Q11">
            <v>903.26700000000096</v>
          </cell>
          <cell r="R11">
            <v>1317.961</v>
          </cell>
          <cell r="S11">
            <v>858.14400000000001</v>
          </cell>
          <cell r="T11">
            <v>1906.9324999999999</v>
          </cell>
          <cell r="U11">
            <v>1720.327</v>
          </cell>
          <cell r="V11">
            <v>2667.9569999999999</v>
          </cell>
          <cell r="W11">
            <v>3002.8330000000001</v>
          </cell>
          <cell r="X11">
            <v>752.62699999999995</v>
          </cell>
          <cell r="Y11">
            <v>1285.5509999999999</v>
          </cell>
          <cell r="Z11">
            <v>2870.27</v>
          </cell>
          <cell r="AA11">
            <v>1950.5</v>
          </cell>
          <cell r="AB11">
            <v>2662.8339999999998</v>
          </cell>
          <cell r="AC11">
            <v>3217.0479999999998</v>
          </cell>
        </row>
        <row r="12">
          <cell r="L12">
            <v>42.567</v>
          </cell>
          <cell r="M12">
            <v>163.02600000000001</v>
          </cell>
          <cell r="N12">
            <v>114.13500000000001</v>
          </cell>
          <cell r="O12">
            <v>67.346000000000004</v>
          </cell>
          <cell r="P12">
            <v>30.9250000000001</v>
          </cell>
          <cell r="Q12">
            <v>356.916</v>
          </cell>
          <cell r="R12">
            <v>353.94900000000001</v>
          </cell>
          <cell r="S12">
            <v>390.79700000000003</v>
          </cell>
          <cell r="T12">
            <v>1511.4459999999999</v>
          </cell>
          <cell r="U12">
            <v>528.30150000000003</v>
          </cell>
          <cell r="V12">
            <v>2061.1640000000002</v>
          </cell>
          <cell r="W12">
            <v>2342.6185</v>
          </cell>
          <cell r="X12">
            <v>896.12599999999998</v>
          </cell>
          <cell r="Y12">
            <v>908.09900000000005</v>
          </cell>
          <cell r="Z12">
            <v>1552.1410000000001</v>
          </cell>
          <cell r="AA12">
            <v>745.06799999999998</v>
          </cell>
          <cell r="AB12">
            <v>1300.2380000000001</v>
          </cell>
          <cell r="AC12">
            <v>1694.981</v>
          </cell>
        </row>
        <row r="14">
          <cell r="L14">
            <v>1440.596</v>
          </cell>
          <cell r="M14">
            <v>1291.5409999999999</v>
          </cell>
          <cell r="N14">
            <v>3040.5740000000001</v>
          </cell>
          <cell r="O14">
            <v>4358.6565000000001</v>
          </cell>
          <cell r="P14">
            <v>2820.348</v>
          </cell>
          <cell r="Q14">
            <v>4225.6244999999999</v>
          </cell>
          <cell r="R14">
            <v>4714.8649999999998</v>
          </cell>
          <cell r="S14">
            <v>1944.702</v>
          </cell>
          <cell r="T14">
            <v>5441.3665000000001</v>
          </cell>
          <cell r="U14">
            <v>4096.3784999999898</v>
          </cell>
          <cell r="V14">
            <v>3280.3159999999898</v>
          </cell>
          <cell r="W14">
            <v>6666.8514999999898</v>
          </cell>
          <cell r="X14">
            <v>1653.8979999999999</v>
          </cell>
          <cell r="Y14">
            <v>1667.09599999997</v>
          </cell>
          <cell r="Z14">
            <v>3509.69399999999</v>
          </cell>
          <cell r="AA14">
            <v>5176.6750000000002</v>
          </cell>
          <cell r="AB14">
            <v>2603.1489999999999</v>
          </cell>
          <cell r="AC14">
            <v>2731.1025</v>
          </cell>
        </row>
        <row r="15">
          <cell r="L15">
            <v>673.93899999999996</v>
          </cell>
          <cell r="M15">
            <v>364.09500000000003</v>
          </cell>
          <cell r="N15">
            <v>1448.1224999999999</v>
          </cell>
          <cell r="O15">
            <v>2179.23</v>
          </cell>
          <cell r="P15">
            <v>1297.961</v>
          </cell>
          <cell r="Q15">
            <v>1867.5740000000001</v>
          </cell>
          <cell r="R15">
            <v>1850.2329999999999</v>
          </cell>
          <cell r="S15">
            <v>1309.444</v>
          </cell>
          <cell r="T15">
            <v>1958.0989999999999</v>
          </cell>
          <cell r="U15">
            <v>1505.48</v>
          </cell>
          <cell r="V15">
            <v>2777.056</v>
          </cell>
          <cell r="W15">
            <v>4905.2609999999904</v>
          </cell>
          <cell r="X15">
            <v>294.68299999999999</v>
          </cell>
          <cell r="Y15">
            <v>496.25200000000001</v>
          </cell>
          <cell r="Z15">
            <v>4135.1400000000003</v>
          </cell>
          <cell r="AA15">
            <v>2110.4189999999999</v>
          </cell>
          <cell r="AB15">
            <v>1590.0609999999999</v>
          </cell>
          <cell r="AC15">
            <v>2736.3220000000001</v>
          </cell>
        </row>
        <row r="16">
          <cell r="L16">
            <v>768.37599999999998</v>
          </cell>
          <cell r="M16">
            <v>779.36099999999999</v>
          </cell>
          <cell r="N16">
            <v>962.07500000000005</v>
          </cell>
          <cell r="O16">
            <v>1836.865</v>
          </cell>
          <cell r="P16">
            <v>1911.2365</v>
          </cell>
          <cell r="Q16">
            <v>1852.546</v>
          </cell>
          <cell r="R16">
            <v>1554.126</v>
          </cell>
          <cell r="S16">
            <v>1076.2090000000001</v>
          </cell>
          <cell r="T16">
            <v>1793.36</v>
          </cell>
          <cell r="U16">
            <v>1712.3889999999999</v>
          </cell>
          <cell r="V16">
            <v>1401.8465000000001</v>
          </cell>
          <cell r="W16">
            <v>3614.35699999999</v>
          </cell>
          <cell r="X16">
            <v>1439.615</v>
          </cell>
          <cell r="Y16">
            <v>276.411</v>
          </cell>
          <cell r="Z16">
            <v>1082.136</v>
          </cell>
          <cell r="AA16">
            <v>2276.2489999999998</v>
          </cell>
          <cell r="AB16">
            <v>1889.4059999999999</v>
          </cell>
          <cell r="AC16">
            <v>2043.105</v>
          </cell>
        </row>
        <row r="17">
          <cell r="L17">
            <v>896.06</v>
          </cell>
          <cell r="M17">
            <v>1071.425</v>
          </cell>
          <cell r="N17">
            <v>2173.259</v>
          </cell>
          <cell r="O17">
            <v>1138.549</v>
          </cell>
          <cell r="P17">
            <v>1461.548</v>
          </cell>
          <cell r="Q17">
            <v>3259.0634999999902</v>
          </cell>
          <cell r="R17">
            <v>2361.9650000000001</v>
          </cell>
          <cell r="S17">
            <v>1247.9849999999999</v>
          </cell>
          <cell r="T17">
            <v>2085.6970000000001</v>
          </cell>
          <cell r="U17">
            <v>2098.9899999999998</v>
          </cell>
          <cell r="V17">
            <v>3080.4430000000002</v>
          </cell>
          <cell r="W17">
            <v>3424.1444999999999</v>
          </cell>
          <cell r="X17">
            <v>948.02300000000105</v>
          </cell>
          <cell r="Y17">
            <v>1688.5260000000001</v>
          </cell>
          <cell r="Z17">
            <v>2155.5830000000001</v>
          </cell>
          <cell r="AA17">
            <v>844.80100000000004</v>
          </cell>
          <cell r="AB17">
            <v>2513.6585</v>
          </cell>
          <cell r="AC17">
            <v>3229.1574999999998</v>
          </cell>
        </row>
        <row r="18">
          <cell r="L18">
            <v>297.05900000000003</v>
          </cell>
          <cell r="M18">
            <v>698.52700000000004</v>
          </cell>
          <cell r="N18">
            <v>1590.6669999999999</v>
          </cell>
          <cell r="O18">
            <v>1525.4765</v>
          </cell>
          <cell r="P18">
            <v>1658.8119999999999</v>
          </cell>
          <cell r="Q18">
            <v>1483.665</v>
          </cell>
          <cell r="R18">
            <v>2137.2350000000001</v>
          </cell>
          <cell r="S18">
            <v>1885.086</v>
          </cell>
          <cell r="T18">
            <v>2516.4115000000002</v>
          </cell>
          <cell r="U18">
            <v>2261.4059999999999</v>
          </cell>
          <cell r="V18">
            <v>2729.8090000000002</v>
          </cell>
          <cell r="W18">
            <v>4888.1260000000002</v>
          </cell>
          <cell r="X18">
            <v>596.21500000000003</v>
          </cell>
          <cell r="Y18">
            <v>576.58249999999998</v>
          </cell>
          <cell r="Z18">
            <v>2242.6680000000001</v>
          </cell>
          <cell r="AA18">
            <v>4236.6719999999996</v>
          </cell>
          <cell r="AB18">
            <v>1373.7104999999999</v>
          </cell>
          <cell r="AC18">
            <v>1350.452</v>
          </cell>
        </row>
        <row r="19">
          <cell r="L19">
            <v>563.48</v>
          </cell>
          <cell r="M19">
            <v>579.75400000000002</v>
          </cell>
          <cell r="N19">
            <v>685.16549999999995</v>
          </cell>
          <cell r="O19">
            <v>1602.683</v>
          </cell>
          <cell r="P19">
            <v>1475.279</v>
          </cell>
          <cell r="Q19">
            <v>4496.3365000000003</v>
          </cell>
          <cell r="R19">
            <v>2947.6419999999998</v>
          </cell>
          <cell r="S19">
            <v>1568.0650000000001</v>
          </cell>
          <cell r="T19">
            <v>3744.0770000000002</v>
          </cell>
          <cell r="U19">
            <v>3059.5985000000001</v>
          </cell>
          <cell r="V19">
            <v>5223.0770000000202</v>
          </cell>
          <cell r="W19">
            <v>6057.8635000000104</v>
          </cell>
          <cell r="X19">
            <v>1034.376</v>
          </cell>
          <cell r="Y19">
            <v>875.29</v>
          </cell>
          <cell r="Z19">
            <v>2399.6129999999998</v>
          </cell>
          <cell r="AA19">
            <v>1740.2139999999999</v>
          </cell>
          <cell r="AB19">
            <v>1865.1559999999999</v>
          </cell>
          <cell r="AC19">
            <v>2684.0005000000001</v>
          </cell>
        </row>
        <row r="20">
          <cell r="L20">
            <v>339.77199999999999</v>
          </cell>
          <cell r="M20">
            <v>238.262</v>
          </cell>
          <cell r="N20">
            <v>601.72</v>
          </cell>
          <cell r="O20">
            <v>349.46699999999998</v>
          </cell>
          <cell r="P20">
            <v>464.79050000000001</v>
          </cell>
          <cell r="Q20">
            <v>821.51149999999996</v>
          </cell>
          <cell r="R20">
            <v>665.72299999999996</v>
          </cell>
          <cell r="S20">
            <v>680.13900000000001</v>
          </cell>
          <cell r="T20">
            <v>3530.7820000000002</v>
          </cell>
          <cell r="U20">
            <v>-1219.0640000000001</v>
          </cell>
          <cell r="V20">
            <v>2200.7154999999998</v>
          </cell>
          <cell r="W20">
            <v>4340.6039999999903</v>
          </cell>
          <cell r="X20">
            <v>722.38570000000004</v>
          </cell>
          <cell r="Y20">
            <v>1484.7915</v>
          </cell>
          <cell r="Z20">
            <v>1538.5197000000001</v>
          </cell>
          <cell r="AA20">
            <v>1444.3515</v>
          </cell>
          <cell r="AB20">
            <v>1318.712</v>
          </cell>
          <cell r="AC20">
            <v>2338.3971000000001</v>
          </cell>
        </row>
        <row r="31">
          <cell r="L31">
            <v>0</v>
          </cell>
          <cell r="M31">
            <v>38.981000000000002</v>
          </cell>
          <cell r="N31">
            <v>54.692</v>
          </cell>
          <cell r="O31">
            <v>15.205</v>
          </cell>
          <cell r="P31">
            <v>25.751999999999999</v>
          </cell>
          <cell r="Q31">
            <v>138.16300000000001</v>
          </cell>
          <cell r="R31">
            <v>64.921999999999997</v>
          </cell>
          <cell r="S31">
            <v>338.40600000000001</v>
          </cell>
          <cell r="T31">
            <v>128.56</v>
          </cell>
          <cell r="U31">
            <v>420.976</v>
          </cell>
          <cell r="V31">
            <v>322.42599999999999</v>
          </cell>
          <cell r="W31">
            <v>854.05</v>
          </cell>
          <cell r="X31">
            <v>1089.6388999999999</v>
          </cell>
          <cell r="Y31">
            <v>920.47199999999998</v>
          </cell>
          <cell r="Z31">
            <v>802.16279999999995</v>
          </cell>
          <cell r="AA31">
            <v>631.58320000000003</v>
          </cell>
          <cell r="AB31">
            <v>646.73500000000001</v>
          </cell>
          <cell r="AC31">
            <v>1141.4159999999999</v>
          </cell>
          <cell r="AD31">
            <v>1048.3018</v>
          </cell>
          <cell r="AE31">
            <v>1143.1768</v>
          </cell>
          <cell r="AF31">
            <v>906.13699999999994</v>
          </cell>
          <cell r="AG31">
            <v>871.71799999999996</v>
          </cell>
          <cell r="AH31">
            <v>2081.0279999999998</v>
          </cell>
        </row>
        <row r="32"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75.644000000000005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8.9440000000000008</v>
          </cell>
        </row>
        <row r="34">
          <cell r="L34">
            <v>140.71199999999999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41.707999999999998</v>
          </cell>
          <cell r="R34">
            <v>60.921999999999997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4.1219999999999999</v>
          </cell>
          <cell r="X34">
            <v>0</v>
          </cell>
          <cell r="Y34">
            <v>0</v>
          </cell>
          <cell r="Z34">
            <v>0</v>
          </cell>
          <cell r="AA34">
            <v>20.843</v>
          </cell>
          <cell r="AB34">
            <v>0</v>
          </cell>
          <cell r="AC34">
            <v>15.375999999999999</v>
          </cell>
          <cell r="AD34">
            <v>130.374</v>
          </cell>
          <cell r="AE34">
            <v>11.826000000000001</v>
          </cell>
          <cell r="AF34">
            <v>0</v>
          </cell>
          <cell r="AG34">
            <v>0</v>
          </cell>
          <cell r="AH34">
            <v>24.841999999999999</v>
          </cell>
        </row>
        <row r="35">
          <cell r="L35">
            <v>0</v>
          </cell>
          <cell r="M35">
            <v>30.324999999999999</v>
          </cell>
          <cell r="N35">
            <v>63.204999999999998</v>
          </cell>
          <cell r="O35">
            <v>59.848999999999997</v>
          </cell>
          <cell r="P35">
            <v>0</v>
          </cell>
          <cell r="Q35">
            <v>0</v>
          </cell>
          <cell r="R35">
            <v>26.620999999999999</v>
          </cell>
          <cell r="S35">
            <v>104.059</v>
          </cell>
          <cell r="T35">
            <v>55.418999999999997</v>
          </cell>
          <cell r="U35">
            <v>75.891999999999996</v>
          </cell>
          <cell r="V35">
            <v>0</v>
          </cell>
          <cell r="W35">
            <v>99.341999999999999</v>
          </cell>
          <cell r="X35">
            <v>56.762999999999998</v>
          </cell>
          <cell r="Y35">
            <v>23.695</v>
          </cell>
          <cell r="Z35">
            <v>16.265000000000001</v>
          </cell>
          <cell r="AA35">
            <v>0</v>
          </cell>
          <cell r="AB35">
            <v>0</v>
          </cell>
          <cell r="AC35">
            <v>0</v>
          </cell>
          <cell r="AD35">
            <v>7.16</v>
          </cell>
          <cell r="AE35">
            <v>85.843999999999994</v>
          </cell>
          <cell r="AF35">
            <v>231.91900000000001</v>
          </cell>
          <cell r="AG35">
            <v>87.126999999999995</v>
          </cell>
          <cell r="AH35">
            <v>59.091000000000001</v>
          </cell>
        </row>
        <row r="36">
          <cell r="L36">
            <v>146.792</v>
          </cell>
          <cell r="M36">
            <v>0</v>
          </cell>
          <cell r="N36">
            <v>23.59</v>
          </cell>
          <cell r="O36">
            <v>84.680999999999997</v>
          </cell>
          <cell r="P36">
            <v>179.976</v>
          </cell>
          <cell r="Q36">
            <v>291.0838</v>
          </cell>
          <cell r="R36">
            <v>54.456000000000003</v>
          </cell>
          <cell r="S36">
            <v>405.71699999999998</v>
          </cell>
          <cell r="T36">
            <v>303.93799999999999</v>
          </cell>
          <cell r="U36">
            <v>235.81100000000001</v>
          </cell>
          <cell r="V36">
            <v>481.00560000000002</v>
          </cell>
          <cell r="W36">
            <v>575.24099999999999</v>
          </cell>
          <cell r="X36">
            <v>555.20500000000004</v>
          </cell>
          <cell r="Y36">
            <v>402.38060000000002</v>
          </cell>
          <cell r="Z36">
            <v>349.96199999999999</v>
          </cell>
          <cell r="AA36">
            <v>396.52499999999998</v>
          </cell>
          <cell r="AB36">
            <v>256.36799999999999</v>
          </cell>
          <cell r="AC36">
            <v>296.32299999999998</v>
          </cell>
          <cell r="AD36">
            <v>387.51100000000002</v>
          </cell>
          <cell r="AE36">
            <v>316.75400000000002</v>
          </cell>
          <cell r="AF36">
            <v>292.01600000000002</v>
          </cell>
          <cell r="AG36">
            <v>417.92399999999998</v>
          </cell>
          <cell r="AH36">
            <v>770.34500000000003</v>
          </cell>
        </row>
        <row r="37">
          <cell r="L37">
            <v>721.62599999999998</v>
          </cell>
          <cell r="M37">
            <v>628.33500000000004</v>
          </cell>
          <cell r="N37">
            <v>439.95699999999999</v>
          </cell>
          <cell r="O37">
            <v>598.99900000000002</v>
          </cell>
          <cell r="P37">
            <v>652.096</v>
          </cell>
          <cell r="Q37">
            <v>1028.029</v>
          </cell>
          <cell r="R37">
            <v>1667.6859999999999</v>
          </cell>
          <cell r="S37">
            <v>1799.9490000000001</v>
          </cell>
          <cell r="T37">
            <v>2161.7545</v>
          </cell>
          <cell r="U37">
            <v>2357.864</v>
          </cell>
          <cell r="V37">
            <v>3016.5061000000001</v>
          </cell>
          <cell r="W37">
            <v>5010.7736000000104</v>
          </cell>
          <cell r="X37">
            <v>3665.0763000000002</v>
          </cell>
          <cell r="Y37">
            <v>3030.3748000000001</v>
          </cell>
          <cell r="Z37">
            <v>2848.1525999999999</v>
          </cell>
          <cell r="AA37">
            <v>2479.3921999999998</v>
          </cell>
          <cell r="AB37">
            <v>4034.7116000000001</v>
          </cell>
          <cell r="AC37">
            <v>4495.8242</v>
          </cell>
          <cell r="AD37">
            <v>4253.143</v>
          </cell>
          <cell r="AE37">
            <v>7209.2331000000204</v>
          </cell>
          <cell r="AF37">
            <v>7599.7288000000299</v>
          </cell>
          <cell r="AG37">
            <v>7609.9890000000296</v>
          </cell>
          <cell r="AH37">
            <v>10633.0813</v>
          </cell>
        </row>
        <row r="39">
          <cell r="L39">
            <v>208.94800000000001</v>
          </cell>
          <cell r="M39">
            <v>264.71100000000001</v>
          </cell>
          <cell r="N39">
            <v>105.51600000000001</v>
          </cell>
          <cell r="O39">
            <v>315.61200000000002</v>
          </cell>
          <cell r="P39">
            <v>240.71199999999999</v>
          </cell>
          <cell r="Q39">
            <v>328.81299999999999</v>
          </cell>
          <cell r="R39">
            <v>1106.586</v>
          </cell>
          <cell r="S39">
            <v>1341.5920000000001</v>
          </cell>
          <cell r="T39">
            <v>1630.9280000000001</v>
          </cell>
          <cell r="U39">
            <v>1937.2505000000001</v>
          </cell>
          <cell r="V39">
            <v>2081.3782000000001</v>
          </cell>
          <cell r="W39">
            <v>3546.0724</v>
          </cell>
          <cell r="X39">
            <v>2765.9549999999999</v>
          </cell>
          <cell r="Y39">
            <v>2284.3724999999999</v>
          </cell>
          <cell r="Z39">
            <v>1934.7574999999999</v>
          </cell>
          <cell r="AA39">
            <v>2156.9445000000001</v>
          </cell>
          <cell r="AB39">
            <v>3507.0192000000002</v>
          </cell>
          <cell r="AC39">
            <v>3201.6309999999999</v>
          </cell>
          <cell r="AD39">
            <v>3621.3530000000001</v>
          </cell>
          <cell r="AE39">
            <v>7302.5074000000004</v>
          </cell>
          <cell r="AF39">
            <v>5032.7290000000003</v>
          </cell>
          <cell r="AG39">
            <v>4213.4393</v>
          </cell>
          <cell r="AH39">
            <v>7845.7409000000098</v>
          </cell>
        </row>
        <row r="40"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68.644999999999996</v>
          </cell>
          <cell r="X41">
            <v>0</v>
          </cell>
          <cell r="Y41">
            <v>0</v>
          </cell>
          <cell r="Z41">
            <v>0</v>
          </cell>
          <cell r="AA41">
            <v>74.311000000000007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105.136</v>
          </cell>
          <cell r="AG41">
            <v>0</v>
          </cell>
          <cell r="AH41">
            <v>0</v>
          </cell>
        </row>
        <row r="42"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13.249000000000001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34.085999999999999</v>
          </cell>
          <cell r="AB42">
            <v>17.068999999999999</v>
          </cell>
          <cell r="AC42">
            <v>52.228000000000002</v>
          </cell>
          <cell r="AD42">
            <v>0</v>
          </cell>
          <cell r="AE42">
            <v>10.196</v>
          </cell>
          <cell r="AF42">
            <v>0</v>
          </cell>
          <cell r="AG42">
            <v>44.93</v>
          </cell>
          <cell r="AH42">
            <v>286.95800000000003</v>
          </cell>
        </row>
        <row r="43"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13.09</v>
          </cell>
          <cell r="R43">
            <v>3.085</v>
          </cell>
          <cell r="S43">
            <v>0</v>
          </cell>
          <cell r="T43">
            <v>16.382000000000001</v>
          </cell>
          <cell r="U43">
            <v>75.619</v>
          </cell>
          <cell r="V43">
            <v>19.744</v>
          </cell>
          <cell r="W43">
            <v>19.341000000000001</v>
          </cell>
          <cell r="X43">
            <v>19.628</v>
          </cell>
          <cell r="Y43">
            <v>0</v>
          </cell>
          <cell r="Z43">
            <v>0</v>
          </cell>
          <cell r="AA43">
            <v>201.22200000000001</v>
          </cell>
          <cell r="AB43">
            <v>93.013999999999996</v>
          </cell>
          <cell r="AC43">
            <v>22.939</v>
          </cell>
          <cell r="AD43">
            <v>143.98599999999999</v>
          </cell>
          <cell r="AE43">
            <v>70.447999999999993</v>
          </cell>
          <cell r="AF43">
            <v>60.905000000000001</v>
          </cell>
          <cell r="AG43">
            <v>49.756999999999998</v>
          </cell>
          <cell r="AH43">
            <v>46.892000000000003</v>
          </cell>
        </row>
        <row r="44">
          <cell r="L44">
            <v>66.138000000000005</v>
          </cell>
          <cell r="M44">
            <v>0</v>
          </cell>
          <cell r="N44">
            <v>16.998999999999999</v>
          </cell>
          <cell r="O44">
            <v>20.236000000000001</v>
          </cell>
          <cell r="P44">
            <v>56.5</v>
          </cell>
          <cell r="Q44">
            <v>283.54899999999998</v>
          </cell>
          <cell r="R44">
            <v>236.65799999999999</v>
          </cell>
          <cell r="S44">
            <v>273.01</v>
          </cell>
          <cell r="T44">
            <v>142.047</v>
          </cell>
          <cell r="U44">
            <v>104.39700000000001</v>
          </cell>
          <cell r="V44">
            <v>318.65499999999997</v>
          </cell>
          <cell r="W44">
            <v>600.63329999999996</v>
          </cell>
          <cell r="X44">
            <v>319.57299999999998</v>
          </cell>
          <cell r="Y44">
            <v>239.946</v>
          </cell>
          <cell r="Z44">
            <v>237.44</v>
          </cell>
          <cell r="AA44">
            <v>309.08999999999997</v>
          </cell>
          <cell r="AB44">
            <v>296.24700000000001</v>
          </cell>
          <cell r="AC44">
            <v>219.17699999999999</v>
          </cell>
          <cell r="AD44">
            <v>172.31700000000001</v>
          </cell>
          <cell r="AE44">
            <v>271.19600000000003</v>
          </cell>
          <cell r="AF44">
            <v>367.37799999999999</v>
          </cell>
          <cell r="AG44">
            <v>311.911</v>
          </cell>
          <cell r="AH44">
            <v>569.92150000000004</v>
          </cell>
        </row>
        <row r="45">
          <cell r="L45">
            <v>933.43700000000001</v>
          </cell>
          <cell r="M45">
            <v>600.774</v>
          </cell>
          <cell r="N45">
            <v>740.70799999999997</v>
          </cell>
          <cell r="O45">
            <v>751.96699999999998</v>
          </cell>
          <cell r="P45">
            <v>923.72069999999997</v>
          </cell>
          <cell r="Q45">
            <v>1442.0277000000001</v>
          </cell>
          <cell r="R45">
            <v>1770.9188999999999</v>
          </cell>
          <cell r="S45">
            <v>1984.5477000000001</v>
          </cell>
          <cell r="T45">
            <v>2270.7280000000001</v>
          </cell>
          <cell r="U45">
            <v>2925.8108000000002</v>
          </cell>
          <cell r="V45">
            <v>3325.6662000000001</v>
          </cell>
          <cell r="W45">
            <v>5124.1277</v>
          </cell>
          <cell r="X45">
            <v>5412.3084000000099</v>
          </cell>
          <cell r="Y45">
            <v>4895.1165000000001</v>
          </cell>
          <cell r="Z45">
            <v>4247.2412999999997</v>
          </cell>
          <cell r="AA45">
            <v>3899.7964999999999</v>
          </cell>
          <cell r="AB45">
            <v>4261.2233999999999</v>
          </cell>
          <cell r="AC45">
            <v>5998.4767000000102</v>
          </cell>
          <cell r="AD45">
            <v>6041.9110000000001</v>
          </cell>
          <cell r="AE45">
            <v>6320.8250000000098</v>
          </cell>
          <cell r="AF45">
            <v>7855.6057000000101</v>
          </cell>
          <cell r="AG45">
            <v>7879.433</v>
          </cell>
          <cell r="AH45">
            <v>10146.1155</v>
          </cell>
        </row>
      </sheetData>
      <sheetData sheetId="1">
        <row r="7">
          <cell r="F7">
            <v>1704</v>
          </cell>
          <cell r="M7">
            <v>316</v>
          </cell>
        </row>
        <row r="8">
          <cell r="F8">
            <v>58</v>
          </cell>
          <cell r="N8">
            <v>24</v>
          </cell>
        </row>
        <row r="9">
          <cell r="F9">
            <v>288</v>
          </cell>
          <cell r="N9">
            <v>6</v>
          </cell>
        </row>
        <row r="10">
          <cell r="F10">
            <v>93</v>
          </cell>
          <cell r="N10">
            <v>1</v>
          </cell>
        </row>
        <row r="11">
          <cell r="F11">
            <v>28</v>
          </cell>
          <cell r="N11">
            <v>1</v>
          </cell>
        </row>
        <row r="12">
          <cell r="F12">
            <v>21</v>
          </cell>
          <cell r="M12">
            <v>232</v>
          </cell>
        </row>
        <row r="13">
          <cell r="F13">
            <v>1422</v>
          </cell>
          <cell r="N13">
            <v>16</v>
          </cell>
        </row>
        <row r="14">
          <cell r="F14">
            <v>79</v>
          </cell>
          <cell r="N14">
            <v>5</v>
          </cell>
        </row>
        <row r="15">
          <cell r="F15">
            <v>272</v>
          </cell>
        </row>
        <row r="16">
          <cell r="F16">
            <v>105</v>
          </cell>
        </row>
        <row r="17">
          <cell r="F17">
            <v>40</v>
          </cell>
        </row>
        <row r="18">
          <cell r="F18">
            <v>10</v>
          </cell>
        </row>
        <row r="24">
          <cell r="F24">
            <v>1716</v>
          </cell>
          <cell r="M24">
            <v>126</v>
          </cell>
        </row>
        <row r="25">
          <cell r="F25">
            <v>68</v>
          </cell>
          <cell r="N25">
            <v>7</v>
          </cell>
        </row>
        <row r="26">
          <cell r="F26">
            <v>290</v>
          </cell>
          <cell r="N26">
            <v>1</v>
          </cell>
        </row>
        <row r="27">
          <cell r="F27">
            <v>94</v>
          </cell>
          <cell r="M27">
            <v>65</v>
          </cell>
        </row>
        <row r="28">
          <cell r="F28">
            <v>30</v>
          </cell>
          <cell r="N28">
            <v>5</v>
          </cell>
        </row>
        <row r="29">
          <cell r="F29">
            <v>21</v>
          </cell>
          <cell r="N29">
            <v>1</v>
          </cell>
        </row>
        <row r="30">
          <cell r="F30">
            <v>1429</v>
          </cell>
        </row>
        <row r="31">
          <cell r="F31">
            <v>77</v>
          </cell>
        </row>
        <row r="32">
          <cell r="F32">
            <v>272</v>
          </cell>
        </row>
        <row r="33">
          <cell r="F33">
            <v>110</v>
          </cell>
        </row>
        <row r="34">
          <cell r="F34">
            <v>40</v>
          </cell>
        </row>
        <row r="35">
          <cell r="F35">
            <v>11</v>
          </cell>
        </row>
        <row r="40">
          <cell r="F40">
            <v>1621</v>
          </cell>
          <cell r="M40">
            <v>116</v>
          </cell>
        </row>
        <row r="41">
          <cell r="F41">
            <v>78</v>
          </cell>
          <cell r="N41">
            <v>4</v>
          </cell>
        </row>
        <row r="42">
          <cell r="F42">
            <v>284</v>
          </cell>
          <cell r="N42">
            <v>1</v>
          </cell>
        </row>
        <row r="43">
          <cell r="F43">
            <v>96</v>
          </cell>
          <cell r="N43">
            <v>1</v>
          </cell>
        </row>
        <row r="44">
          <cell r="F44">
            <v>29</v>
          </cell>
          <cell r="N44">
            <v>1</v>
          </cell>
        </row>
        <row r="45">
          <cell r="F45">
            <v>22</v>
          </cell>
          <cell r="M45">
            <v>72</v>
          </cell>
        </row>
        <row r="46">
          <cell r="F46">
            <v>1443</v>
          </cell>
          <cell r="N46">
            <v>2</v>
          </cell>
        </row>
        <row r="47">
          <cell r="F47">
            <v>79</v>
          </cell>
        </row>
        <row r="48">
          <cell r="F48">
            <v>258</v>
          </cell>
        </row>
        <row r="49">
          <cell r="F49">
            <v>109</v>
          </cell>
        </row>
        <row r="50">
          <cell r="F50">
            <v>38</v>
          </cell>
        </row>
        <row r="51">
          <cell r="F51">
            <v>11</v>
          </cell>
        </row>
        <row r="56">
          <cell r="M56">
            <v>338</v>
          </cell>
        </row>
        <row r="57">
          <cell r="N57">
            <v>22</v>
          </cell>
        </row>
        <row r="58">
          <cell r="N58">
            <v>7</v>
          </cell>
        </row>
        <row r="59">
          <cell r="N59">
            <v>3</v>
          </cell>
        </row>
        <row r="60">
          <cell r="M60">
            <v>289</v>
          </cell>
        </row>
        <row r="61">
          <cell r="N61">
            <v>22</v>
          </cell>
        </row>
        <row r="62">
          <cell r="F62">
            <v>1545</v>
          </cell>
          <cell r="N62">
            <v>8</v>
          </cell>
        </row>
        <row r="63">
          <cell r="F63">
            <v>84</v>
          </cell>
          <cell r="N63">
            <v>3</v>
          </cell>
        </row>
        <row r="64">
          <cell r="F64">
            <v>272</v>
          </cell>
          <cell r="N64">
            <v>1</v>
          </cell>
        </row>
        <row r="65">
          <cell r="F65">
            <v>117</v>
          </cell>
        </row>
        <row r="66">
          <cell r="F66">
            <v>39</v>
          </cell>
        </row>
        <row r="67">
          <cell r="F67">
            <v>11</v>
          </cell>
        </row>
        <row r="72">
          <cell r="F72">
            <v>1792</v>
          </cell>
          <cell r="M72">
            <v>288</v>
          </cell>
        </row>
        <row r="73">
          <cell r="F73">
            <v>110</v>
          </cell>
          <cell r="N73">
            <v>37</v>
          </cell>
        </row>
        <row r="74">
          <cell r="F74">
            <v>311</v>
          </cell>
          <cell r="N74">
            <v>16</v>
          </cell>
        </row>
        <row r="75">
          <cell r="F75">
            <v>114</v>
          </cell>
          <cell r="N75">
            <v>2</v>
          </cell>
        </row>
        <row r="76">
          <cell r="F76">
            <v>31</v>
          </cell>
          <cell r="N76">
            <v>3</v>
          </cell>
        </row>
        <row r="77">
          <cell r="F77">
            <v>27</v>
          </cell>
          <cell r="M77">
            <v>193</v>
          </cell>
        </row>
        <row r="78">
          <cell r="F78">
            <v>1574</v>
          </cell>
          <cell r="N78">
            <v>16</v>
          </cell>
        </row>
        <row r="79">
          <cell r="F79">
            <v>94</v>
          </cell>
          <cell r="N79">
            <v>1</v>
          </cell>
        </row>
        <row r="80">
          <cell r="F80">
            <v>284</v>
          </cell>
        </row>
        <row r="81">
          <cell r="F81">
            <v>121</v>
          </cell>
        </row>
        <row r="82">
          <cell r="F82">
            <v>37</v>
          </cell>
        </row>
        <row r="83">
          <cell r="F83">
            <v>11</v>
          </cell>
        </row>
        <row r="88">
          <cell r="L88">
            <v>448</v>
          </cell>
        </row>
        <row r="89">
          <cell r="L89">
            <v>67</v>
          </cell>
        </row>
        <row r="90">
          <cell r="L90">
            <v>16</v>
          </cell>
        </row>
        <row r="91">
          <cell r="L91">
            <v>5</v>
          </cell>
        </row>
        <row r="92">
          <cell r="L92">
            <v>2</v>
          </cell>
        </row>
        <row r="93">
          <cell r="L93">
            <v>177</v>
          </cell>
        </row>
        <row r="94">
          <cell r="F94">
            <v>1627</v>
          </cell>
          <cell r="L94">
            <v>29</v>
          </cell>
        </row>
        <row r="95">
          <cell r="F95">
            <v>95</v>
          </cell>
          <cell r="L95">
            <v>7</v>
          </cell>
        </row>
        <row r="96">
          <cell r="F96">
            <v>304</v>
          </cell>
          <cell r="L96">
            <v>3</v>
          </cell>
        </row>
        <row r="97">
          <cell r="F97">
            <v>124</v>
          </cell>
          <cell r="L97">
            <v>1</v>
          </cell>
        </row>
        <row r="98">
          <cell r="F98">
            <v>36</v>
          </cell>
        </row>
        <row r="99">
          <cell r="F99">
            <v>11</v>
          </cell>
        </row>
        <row r="103">
          <cell r="L103">
            <v>854</v>
          </cell>
        </row>
        <row r="104">
          <cell r="L104">
            <v>102</v>
          </cell>
        </row>
        <row r="105">
          <cell r="L105">
            <v>22</v>
          </cell>
        </row>
        <row r="106">
          <cell r="L106">
            <v>6</v>
          </cell>
        </row>
        <row r="107">
          <cell r="L107">
            <v>6</v>
          </cell>
        </row>
        <row r="108">
          <cell r="L108">
            <v>273</v>
          </cell>
        </row>
        <row r="109">
          <cell r="L109">
            <v>31</v>
          </cell>
        </row>
        <row r="110">
          <cell r="L110">
            <v>9</v>
          </cell>
        </row>
        <row r="111">
          <cell r="L111">
            <v>3</v>
          </cell>
        </row>
        <row r="112">
          <cell r="L112">
            <v>1</v>
          </cell>
        </row>
        <row r="117">
          <cell r="L117">
            <v>602</v>
          </cell>
        </row>
        <row r="118">
          <cell r="L118">
            <v>62</v>
          </cell>
        </row>
        <row r="119">
          <cell r="L119">
            <v>13</v>
          </cell>
        </row>
        <row r="120">
          <cell r="L120">
            <v>3</v>
          </cell>
        </row>
        <row r="121">
          <cell r="L121">
            <v>3</v>
          </cell>
        </row>
        <row r="122">
          <cell r="L122">
            <v>224</v>
          </cell>
        </row>
        <row r="123">
          <cell r="L123">
            <v>19</v>
          </cell>
        </row>
        <row r="124">
          <cell r="L124">
            <v>1</v>
          </cell>
        </row>
        <row r="125">
          <cell r="L125">
            <v>2</v>
          </cell>
        </row>
        <row r="132">
          <cell r="F132">
            <v>845</v>
          </cell>
          <cell r="L132">
            <v>175</v>
          </cell>
        </row>
        <row r="133">
          <cell r="F133">
            <v>57</v>
          </cell>
          <cell r="L133">
            <v>8</v>
          </cell>
        </row>
        <row r="134">
          <cell r="F134">
            <v>157</v>
          </cell>
          <cell r="L134">
            <v>28</v>
          </cell>
        </row>
        <row r="135">
          <cell r="F135">
            <v>52</v>
          </cell>
          <cell r="L135">
            <v>7</v>
          </cell>
        </row>
        <row r="136">
          <cell r="F136">
            <v>24</v>
          </cell>
          <cell r="L136">
            <v>4</v>
          </cell>
        </row>
        <row r="137">
          <cell r="F137">
            <v>7</v>
          </cell>
          <cell r="L137">
            <v>175</v>
          </cell>
        </row>
        <row r="138">
          <cell r="F138">
            <v>1025</v>
          </cell>
          <cell r="L138">
            <v>11</v>
          </cell>
        </row>
        <row r="139">
          <cell r="F139">
            <v>50</v>
          </cell>
          <cell r="L139">
            <v>23</v>
          </cell>
        </row>
        <row r="140">
          <cell r="F140">
            <v>177</v>
          </cell>
          <cell r="L140">
            <v>5</v>
          </cell>
        </row>
        <row r="141">
          <cell r="F141">
            <v>59</v>
          </cell>
          <cell r="L141">
            <v>4</v>
          </cell>
        </row>
        <row r="142">
          <cell r="F142">
            <v>39</v>
          </cell>
        </row>
        <row r="143">
          <cell r="F143">
            <v>4</v>
          </cell>
        </row>
        <row r="147">
          <cell r="F147">
            <v>883</v>
          </cell>
          <cell r="L147">
            <v>125</v>
          </cell>
        </row>
        <row r="148">
          <cell r="F148">
            <v>65</v>
          </cell>
          <cell r="L148">
            <v>4</v>
          </cell>
        </row>
        <row r="149">
          <cell r="F149">
            <v>169</v>
          </cell>
          <cell r="L149">
            <v>11</v>
          </cell>
        </row>
        <row r="150">
          <cell r="F150">
            <v>54</v>
          </cell>
          <cell r="L150">
            <v>1</v>
          </cell>
        </row>
        <row r="151">
          <cell r="F151">
            <v>24</v>
          </cell>
          <cell r="L151">
            <v>1</v>
          </cell>
        </row>
        <row r="152">
          <cell r="F152">
            <v>8</v>
          </cell>
          <cell r="L152">
            <v>1</v>
          </cell>
        </row>
        <row r="153">
          <cell r="F153">
            <v>1043</v>
          </cell>
          <cell r="L153">
            <v>58</v>
          </cell>
        </row>
        <row r="154">
          <cell r="F154">
            <v>58</v>
          </cell>
          <cell r="L154">
            <v>4</v>
          </cell>
        </row>
        <row r="155">
          <cell r="F155">
            <v>179</v>
          </cell>
          <cell r="L155">
            <v>9</v>
          </cell>
        </row>
        <row r="156">
          <cell r="F156">
            <v>59</v>
          </cell>
          <cell r="L156">
            <v>1</v>
          </cell>
        </row>
        <row r="157">
          <cell r="F157">
            <v>40</v>
          </cell>
          <cell r="L157">
            <v>1</v>
          </cell>
        </row>
        <row r="158">
          <cell r="F158">
            <v>4</v>
          </cell>
        </row>
        <row r="162">
          <cell r="F162">
            <v>997</v>
          </cell>
          <cell r="L162">
            <v>208</v>
          </cell>
        </row>
        <row r="163">
          <cell r="F163">
            <v>65</v>
          </cell>
          <cell r="L163">
            <v>2</v>
          </cell>
        </row>
        <row r="164">
          <cell r="F164">
            <v>175</v>
          </cell>
          <cell r="L164">
            <v>13</v>
          </cell>
        </row>
        <row r="165">
          <cell r="F165">
            <v>60</v>
          </cell>
          <cell r="L165">
            <v>4</v>
          </cell>
        </row>
        <row r="166">
          <cell r="F166">
            <v>27</v>
          </cell>
          <cell r="L166">
            <v>3</v>
          </cell>
        </row>
        <row r="167">
          <cell r="F167">
            <v>8</v>
          </cell>
          <cell r="L167">
            <v>180</v>
          </cell>
        </row>
        <row r="168">
          <cell r="F168">
            <v>1088</v>
          </cell>
          <cell r="L168">
            <v>14</v>
          </cell>
        </row>
        <row r="169">
          <cell r="F169">
            <v>71</v>
          </cell>
          <cell r="L169">
            <v>25</v>
          </cell>
        </row>
        <row r="170">
          <cell r="F170">
            <v>204</v>
          </cell>
          <cell r="L170">
            <v>7</v>
          </cell>
        </row>
        <row r="171">
          <cell r="F171">
            <v>65</v>
          </cell>
          <cell r="L171">
            <v>4</v>
          </cell>
        </row>
        <row r="172">
          <cell r="F172">
            <v>43</v>
          </cell>
        </row>
        <row r="173">
          <cell r="F173">
            <v>5</v>
          </cell>
        </row>
        <row r="177">
          <cell r="F177">
            <v>1127</v>
          </cell>
          <cell r="L177">
            <v>233</v>
          </cell>
        </row>
        <row r="178">
          <cell r="F178">
            <v>63</v>
          </cell>
          <cell r="L178">
            <v>1</v>
          </cell>
        </row>
        <row r="179">
          <cell r="F179">
            <v>202</v>
          </cell>
          <cell r="L179">
            <v>34</v>
          </cell>
        </row>
        <row r="180">
          <cell r="F180">
            <v>70</v>
          </cell>
          <cell r="L180">
            <v>11</v>
          </cell>
        </row>
        <row r="181">
          <cell r="F181">
            <v>31</v>
          </cell>
          <cell r="L181">
            <v>2</v>
          </cell>
        </row>
        <row r="182">
          <cell r="F182">
            <v>10</v>
          </cell>
          <cell r="L182">
            <v>2</v>
          </cell>
        </row>
        <row r="183">
          <cell r="F183">
            <v>1193</v>
          </cell>
          <cell r="L183">
            <v>245</v>
          </cell>
        </row>
        <row r="184">
          <cell r="F184">
            <v>71</v>
          </cell>
          <cell r="L184">
            <v>5</v>
          </cell>
        </row>
        <row r="185">
          <cell r="F185">
            <v>233</v>
          </cell>
          <cell r="L185">
            <v>36</v>
          </cell>
        </row>
        <row r="186">
          <cell r="F186">
            <v>82</v>
          </cell>
          <cell r="L186">
            <v>16</v>
          </cell>
        </row>
        <row r="187">
          <cell r="F187">
            <v>45</v>
          </cell>
          <cell r="L187">
            <v>4</v>
          </cell>
        </row>
        <row r="188">
          <cell r="F188">
            <v>8</v>
          </cell>
          <cell r="L188">
            <v>2</v>
          </cell>
        </row>
        <row r="191">
          <cell r="F191">
            <v>1061</v>
          </cell>
          <cell r="L191">
            <v>216</v>
          </cell>
        </row>
        <row r="192">
          <cell r="F192">
            <v>62</v>
          </cell>
          <cell r="L192">
            <v>1</v>
          </cell>
        </row>
        <row r="193">
          <cell r="F193">
            <v>214</v>
          </cell>
          <cell r="L193">
            <v>23</v>
          </cell>
        </row>
        <row r="194">
          <cell r="F194">
            <v>80</v>
          </cell>
          <cell r="L194">
            <v>8</v>
          </cell>
        </row>
        <row r="195">
          <cell r="F195">
            <v>30</v>
          </cell>
          <cell r="L195">
            <v>1</v>
          </cell>
        </row>
        <row r="196">
          <cell r="F196">
            <v>12</v>
          </cell>
          <cell r="L196">
            <v>1</v>
          </cell>
        </row>
        <row r="197">
          <cell r="F197">
            <v>1125</v>
          </cell>
          <cell r="L197">
            <v>188</v>
          </cell>
        </row>
        <row r="198">
          <cell r="F198">
            <v>76</v>
          </cell>
          <cell r="L198">
            <v>3</v>
          </cell>
        </row>
        <row r="199">
          <cell r="F199">
            <v>251</v>
          </cell>
          <cell r="L199">
            <v>28</v>
          </cell>
        </row>
        <row r="200">
          <cell r="F200">
            <v>82</v>
          </cell>
          <cell r="L200">
            <v>2</v>
          </cell>
        </row>
        <row r="201">
          <cell r="F201">
            <v>47</v>
          </cell>
          <cell r="L201">
            <v>2</v>
          </cell>
        </row>
        <row r="202">
          <cell r="F202">
            <v>9</v>
          </cell>
          <cell r="L202">
            <v>1</v>
          </cell>
        </row>
        <row r="207">
          <cell r="F207">
            <v>1105</v>
          </cell>
          <cell r="L207">
            <v>206</v>
          </cell>
        </row>
        <row r="208">
          <cell r="F208">
            <v>49</v>
          </cell>
          <cell r="L208">
            <v>28</v>
          </cell>
        </row>
        <row r="209">
          <cell r="F209">
            <v>208</v>
          </cell>
          <cell r="L209">
            <v>10</v>
          </cell>
        </row>
        <row r="210">
          <cell r="F210">
            <v>81</v>
          </cell>
          <cell r="L210">
            <v>1</v>
          </cell>
        </row>
        <row r="211">
          <cell r="F211">
            <v>29</v>
          </cell>
          <cell r="L211">
            <v>1</v>
          </cell>
        </row>
        <row r="212">
          <cell r="F212">
            <v>13</v>
          </cell>
          <cell r="L212">
            <v>220</v>
          </cell>
        </row>
        <row r="213">
          <cell r="F213">
            <v>1155</v>
          </cell>
          <cell r="L213">
            <v>2</v>
          </cell>
        </row>
        <row r="214">
          <cell r="F214">
            <v>74</v>
          </cell>
          <cell r="L214">
            <v>28</v>
          </cell>
        </row>
        <row r="215">
          <cell r="F215">
            <v>247</v>
          </cell>
          <cell r="L215">
            <v>8</v>
          </cell>
        </row>
        <row r="216">
          <cell r="F216">
            <v>89</v>
          </cell>
          <cell r="L216">
            <v>2</v>
          </cell>
        </row>
        <row r="217">
          <cell r="F217">
            <v>47</v>
          </cell>
        </row>
        <row r="218">
          <cell r="F218">
            <v>9</v>
          </cell>
        </row>
        <row r="222">
          <cell r="F222">
            <v>1101</v>
          </cell>
          <cell r="L222">
            <v>240</v>
          </cell>
        </row>
        <row r="223">
          <cell r="F223">
            <v>43</v>
          </cell>
          <cell r="L223">
            <v>25</v>
          </cell>
        </row>
        <row r="224">
          <cell r="F224">
            <v>213</v>
          </cell>
          <cell r="L224">
            <v>8</v>
          </cell>
        </row>
        <row r="225">
          <cell r="F225">
            <v>82</v>
          </cell>
          <cell r="L225">
            <v>1</v>
          </cell>
        </row>
        <row r="226">
          <cell r="F226">
            <v>29</v>
          </cell>
          <cell r="L226">
            <v>2</v>
          </cell>
        </row>
        <row r="227">
          <cell r="F227">
            <v>17</v>
          </cell>
          <cell r="L227">
            <v>206</v>
          </cell>
        </row>
        <row r="228">
          <cell r="F228">
            <v>1179</v>
          </cell>
          <cell r="L228">
            <v>19</v>
          </cell>
        </row>
        <row r="229">
          <cell r="F229">
            <v>65</v>
          </cell>
          <cell r="L229">
            <v>5</v>
          </cell>
        </row>
        <row r="230">
          <cell r="F230">
            <v>256</v>
          </cell>
          <cell r="L230">
            <v>1</v>
          </cell>
        </row>
        <row r="231">
          <cell r="F231">
            <v>96</v>
          </cell>
        </row>
        <row r="232">
          <cell r="F232">
            <v>46</v>
          </cell>
        </row>
        <row r="233">
          <cell r="F233">
            <v>8</v>
          </cell>
        </row>
        <row r="237">
          <cell r="F237">
            <v>1199</v>
          </cell>
          <cell r="L237">
            <v>224</v>
          </cell>
        </row>
        <row r="238">
          <cell r="F238">
            <v>37</v>
          </cell>
          <cell r="L238">
            <v>30</v>
          </cell>
        </row>
        <row r="239">
          <cell r="F239">
            <v>211</v>
          </cell>
          <cell r="L239">
            <v>7</v>
          </cell>
        </row>
        <row r="240">
          <cell r="F240">
            <v>80</v>
          </cell>
          <cell r="L240">
            <v>1</v>
          </cell>
        </row>
        <row r="241">
          <cell r="F241">
            <v>26</v>
          </cell>
          <cell r="L241">
            <v>1</v>
          </cell>
        </row>
        <row r="242">
          <cell r="F242">
            <v>19</v>
          </cell>
          <cell r="L242">
            <v>204</v>
          </cell>
        </row>
        <row r="243">
          <cell r="F243">
            <v>1278</v>
          </cell>
          <cell r="L243">
            <v>20</v>
          </cell>
        </row>
        <row r="244">
          <cell r="F244">
            <v>65</v>
          </cell>
          <cell r="L244">
            <v>3</v>
          </cell>
        </row>
        <row r="245">
          <cell r="F245">
            <v>260</v>
          </cell>
          <cell r="L245">
            <v>1</v>
          </cell>
        </row>
        <row r="246">
          <cell r="F246">
            <v>95</v>
          </cell>
        </row>
        <row r="247">
          <cell r="F247">
            <v>45</v>
          </cell>
        </row>
        <row r="248">
          <cell r="F248">
            <v>8</v>
          </cell>
        </row>
        <row r="252">
          <cell r="F252">
            <v>1297</v>
          </cell>
          <cell r="L252">
            <v>285</v>
          </cell>
        </row>
        <row r="253">
          <cell r="F253">
            <v>39</v>
          </cell>
          <cell r="L253">
            <v>48</v>
          </cell>
        </row>
        <row r="254">
          <cell r="F254">
            <v>253</v>
          </cell>
          <cell r="L254">
            <v>14</v>
          </cell>
        </row>
        <row r="255">
          <cell r="F255">
            <v>94</v>
          </cell>
          <cell r="L255">
            <v>3</v>
          </cell>
        </row>
        <row r="256">
          <cell r="F256">
            <v>28</v>
          </cell>
          <cell r="L256">
            <v>2</v>
          </cell>
        </row>
        <row r="257">
          <cell r="F257">
            <v>21</v>
          </cell>
          <cell r="L257">
            <v>190</v>
          </cell>
        </row>
        <row r="258">
          <cell r="F258">
            <v>1248</v>
          </cell>
          <cell r="L258">
            <v>27</v>
          </cell>
        </row>
        <row r="259">
          <cell r="F259">
            <v>63</v>
          </cell>
          <cell r="L259">
            <v>5</v>
          </cell>
        </row>
        <row r="260">
          <cell r="F260">
            <v>273</v>
          </cell>
          <cell r="L260">
            <v>2</v>
          </cell>
        </row>
        <row r="261">
          <cell r="F261">
            <v>97</v>
          </cell>
          <cell r="L261">
            <v>1</v>
          </cell>
        </row>
        <row r="262">
          <cell r="F262">
            <v>44</v>
          </cell>
        </row>
        <row r="263">
          <cell r="F263">
            <v>9</v>
          </cell>
        </row>
        <row r="267">
          <cell r="F267">
            <v>1387</v>
          </cell>
          <cell r="L267">
            <v>246</v>
          </cell>
        </row>
        <row r="268">
          <cell r="F268">
            <v>47</v>
          </cell>
          <cell r="L268">
            <v>28</v>
          </cell>
        </row>
        <row r="269">
          <cell r="F269">
            <v>272</v>
          </cell>
          <cell r="L269">
            <v>3</v>
          </cell>
        </row>
        <row r="270">
          <cell r="F270">
            <v>97</v>
          </cell>
          <cell r="L270">
            <v>2</v>
          </cell>
        </row>
        <row r="271">
          <cell r="F271">
            <v>29</v>
          </cell>
          <cell r="L271">
            <v>1</v>
          </cell>
        </row>
        <row r="272">
          <cell r="F272">
            <v>20</v>
          </cell>
          <cell r="L272">
            <v>162</v>
          </cell>
        </row>
        <row r="273">
          <cell r="F273">
            <v>1295</v>
          </cell>
          <cell r="L273">
            <v>19</v>
          </cell>
        </row>
        <row r="274">
          <cell r="F274">
            <v>71</v>
          </cell>
          <cell r="L274">
            <v>5</v>
          </cell>
        </row>
        <row r="275">
          <cell r="F275">
            <v>280</v>
          </cell>
          <cell r="L275">
            <v>1</v>
          </cell>
        </row>
        <row r="276">
          <cell r="F276">
            <v>103</v>
          </cell>
        </row>
        <row r="277">
          <cell r="F277">
            <v>43</v>
          </cell>
        </row>
        <row r="278">
          <cell r="F278">
            <v>10</v>
          </cell>
        </row>
        <row r="282">
          <cell r="F282">
            <v>1621</v>
          </cell>
          <cell r="L282">
            <v>450</v>
          </cell>
        </row>
        <row r="283">
          <cell r="F283">
            <v>55</v>
          </cell>
          <cell r="L283">
            <v>40</v>
          </cell>
        </row>
        <row r="284">
          <cell r="F284">
            <v>289</v>
          </cell>
          <cell r="L284">
            <v>7</v>
          </cell>
        </row>
        <row r="285">
          <cell r="F285">
            <v>95</v>
          </cell>
          <cell r="L285">
            <v>2</v>
          </cell>
        </row>
        <row r="286">
          <cell r="F286">
            <v>28</v>
          </cell>
          <cell r="L286">
            <v>296</v>
          </cell>
        </row>
        <row r="287">
          <cell r="F287">
            <v>20</v>
          </cell>
          <cell r="L287">
            <v>17</v>
          </cell>
        </row>
        <row r="288">
          <cell r="F288">
            <v>1384</v>
          </cell>
          <cell r="L288">
            <v>1</v>
          </cell>
        </row>
        <row r="289">
          <cell r="F289">
            <v>78</v>
          </cell>
        </row>
        <row r="290">
          <cell r="F290">
            <v>282</v>
          </cell>
        </row>
        <row r="291">
          <cell r="F291">
            <v>103</v>
          </cell>
        </row>
        <row r="292">
          <cell r="F292">
            <v>40</v>
          </cell>
        </row>
        <row r="293">
          <cell r="F293">
            <v>10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ention"/>
      <sheetName val="Recruit2"/>
      <sheetName val="Recruit"/>
      <sheetName val="cc"/>
      <sheetName val="APE"/>
      <sheetName val="Actv"/>
      <sheetName val="MP"/>
    </sheetNames>
    <sheetDataSet>
      <sheetData sheetId="0"/>
      <sheetData sheetId="1"/>
      <sheetData sheetId="2">
        <row r="43">
          <cell r="I43" t="str">
            <v>AG</v>
          </cell>
          <cell r="J43">
            <v>794</v>
          </cell>
          <cell r="K43">
            <v>794</v>
          </cell>
          <cell r="L43">
            <v>0</v>
          </cell>
        </row>
        <row r="44">
          <cell r="I44" t="str">
            <v>BM</v>
          </cell>
          <cell r="J44">
            <v>15</v>
          </cell>
          <cell r="K44">
            <v>0</v>
          </cell>
          <cell r="L44">
            <v>15</v>
          </cell>
        </row>
        <row r="45">
          <cell r="I45" t="str">
            <v>SBM</v>
          </cell>
          <cell r="J45">
            <v>7</v>
          </cell>
          <cell r="K45">
            <v>0</v>
          </cell>
          <cell r="L45">
            <v>7</v>
          </cell>
        </row>
        <row r="46">
          <cell r="I46" t="str">
            <v>SUM</v>
          </cell>
          <cell r="J46">
            <v>31</v>
          </cell>
          <cell r="K46">
            <v>0</v>
          </cell>
          <cell r="L46">
            <v>31</v>
          </cell>
        </row>
        <row r="47">
          <cell r="I47" t="str">
            <v>UM</v>
          </cell>
          <cell r="J47">
            <v>98</v>
          </cell>
          <cell r="K47">
            <v>0</v>
          </cell>
          <cell r="L47">
            <v>98</v>
          </cell>
        </row>
        <row r="48">
          <cell r="I48" t="str">
            <v>AG</v>
          </cell>
          <cell r="J48">
            <v>289</v>
          </cell>
        </row>
        <row r="49">
          <cell r="I49" t="str">
            <v>BM</v>
          </cell>
          <cell r="J49">
            <v>1</v>
          </cell>
        </row>
        <row r="50">
          <cell r="I50" t="str">
            <v>SBM</v>
          </cell>
          <cell r="J50">
            <v>2</v>
          </cell>
        </row>
        <row r="51">
          <cell r="I51" t="str">
            <v>SUM</v>
          </cell>
          <cell r="J51">
            <v>9</v>
          </cell>
        </row>
        <row r="52">
          <cell r="I52" t="str">
            <v>UM</v>
          </cell>
          <cell r="J52">
            <v>29</v>
          </cell>
        </row>
        <row r="53">
          <cell r="J53">
            <v>1275</v>
          </cell>
        </row>
      </sheetData>
      <sheetData sheetId="3"/>
      <sheetData sheetId="4"/>
      <sheetData sheetId="5"/>
      <sheetData sheetId="6">
        <row r="29">
          <cell r="Y29" t="str">
            <v>AG</v>
          </cell>
          <cell r="Z29">
            <v>4038</v>
          </cell>
        </row>
        <row r="30">
          <cell r="Y30" t="str">
            <v>US</v>
          </cell>
          <cell r="Z30">
            <v>178</v>
          </cell>
        </row>
        <row r="31">
          <cell r="Y31" t="str">
            <v>BM</v>
          </cell>
          <cell r="Z31">
            <v>57</v>
          </cell>
        </row>
        <row r="32">
          <cell r="Y32" t="str">
            <v>SBM</v>
          </cell>
          <cell r="Z32">
            <v>44</v>
          </cell>
        </row>
        <row r="33">
          <cell r="Y33" t="str">
            <v>SUM</v>
          </cell>
          <cell r="Z33">
            <v>197</v>
          </cell>
        </row>
        <row r="34">
          <cell r="Y34" t="str">
            <v>UM</v>
          </cell>
          <cell r="Z34">
            <v>568</v>
          </cell>
        </row>
        <row r="35">
          <cell r="Y35" t="str">
            <v>AG</v>
          </cell>
          <cell r="Z35">
            <v>2064</v>
          </cell>
        </row>
        <row r="36">
          <cell r="Y36" t="str">
            <v>US</v>
          </cell>
          <cell r="Z36">
            <v>83</v>
          </cell>
        </row>
        <row r="37">
          <cell r="Y37" t="str">
            <v>BM</v>
          </cell>
          <cell r="Z37">
            <v>37</v>
          </cell>
        </row>
        <row r="38">
          <cell r="Y38" t="str">
            <v>SBM</v>
          </cell>
          <cell r="Z38">
            <v>12</v>
          </cell>
        </row>
        <row r="39">
          <cell r="Y39" t="str">
            <v>SUM</v>
          </cell>
          <cell r="Z39">
            <v>129</v>
          </cell>
        </row>
        <row r="40">
          <cell r="Y40" t="str">
            <v>UM</v>
          </cell>
          <cell r="Z40">
            <v>299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 H1+YTD Q3"/>
      <sheetName val="Projection Summary"/>
      <sheetName val="Sheet1"/>
      <sheetName val="Guidlines"/>
      <sheetName val="Summary"/>
      <sheetName val="Data_KPIs Trend"/>
      <sheetName val="Yearly Summary"/>
      <sheetName val="AL Promotion &amp; Recruited"/>
      <sheetName val="Total Agency"/>
      <sheetName val="Agency North"/>
      <sheetName val="Agency South"/>
      <sheetName val="Assumption"/>
    </sheetNames>
    <sheetDataSet>
      <sheetData sheetId="0"/>
      <sheetData sheetId="1"/>
      <sheetData sheetId="2"/>
      <sheetData sheetId="3"/>
      <sheetData sheetId="4"/>
      <sheetData sheetId="5"/>
      <sheetData sheetId="6">
        <row r="23">
          <cell r="O23">
            <v>0.25747058535268463</v>
          </cell>
        </row>
        <row r="38">
          <cell r="O38">
            <v>0.22947745601905847</v>
          </cell>
        </row>
        <row r="53">
          <cell r="O53">
            <v>0.22850188227238666</v>
          </cell>
        </row>
        <row r="68">
          <cell r="O68">
            <v>0.23824110932985956</v>
          </cell>
        </row>
        <row r="83">
          <cell r="O83">
            <v>0.24286310561743482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napshot"/>
      <sheetName val="BANCA Dashboard"/>
      <sheetName val="FTM"/>
      <sheetName val="Bank Performance"/>
      <sheetName val="Rider Performance"/>
      <sheetName val="RM Performance"/>
      <sheetName val="Data"/>
      <sheetName val="Data_Char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16">
          <cell r="K16">
            <v>12623.291999999999</v>
          </cell>
          <cell r="W16">
            <v>16589.584999999999</v>
          </cell>
          <cell r="AJ16">
            <v>1.9060080417440646</v>
          </cell>
        </row>
        <row r="17">
          <cell r="V17">
            <v>3026.7269999999999</v>
          </cell>
          <cell r="W17">
            <v>4662.5019999999995</v>
          </cell>
        </row>
        <row r="19">
          <cell r="K19">
            <v>14789.26</v>
          </cell>
        </row>
      </sheetData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6"/>
      <sheetName val="Sheet5"/>
      <sheetName val="Sheet4"/>
      <sheetName val="Sheet3"/>
      <sheetName val="Sheet2"/>
      <sheetName val="Sheet1"/>
    </sheetNames>
    <sheetDataSet>
      <sheetData sheetId="0">
        <row r="142">
          <cell r="M142">
            <v>21739.469999999998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01610"/>
    </sheetNames>
    <sheetDataSet>
      <sheetData sheetId="0"/>
      <sheetData sheetId="1">
        <row r="10">
          <cell r="M10">
            <v>14753.534</v>
          </cell>
        </row>
        <row r="14">
          <cell r="M14">
            <v>5413.5510000000004</v>
          </cell>
        </row>
        <row r="18">
          <cell r="M18">
            <v>4617.2500601900001</v>
          </cell>
        </row>
        <row r="22">
          <cell r="M22">
            <v>50472.66090019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5:I24"/>
  <sheetViews>
    <sheetView topLeftCell="A28" workbookViewId="0">
      <selection activeCell="A27" sqref="A27"/>
    </sheetView>
  </sheetViews>
  <sheetFormatPr defaultColWidth="9.125" defaultRowHeight="12.75" x14ac:dyDescent="0.2"/>
  <cols>
    <col min="1" max="1" width="32.75" style="72" customWidth="1"/>
    <col min="2" max="8" width="14.375" style="72" customWidth="1"/>
    <col min="9" max="9" width="18" style="72" customWidth="1"/>
    <col min="10" max="16384" width="9.125" style="72"/>
  </cols>
  <sheetData>
    <row r="5" spans="1:9" ht="13.5" thickBot="1" x14ac:dyDescent="0.25"/>
    <row r="6" spans="1:9" ht="16.5" thickBot="1" x14ac:dyDescent="0.25">
      <c r="A6" s="73"/>
      <c r="B6" s="309" t="s">
        <v>68</v>
      </c>
      <c r="C6" s="310"/>
      <c r="D6" s="310"/>
      <c r="E6" s="310"/>
      <c r="F6" s="310"/>
      <c r="G6" s="310"/>
      <c r="H6" s="310"/>
      <c r="I6" s="310"/>
    </row>
    <row r="7" spans="1:9" ht="15.75" thickTop="1" x14ac:dyDescent="0.2">
      <c r="A7" s="311"/>
      <c r="B7" s="313" t="s">
        <v>69</v>
      </c>
      <c r="C7" s="74" t="s">
        <v>70</v>
      </c>
      <c r="D7" s="313" t="s">
        <v>71</v>
      </c>
      <c r="E7" s="313" t="s">
        <v>72</v>
      </c>
      <c r="F7" s="313" t="s">
        <v>73</v>
      </c>
      <c r="G7" s="313" t="s">
        <v>74</v>
      </c>
      <c r="H7" s="313" t="s">
        <v>75</v>
      </c>
      <c r="I7" s="313" t="s">
        <v>76</v>
      </c>
    </row>
    <row r="8" spans="1:9" ht="15.75" thickBot="1" x14ac:dyDescent="0.25">
      <c r="A8" s="312"/>
      <c r="B8" s="314"/>
      <c r="C8" s="75" t="s">
        <v>77</v>
      </c>
      <c r="D8" s="314"/>
      <c r="E8" s="314"/>
      <c r="F8" s="314"/>
      <c r="G8" s="314"/>
      <c r="H8" s="314"/>
      <c r="I8" s="314"/>
    </row>
    <row r="9" spans="1:9" ht="15.75" thickBot="1" x14ac:dyDescent="0.25">
      <c r="A9" s="81" t="s">
        <v>78</v>
      </c>
      <c r="B9" s="84">
        <f>SUM('Full Agency'!B12:M12)</f>
        <v>319929.83399999997</v>
      </c>
      <c r="C9" s="84">
        <f>'Full Agency'!$Z$14</f>
        <v>195163.86221000005</v>
      </c>
      <c r="D9" s="84">
        <v>471477.18758582999</v>
      </c>
      <c r="E9" s="84">
        <v>700418.19540540967</v>
      </c>
      <c r="F9" s="84">
        <v>980067.35791684</v>
      </c>
      <c r="G9" s="84">
        <v>1371935.3490212099</v>
      </c>
      <c r="H9" s="84">
        <v>1783580.9678075418</v>
      </c>
      <c r="I9" s="79">
        <f>((H9/D9)^(1/(5-1))-1)</f>
        <v>0.39462689531250472</v>
      </c>
    </row>
    <row r="10" spans="1:9" ht="15.75" thickBot="1" x14ac:dyDescent="0.25">
      <c r="A10" s="82" t="s">
        <v>79</v>
      </c>
      <c r="B10" s="85">
        <f>'Full Agency'!$M$24</f>
        <v>4117</v>
      </c>
      <c r="C10" s="85">
        <f>'Full Agency'!$V$24</f>
        <v>7706</v>
      </c>
      <c r="D10" s="85">
        <v>10244.923698985</v>
      </c>
      <c r="E10" s="85">
        <v>14893.480981932746</v>
      </c>
      <c r="F10" s="85">
        <v>17803.148623401863</v>
      </c>
      <c r="G10" s="85">
        <v>21984.93923133552</v>
      </c>
      <c r="H10" s="85">
        <v>24846.439061699581</v>
      </c>
      <c r="I10" s="80">
        <f>((H10/D10)^(1/(5-1))-1)</f>
        <v>0.24792606790598515</v>
      </c>
    </row>
    <row r="11" spans="1:9" ht="15.75" thickBot="1" x14ac:dyDescent="0.25">
      <c r="A11" s="81" t="s">
        <v>80</v>
      </c>
      <c r="B11" s="86">
        <v>0.3</v>
      </c>
      <c r="C11" s="86">
        <f>'Full Agency'!$Z$51</f>
        <v>0.22389415362257409</v>
      </c>
      <c r="D11" s="86">
        <f>'[6]Yearly Summary'!$O$23</f>
        <v>0.25747058535268463</v>
      </c>
      <c r="E11" s="86">
        <f>'[6]Yearly Summary'!$O$38</f>
        <v>0.22947745601905847</v>
      </c>
      <c r="F11" s="86">
        <f>'[6]Yearly Summary'!$O$53</f>
        <v>0.22850188227238666</v>
      </c>
      <c r="G11" s="86">
        <f>'[6]Yearly Summary'!$O$68</f>
        <v>0.23824110932985956</v>
      </c>
      <c r="H11" s="86">
        <f>'[6]Yearly Summary'!$O$83</f>
        <v>0.24286310561743482</v>
      </c>
      <c r="I11" s="79">
        <f>((H11/D11)^(1/(5-1))-1)</f>
        <v>-1.449579662445899E-2</v>
      </c>
    </row>
    <row r="12" spans="1:9" ht="15.75" thickBot="1" x14ac:dyDescent="0.25">
      <c r="A12" s="82" t="s">
        <v>81</v>
      </c>
      <c r="B12" s="87">
        <f>SUM('Full Agency'!B12:M12)/SUM('Full Agency'!B62:M62)</f>
        <v>17.865190641054276</v>
      </c>
      <c r="C12" s="87">
        <f>Q!$F$11</f>
        <v>16.626615750713896</v>
      </c>
      <c r="D12" s="87">
        <v>17.022629359639133</v>
      </c>
      <c r="E12" s="87">
        <v>16.028046609100191</v>
      </c>
      <c r="F12" s="87">
        <v>16.557955020981684</v>
      </c>
      <c r="G12" s="87">
        <v>17.384436061636951</v>
      </c>
      <c r="H12" s="87">
        <v>18.534063320770912</v>
      </c>
      <c r="I12" s="80">
        <f>((H12/D12)^(1/(5-1))-1)</f>
        <v>2.1494422840573124E-2</v>
      </c>
    </row>
    <row r="13" spans="1:9" ht="15.75" thickBot="1" x14ac:dyDescent="0.25">
      <c r="A13" s="81" t="s">
        <v>82</v>
      </c>
      <c r="B13" s="88">
        <f>SUM('Full Agency'!B62:M62)/SUM('Full Agency'!B36:M36)</f>
        <v>1.548599100657212</v>
      </c>
      <c r="C13" s="88">
        <f>Q!$F$10</f>
        <v>1.840232322301097</v>
      </c>
      <c r="D13" s="88">
        <v>1.5309299103746168</v>
      </c>
      <c r="E13" s="88">
        <v>1.4814427972285167</v>
      </c>
      <c r="F13" s="88">
        <v>1.5515646176902227</v>
      </c>
      <c r="G13" s="88">
        <v>1.6226656638082551</v>
      </c>
      <c r="H13" s="88">
        <v>1.656718964217077</v>
      </c>
      <c r="I13" s="79">
        <f>((H13/D13)^(1/(5-1))-1)</f>
        <v>1.9937086901756995E-2</v>
      </c>
    </row>
    <row r="14" spans="1:9" ht="15.75" thickBot="1" x14ac:dyDescent="0.25">
      <c r="A14" s="82" t="s">
        <v>87</v>
      </c>
      <c r="B14" s="87">
        <f>SUM('Full Agency'!B12:M12)/SUM('Full Agency'!B24:M24)</f>
        <v>8.2377586837294334</v>
      </c>
      <c r="C14" s="87">
        <f>Q!$F$12</f>
        <v>6.0597848059070252</v>
      </c>
      <c r="D14" s="87">
        <v>6.1446787732298231</v>
      </c>
      <c r="E14" s="87">
        <v>4.9697765952057491</v>
      </c>
      <c r="F14" s="87">
        <v>5.3710512134602562</v>
      </c>
      <c r="G14" s="87">
        <v>6.1813778047950407</v>
      </c>
      <c r="H14" s="87">
        <v>6.7624766732501103</v>
      </c>
      <c r="I14" s="80">
        <f t="shared" ref="I14:I15" si="0">((H14/D14)^(1/(5-1))-1)</f>
        <v>2.4239803079542988E-2</v>
      </c>
    </row>
    <row r="15" spans="1:9" ht="15.75" thickBot="1" x14ac:dyDescent="0.25">
      <c r="A15" s="81" t="s">
        <v>88</v>
      </c>
      <c r="B15" s="88">
        <f>SUM('Full Agency'!B12:M12)/SUM('Full Agency'!B36:M36)</f>
        <v>27.666018159806292</v>
      </c>
      <c r="C15" s="88">
        <f>Q!$F$13</f>
        <v>0</v>
      </c>
      <c r="D15" s="88">
        <v>26.060452439892657</v>
      </c>
      <c r="E15" s="88">
        <v>23.744634202694428</v>
      </c>
      <c r="F15" s="88">
        <v>25.690737151861349</v>
      </c>
      <c r="G15" s="88">
        <v>28.209127481888288</v>
      </c>
      <c r="H15" s="88">
        <v>30.705734187521305</v>
      </c>
      <c r="I15" s="79">
        <f t="shared" si="0"/>
        <v>4.1860045918405753E-2</v>
      </c>
    </row>
    <row r="16" spans="1:9" ht="15.75" thickBot="1" x14ac:dyDescent="0.25">
      <c r="A16" s="82" t="s">
        <v>83</v>
      </c>
      <c r="B16" s="89"/>
      <c r="C16" s="89"/>
      <c r="D16" s="89"/>
      <c r="E16" s="89"/>
      <c r="F16" s="89"/>
      <c r="G16" s="89"/>
      <c r="H16" s="89"/>
      <c r="I16" s="77"/>
    </row>
    <row r="17" spans="1:9" ht="15.75" thickBot="1" x14ac:dyDescent="0.25">
      <c r="A17" s="81" t="s">
        <v>84</v>
      </c>
      <c r="B17" s="90"/>
      <c r="C17" s="90"/>
      <c r="D17" s="90"/>
      <c r="E17" s="90"/>
      <c r="F17" s="90"/>
      <c r="G17" s="90"/>
      <c r="H17" s="90"/>
      <c r="I17" s="76"/>
    </row>
    <row r="18" spans="1:9" ht="15.75" thickBot="1" x14ac:dyDescent="0.25">
      <c r="A18" s="83" t="s">
        <v>85</v>
      </c>
      <c r="B18" s="91"/>
      <c r="C18" s="91"/>
      <c r="D18" s="91"/>
      <c r="E18" s="91"/>
      <c r="F18" s="91"/>
      <c r="G18" s="91"/>
      <c r="H18" s="91"/>
      <c r="I18" s="78"/>
    </row>
    <row r="19" spans="1:9" ht="15.75" thickBot="1" x14ac:dyDescent="0.25">
      <c r="A19" s="81" t="s">
        <v>86</v>
      </c>
      <c r="B19" s="90"/>
      <c r="C19" s="90"/>
      <c r="D19" s="90"/>
      <c r="E19" s="90"/>
      <c r="F19" s="90"/>
      <c r="G19" s="90"/>
      <c r="H19" s="90"/>
      <c r="I19" s="76"/>
    </row>
    <row r="24" spans="1:9" ht="18" customHeight="1" x14ac:dyDescent="0.2"/>
  </sheetData>
  <mergeCells count="9">
    <mergeCell ref="B6:I6"/>
    <mergeCell ref="A7:A8"/>
    <mergeCell ref="B7:B8"/>
    <mergeCell ref="D7:D8"/>
    <mergeCell ref="E7:E8"/>
    <mergeCell ref="F7:F8"/>
    <mergeCell ref="G7:G8"/>
    <mergeCell ref="H7:H8"/>
    <mergeCell ref="I7:I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X140"/>
  <sheetViews>
    <sheetView showGridLines="0" tabSelected="1" zoomScale="80" zoomScaleNormal="80" workbookViewId="0">
      <pane xSplit="2" ySplit="4" topLeftCell="AP59" activePane="bottomRight" state="frozen"/>
      <selection pane="topRight" activeCell="B1" sqref="B1"/>
      <selection pane="bottomLeft" activeCell="A4" sqref="A4"/>
      <selection pane="bottomRight" activeCell="A62" sqref="A62"/>
    </sheetView>
  </sheetViews>
  <sheetFormatPr defaultColWidth="9.125" defaultRowHeight="15" outlineLevelRow="1" outlineLevelCol="1" x14ac:dyDescent="0.25"/>
  <cols>
    <col min="1" max="1" width="64.875" style="18" bestFit="1" customWidth="1"/>
    <col min="2" max="2" width="30.25" customWidth="1"/>
    <col min="3" max="8" width="9.125" hidden="1" customWidth="1" outlineLevel="1"/>
    <col min="9" max="9" width="9.125" hidden="1" customWidth="1" outlineLevel="1" collapsed="1"/>
    <col min="10" max="26" width="9.125" hidden="1" customWidth="1" outlineLevel="1"/>
    <col min="27" max="31" width="0" style="20" hidden="1" customWidth="1" outlineLevel="1"/>
    <col min="32" max="41" width="9.125" style="20" hidden="1" customWidth="1" outlineLevel="1"/>
    <col min="42" max="42" width="13.375" style="20" bestFit="1" customWidth="1" collapsed="1"/>
    <col min="43" max="44" width="9.125" style="20"/>
    <col min="45" max="48" width="9.125" style="20" customWidth="1"/>
    <col min="49" max="53" width="9.125" style="20" customWidth="1" outlineLevel="1"/>
    <col min="54" max="58" width="9.125" style="20"/>
    <col min="59" max="61" width="0" style="20" hidden="1" customWidth="1" outlineLevel="1"/>
    <col min="62" max="69" width="9.125" style="20" hidden="1" customWidth="1" outlineLevel="1"/>
    <col min="70" max="75" width="0" style="20" hidden="1" customWidth="1" outlineLevel="1"/>
    <col min="76" max="76" width="9.125" style="20" collapsed="1"/>
    <col min="77" max="16384" width="9.125" style="20"/>
  </cols>
  <sheetData>
    <row r="1" spans="1:75" x14ac:dyDescent="0.25">
      <c r="A1" s="18" t="s">
        <v>158</v>
      </c>
      <c r="AP1" s="304">
        <v>201701</v>
      </c>
      <c r="AQ1" s="304">
        <v>201702</v>
      </c>
      <c r="AR1" s="304">
        <v>201703</v>
      </c>
      <c r="AS1" s="304">
        <v>201704</v>
      </c>
      <c r="AT1" s="304">
        <v>201705</v>
      </c>
      <c r="AU1" s="304">
        <v>201706</v>
      </c>
      <c r="AV1" s="304">
        <v>201707</v>
      </c>
      <c r="AW1" s="304">
        <v>201708</v>
      </c>
      <c r="AX1" s="304">
        <v>201709</v>
      </c>
      <c r="AY1" s="304">
        <v>201710</v>
      </c>
      <c r="AZ1" s="304">
        <v>201711</v>
      </c>
      <c r="BA1" s="304">
        <v>201712</v>
      </c>
    </row>
    <row r="2" spans="1:75" x14ac:dyDescent="0.25">
      <c r="M2" s="6"/>
      <c r="N2" s="6"/>
      <c r="O2" s="35"/>
    </row>
    <row r="3" spans="1:75" x14ac:dyDescent="0.25">
      <c r="B3" s="24">
        <f>'Full Agency'!A2</f>
        <v>7</v>
      </c>
      <c r="C3" s="161">
        <f>'Full Agency'!B2</f>
        <v>1</v>
      </c>
      <c r="AK3" s="321" t="s">
        <v>131</v>
      </c>
      <c r="AL3" s="321"/>
      <c r="AM3" s="321"/>
      <c r="AN3" s="321"/>
      <c r="AO3" s="321"/>
      <c r="AP3" s="131" t="s">
        <v>135</v>
      </c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322" t="s">
        <v>134</v>
      </c>
      <c r="BC3" s="324"/>
      <c r="BD3" s="324"/>
      <c r="BE3" s="324"/>
      <c r="BF3" s="324"/>
      <c r="BG3" s="127" t="s">
        <v>132</v>
      </c>
      <c r="BH3" s="128"/>
      <c r="BI3" s="128"/>
      <c r="BJ3" s="133"/>
      <c r="BK3" s="133"/>
      <c r="BL3" s="133"/>
      <c r="BM3" s="133"/>
      <c r="BN3" s="133"/>
      <c r="BO3" s="133"/>
      <c r="BP3" s="133"/>
      <c r="BQ3" s="133"/>
      <c r="BR3" s="133"/>
      <c r="BS3" s="129" t="s">
        <v>133</v>
      </c>
      <c r="BT3" s="130"/>
      <c r="BU3" s="130"/>
      <c r="BV3" s="130"/>
      <c r="BW3" s="120" t="s">
        <v>130</v>
      </c>
    </row>
    <row r="4" spans="1:75" s="19" customFormat="1" x14ac:dyDescent="0.25">
      <c r="A4" s="17"/>
      <c r="B4" s="2" t="s">
        <v>0</v>
      </c>
      <c r="C4" s="3">
        <v>42005</v>
      </c>
      <c r="D4" s="3">
        <v>42036</v>
      </c>
      <c r="E4" s="3">
        <v>42064</v>
      </c>
      <c r="F4" s="3">
        <v>42095</v>
      </c>
      <c r="G4" s="3">
        <v>42125</v>
      </c>
      <c r="H4" s="3">
        <v>42156</v>
      </c>
      <c r="I4" s="3">
        <v>42186</v>
      </c>
      <c r="J4" s="3">
        <v>42217</v>
      </c>
      <c r="K4" s="3">
        <v>42248</v>
      </c>
      <c r="L4" s="3">
        <v>42278</v>
      </c>
      <c r="M4" s="3">
        <v>42309</v>
      </c>
      <c r="N4" s="3">
        <v>42339</v>
      </c>
      <c r="O4" s="3">
        <v>42370</v>
      </c>
      <c r="P4" s="3">
        <v>42401</v>
      </c>
      <c r="Q4" s="3">
        <v>42430</v>
      </c>
      <c r="R4" s="3">
        <v>42461</v>
      </c>
      <c r="S4" s="3">
        <v>42491</v>
      </c>
      <c r="T4" s="3">
        <v>42522</v>
      </c>
      <c r="U4" s="3">
        <v>42552</v>
      </c>
      <c r="V4" s="3">
        <v>42583</v>
      </c>
      <c r="W4" s="3">
        <v>42614</v>
      </c>
      <c r="X4" s="3">
        <v>42644</v>
      </c>
      <c r="Y4" s="3">
        <v>42675</v>
      </c>
      <c r="Z4" s="3">
        <v>42705</v>
      </c>
      <c r="AA4" s="29" t="str">
        <f>"YTD " &amp; B3 &amp;"/16"</f>
        <v>YTD 7/16</v>
      </c>
      <c r="AB4" s="29" t="s">
        <v>19</v>
      </c>
      <c r="AC4" s="29" t="s">
        <v>20</v>
      </c>
      <c r="AD4" s="29" t="s">
        <v>21</v>
      </c>
      <c r="AE4" s="29" t="s">
        <v>22</v>
      </c>
      <c r="AF4" s="26" t="str">
        <f>"YTD " &amp; B3 &amp;"/15"</f>
        <v>YTD 7/15</v>
      </c>
      <c r="AG4" s="26" t="s">
        <v>23</v>
      </c>
      <c r="AH4" s="26" t="s">
        <v>24</v>
      </c>
      <c r="AI4" s="26" t="s">
        <v>25</v>
      </c>
      <c r="AJ4" s="26" t="s">
        <v>26</v>
      </c>
      <c r="AK4" s="30" t="s">
        <v>27</v>
      </c>
      <c r="AL4" s="30" t="s">
        <v>29</v>
      </c>
      <c r="AM4" s="30" t="s">
        <v>30</v>
      </c>
      <c r="AN4" s="30" t="s">
        <v>31</v>
      </c>
      <c r="AO4" s="30" t="s">
        <v>32</v>
      </c>
      <c r="AP4" s="108">
        <v>42736</v>
      </c>
      <c r="AQ4" s="108">
        <v>42767</v>
      </c>
      <c r="AR4" s="108">
        <v>42795</v>
      </c>
      <c r="AS4" s="108">
        <v>42826</v>
      </c>
      <c r="AT4" s="108">
        <v>42856</v>
      </c>
      <c r="AU4" s="108">
        <v>42887</v>
      </c>
      <c r="AV4" s="108">
        <v>42917</v>
      </c>
      <c r="AW4" s="108">
        <v>42948</v>
      </c>
      <c r="AX4" s="108">
        <v>42979</v>
      </c>
      <c r="AY4" s="108">
        <v>43009</v>
      </c>
      <c r="AZ4" s="108">
        <v>43040</v>
      </c>
      <c r="BA4" s="108">
        <v>43070</v>
      </c>
      <c r="BB4" s="29" t="s">
        <v>123</v>
      </c>
      <c r="BC4" s="29" t="s">
        <v>124</v>
      </c>
      <c r="BD4" s="29" t="s">
        <v>125</v>
      </c>
      <c r="BE4" s="29" t="s">
        <v>126</v>
      </c>
      <c r="BF4" s="29" t="str">
        <f>"YTD " &amp; B3 &amp;"/17"</f>
        <v>YTD 7/17</v>
      </c>
      <c r="BG4" s="121">
        <v>42736</v>
      </c>
      <c r="BH4" s="108">
        <v>42767</v>
      </c>
      <c r="BI4" s="108">
        <v>42795</v>
      </c>
      <c r="BJ4" s="108">
        <v>42826</v>
      </c>
      <c r="BK4" s="108">
        <v>42856</v>
      </c>
      <c r="BL4" s="108">
        <v>42887</v>
      </c>
      <c r="BM4" s="108">
        <v>42917</v>
      </c>
      <c r="BN4" s="108">
        <v>42948</v>
      </c>
      <c r="BO4" s="108">
        <v>42979</v>
      </c>
      <c r="BP4" s="108">
        <v>43009</v>
      </c>
      <c r="BQ4" s="108">
        <v>43040</v>
      </c>
      <c r="BR4" s="108">
        <v>43070</v>
      </c>
      <c r="BS4" s="29" t="s">
        <v>127</v>
      </c>
      <c r="BT4" s="29" t="s">
        <v>128</v>
      </c>
      <c r="BU4" s="29" t="s">
        <v>96</v>
      </c>
      <c r="BV4" s="29" t="s">
        <v>129</v>
      </c>
      <c r="BW4" s="112"/>
    </row>
    <row r="5" spans="1:75" x14ac:dyDescent="0.25">
      <c r="A5" s="20" t="str">
        <f t="shared" ref="A5:A14" si="0">$B$4&amp;"_by_rookie_GENLION:"&amp;B5</f>
        <v>APE_by_rookie_GENLION:MDRT/ GEN Lion (from Apr '17)</v>
      </c>
      <c r="B5" t="s">
        <v>157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U5" s="6"/>
      <c r="V5" s="6"/>
      <c r="X5" s="6"/>
      <c r="Y5" s="6"/>
      <c r="Z5" s="6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31"/>
      <c r="AL5" s="31"/>
      <c r="AM5" s="31"/>
      <c r="AN5" s="31"/>
      <c r="AO5" s="31"/>
      <c r="AP5" s="166">
        <f>[16]APE!J27</f>
        <v>1097.587</v>
      </c>
      <c r="AQ5" s="166">
        <f>[17]APE!J27</f>
        <v>2116.5275000000001</v>
      </c>
      <c r="AR5" s="166">
        <f>[18]APE!J27</f>
        <v>2115.21</v>
      </c>
      <c r="AS5" s="165">
        <f>[19]APE!T28</f>
        <v>4994.8500000000004</v>
      </c>
      <c r="AT5" s="165">
        <f>[20]APE!T28</f>
        <v>3824.19</v>
      </c>
      <c r="AU5" s="165">
        <f>[21]APE!T28</f>
        <v>3126.56</v>
      </c>
      <c r="AV5" s="165">
        <f>[22]APE!T28</f>
        <v>2942</v>
      </c>
      <c r="AW5" s="18"/>
      <c r="AX5" s="18"/>
      <c r="AY5" s="18"/>
      <c r="AZ5" s="18"/>
      <c r="BA5" s="18"/>
      <c r="BB5" s="110">
        <f>SUM(AP5:INDEX(AP5:AR5,IF($B$3&lt;3,$B$3,3)))</f>
        <v>5329.3245000000006</v>
      </c>
      <c r="BC5" s="110">
        <f>SUM(AS5:INDEX(AS5:AU5,IF(AND($B$3&gt;3,$B$3&lt;7),$B$3-3,0)))</f>
        <v>11945.6</v>
      </c>
      <c r="BD5" s="110">
        <f>SUM(AV5:INDEX(AV5:AX5,IF(AND($B$3&gt;6,$B$3&lt;10),$B$3-6,0)))</f>
        <v>2942</v>
      </c>
      <c r="BE5" s="110">
        <f>SUM(AY5:INDEX(AY5:BA5,IF($B$3&gt;9,$B$3-9,0)))</f>
        <v>0</v>
      </c>
      <c r="BF5" s="110">
        <f>SUM($AP5:INDEX(AP5:BA5,$B$3))</f>
        <v>20216.924500000001</v>
      </c>
      <c r="BG5" s="125" t="e">
        <f>AP5/O5</f>
        <v>#DIV/0!</v>
      </c>
      <c r="BH5" s="111" t="e">
        <f t="shared" ref="BH5:BR15" si="1">AQ5/P5</f>
        <v>#DIV/0!</v>
      </c>
      <c r="BI5" s="111" t="e">
        <f t="shared" si="1"/>
        <v>#DIV/0!</v>
      </c>
      <c r="BJ5" s="111" t="e">
        <f t="shared" si="1"/>
        <v>#DIV/0!</v>
      </c>
      <c r="BK5" s="111" t="e">
        <f t="shared" si="1"/>
        <v>#DIV/0!</v>
      </c>
      <c r="BL5" s="111" t="e">
        <f t="shared" si="1"/>
        <v>#DIV/0!</v>
      </c>
      <c r="BM5" s="111" t="e">
        <f t="shared" si="1"/>
        <v>#DIV/0!</v>
      </c>
      <c r="BN5" s="111" t="e">
        <f t="shared" si="1"/>
        <v>#DIV/0!</v>
      </c>
      <c r="BO5" s="111" t="e">
        <f t="shared" si="1"/>
        <v>#DIV/0!</v>
      </c>
      <c r="BP5" s="111" t="e">
        <f t="shared" si="1"/>
        <v>#DIV/0!</v>
      </c>
      <c r="BQ5" s="111" t="e">
        <f t="shared" si="1"/>
        <v>#DIV/0!</v>
      </c>
      <c r="BR5" s="111" t="e">
        <f t="shared" si="1"/>
        <v>#DIV/0!</v>
      </c>
      <c r="BS5" s="111" t="e">
        <f>BB5/SUM(O5:INDEX(O5:Q5,IF($B$3&lt;3,$B$3,3)))</f>
        <v>#DIV/0!</v>
      </c>
      <c r="BT5" s="111" t="e">
        <f>BC5/SUM(R5:INDEX(R5:T5,IF($B$3&lt;7,$B$3-3,3)))</f>
        <v>#DIV/0!</v>
      </c>
      <c r="BU5" s="111" t="e">
        <f t="shared" ref="BU5:BV14" si="2">BD5/AD5</f>
        <v>#DIV/0!</v>
      </c>
      <c r="BV5" s="111" t="e">
        <f t="shared" si="2"/>
        <v>#DIV/0!</v>
      </c>
      <c r="BW5" s="111" t="e">
        <f>BF5/AA5</f>
        <v>#DIV/0!</v>
      </c>
    </row>
    <row r="6" spans="1:75" x14ac:dyDescent="0.25">
      <c r="A6" s="20" t="str">
        <f t="shared" si="0"/>
        <v>APE_by_rookie_GENLION:Rookie in month</v>
      </c>
      <c r="B6" t="s">
        <v>5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U6" s="6"/>
      <c r="V6" s="6"/>
      <c r="X6" s="6"/>
      <c r="Y6" s="6"/>
      <c r="Z6" s="6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31"/>
      <c r="AL6" s="31"/>
      <c r="AM6" s="31"/>
      <c r="AN6" s="31"/>
      <c r="AO6" s="31"/>
      <c r="AP6" s="166">
        <f>[16]APE!J28</f>
        <v>2756.6320000000001</v>
      </c>
      <c r="AQ6" s="166">
        <f>[17]APE!J28</f>
        <v>3733.1240000000098</v>
      </c>
      <c r="AR6" s="166">
        <f>[18]APE!J28</f>
        <v>10037.33</v>
      </c>
      <c r="AS6" s="165">
        <f>[19]APE!T29</f>
        <v>6735.61</v>
      </c>
      <c r="AT6" s="165">
        <f>[20]APE!T29</f>
        <v>6413.6</v>
      </c>
      <c r="AU6" s="165">
        <f>[21]APE!T29</f>
        <v>14161.59</v>
      </c>
      <c r="AV6" s="165">
        <f>[22]APE!T29</f>
        <v>7721.59</v>
      </c>
      <c r="AW6" s="18"/>
      <c r="AX6" s="18"/>
      <c r="AY6" s="18"/>
      <c r="AZ6" s="18"/>
      <c r="BA6" s="18"/>
      <c r="BB6" s="110">
        <f>SUM(AP6:INDEX(AP6:AR6,IF($B$3&lt;3,$B$3,3)))</f>
        <v>16527.08600000001</v>
      </c>
      <c r="BC6" s="110">
        <f>SUM(AS6:INDEX(AS6:AU6,IF(AND($B$3&gt;3,$B$3&lt;7),$B$3-3,0)))</f>
        <v>27310.799999999999</v>
      </c>
      <c r="BD6" s="110">
        <f>SUM(AV6:INDEX(AV6:AX6,IF(AND($B$3&gt;6,$B$3&lt;10),$B$3-6,0)))</f>
        <v>7721.59</v>
      </c>
      <c r="BE6" s="110">
        <f>SUM(AY6:INDEX(AY6:BA6,IF($B$3&gt;9,$B$3-9,0)))</f>
        <v>0</v>
      </c>
      <c r="BF6" s="110">
        <f>SUM($AP6:INDEX(AP6:BA6,$B$3))</f>
        <v>51559.47600000001</v>
      </c>
      <c r="BG6" s="125" t="e">
        <f t="shared" ref="BG6:BH15" si="3">AP6/O6</f>
        <v>#DIV/0!</v>
      </c>
      <c r="BH6" s="111" t="e">
        <f t="shared" si="1"/>
        <v>#DIV/0!</v>
      </c>
      <c r="BI6" s="111" t="e">
        <f t="shared" si="1"/>
        <v>#DIV/0!</v>
      </c>
      <c r="BJ6" s="111" t="e">
        <f t="shared" si="1"/>
        <v>#DIV/0!</v>
      </c>
      <c r="BK6" s="111" t="e">
        <f t="shared" si="1"/>
        <v>#DIV/0!</v>
      </c>
      <c r="BL6" s="111" t="e">
        <f t="shared" si="1"/>
        <v>#DIV/0!</v>
      </c>
      <c r="BM6" s="111" t="e">
        <f t="shared" si="1"/>
        <v>#DIV/0!</v>
      </c>
      <c r="BN6" s="111" t="e">
        <f t="shared" si="1"/>
        <v>#DIV/0!</v>
      </c>
      <c r="BO6" s="111" t="e">
        <f t="shared" si="1"/>
        <v>#DIV/0!</v>
      </c>
      <c r="BP6" s="111" t="e">
        <f t="shared" si="1"/>
        <v>#DIV/0!</v>
      </c>
      <c r="BQ6" s="111" t="e">
        <f t="shared" si="1"/>
        <v>#DIV/0!</v>
      </c>
      <c r="BR6" s="111" t="e">
        <f t="shared" si="1"/>
        <v>#DIV/0!</v>
      </c>
      <c r="BS6" s="111" t="e">
        <f>BB6/SUM(O6:INDEX(O6:Q6,IF($B$3&lt;3,$B$3,3)))</f>
        <v>#DIV/0!</v>
      </c>
      <c r="BT6" s="111" t="e">
        <f>BC6/SUM(R6:INDEX(R6:T6,IF($B$3&lt;7,$B$3-3,3)))</f>
        <v>#DIV/0!</v>
      </c>
      <c r="BU6" s="111" t="e">
        <f t="shared" si="2"/>
        <v>#DIV/0!</v>
      </c>
      <c r="BV6" s="111" t="e">
        <f t="shared" si="2"/>
        <v>#DIV/0!</v>
      </c>
      <c r="BW6" s="111" t="e">
        <f t="shared" ref="BW6:BW14" si="4">BF6/AA6</f>
        <v>#DIV/0!</v>
      </c>
    </row>
    <row r="7" spans="1:75" x14ac:dyDescent="0.25">
      <c r="A7" s="20" t="str">
        <f t="shared" si="0"/>
        <v>APE_by_rookie_GENLION:Rookie last month</v>
      </c>
      <c r="B7" t="s">
        <v>6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U7" s="6"/>
      <c r="V7" s="6"/>
      <c r="X7" s="6"/>
      <c r="Y7" s="6"/>
      <c r="Z7" s="6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31"/>
      <c r="AL7" s="31"/>
      <c r="AM7" s="31"/>
      <c r="AN7" s="31"/>
      <c r="AO7" s="31"/>
      <c r="AP7" s="166">
        <f>[16]APE!J29</f>
        <v>2279.9690000000001</v>
      </c>
      <c r="AQ7" s="166">
        <f>[17]APE!J29</f>
        <v>1583.258</v>
      </c>
      <c r="AR7" s="166">
        <f>[18]APE!J29</f>
        <v>3757.04</v>
      </c>
      <c r="AS7" s="165">
        <f>[19]APE!T30</f>
        <v>3820.79</v>
      </c>
      <c r="AT7" s="165">
        <f>[20]APE!T30</f>
        <v>2595.56</v>
      </c>
      <c r="AU7" s="165">
        <f>[21]APE!T30</f>
        <v>2120.2800000000002</v>
      </c>
      <c r="AV7" s="165">
        <f>[22]APE!T30</f>
        <v>3228.53</v>
      </c>
      <c r="AW7" s="18"/>
      <c r="AX7" s="18"/>
      <c r="AY7" s="18"/>
      <c r="AZ7" s="18"/>
      <c r="BA7" s="18"/>
      <c r="BB7" s="110">
        <f>SUM(AP7:INDEX(AP7:AR7,IF($B$3&lt;3,$B$3,3)))</f>
        <v>7620.2669999999998</v>
      </c>
      <c r="BC7" s="110">
        <f>SUM(AS7:INDEX(AS7:AU7,IF(AND($B$3&gt;3,$B$3&lt;7),$B$3-3,0)))</f>
        <v>8536.630000000001</v>
      </c>
      <c r="BD7" s="110">
        <f>SUM(AV7:INDEX(AV7:AX7,IF(AND($B$3&gt;6,$B$3&lt;10),$B$3-6,0)))</f>
        <v>3228.53</v>
      </c>
      <c r="BE7" s="110">
        <f>SUM(AY7:INDEX(AY7:BA7,IF($B$3&gt;9,$B$3-9,0)))</f>
        <v>0</v>
      </c>
      <c r="BF7" s="110">
        <f>SUM($AP7:INDEX(AP7:BA7,$B$3))</f>
        <v>19385.427</v>
      </c>
      <c r="BG7" s="125" t="e">
        <f t="shared" si="3"/>
        <v>#DIV/0!</v>
      </c>
      <c r="BH7" s="111" t="e">
        <f t="shared" si="1"/>
        <v>#DIV/0!</v>
      </c>
      <c r="BI7" s="111" t="e">
        <f t="shared" si="1"/>
        <v>#DIV/0!</v>
      </c>
      <c r="BJ7" s="111" t="e">
        <f t="shared" si="1"/>
        <v>#DIV/0!</v>
      </c>
      <c r="BK7" s="111" t="e">
        <f t="shared" si="1"/>
        <v>#DIV/0!</v>
      </c>
      <c r="BL7" s="111" t="e">
        <f t="shared" si="1"/>
        <v>#DIV/0!</v>
      </c>
      <c r="BM7" s="111" t="e">
        <f t="shared" si="1"/>
        <v>#DIV/0!</v>
      </c>
      <c r="BN7" s="111" t="e">
        <f t="shared" si="1"/>
        <v>#DIV/0!</v>
      </c>
      <c r="BO7" s="111" t="e">
        <f t="shared" si="1"/>
        <v>#DIV/0!</v>
      </c>
      <c r="BP7" s="111" t="e">
        <f t="shared" si="1"/>
        <v>#DIV/0!</v>
      </c>
      <c r="BQ7" s="111" t="e">
        <f t="shared" si="1"/>
        <v>#DIV/0!</v>
      </c>
      <c r="BR7" s="111" t="e">
        <f t="shared" si="1"/>
        <v>#DIV/0!</v>
      </c>
      <c r="BS7" s="111" t="e">
        <f>BB7/SUM(O7:INDEX(O7:Q7,IF($B$3&lt;3,$B$3,3)))</f>
        <v>#DIV/0!</v>
      </c>
      <c r="BT7" s="111" t="e">
        <f>BC7/SUM(R7:INDEX(R7:T7,IF($B$3&lt;7,$B$3-3,3)))</f>
        <v>#DIV/0!</v>
      </c>
      <c r="BU7" s="111" t="e">
        <f t="shared" si="2"/>
        <v>#DIV/0!</v>
      </c>
      <c r="BV7" s="111" t="e">
        <f t="shared" si="2"/>
        <v>#DIV/0!</v>
      </c>
      <c r="BW7" s="111" t="e">
        <f t="shared" si="4"/>
        <v>#DIV/0!</v>
      </c>
    </row>
    <row r="8" spans="1:75" x14ac:dyDescent="0.25">
      <c r="A8" s="20" t="str">
        <f t="shared" si="0"/>
        <v>APE_by_rookie_GENLION:2-3 months</v>
      </c>
      <c r="B8" t="s">
        <v>7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U8" s="6"/>
      <c r="V8" s="6"/>
      <c r="X8" s="6"/>
      <c r="Y8" s="6"/>
      <c r="Z8" s="6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31"/>
      <c r="AL8" s="31"/>
      <c r="AM8" s="31"/>
      <c r="AN8" s="31"/>
      <c r="AO8" s="31"/>
      <c r="AP8" s="166">
        <f>[16]APE!J30</f>
        <v>3159.2165</v>
      </c>
      <c r="AQ8" s="166">
        <f>[17]APE!J30</f>
        <v>5424.7270000000099</v>
      </c>
      <c r="AR8" s="166">
        <f>[18]APE!J30</f>
        <v>4308.79</v>
      </c>
      <c r="AS8" s="165">
        <f>[19]APE!T31</f>
        <v>2774.46</v>
      </c>
      <c r="AT8" s="165">
        <f>[20]APE!T31</f>
        <v>3083.16</v>
      </c>
      <c r="AU8" s="165">
        <f>[21]APE!T31</f>
        <v>2752.66</v>
      </c>
      <c r="AV8" s="165">
        <f>[22]APE!T31</f>
        <v>3132.09</v>
      </c>
      <c r="AW8" s="18"/>
      <c r="AX8" s="18"/>
      <c r="AY8" s="18"/>
      <c r="AZ8" s="18"/>
      <c r="BA8" s="18"/>
      <c r="BB8" s="110">
        <f>SUM(AP8:INDEX(AP8:AR8,IF($B$3&lt;3,$B$3,3)))</f>
        <v>12892.733500000009</v>
      </c>
      <c r="BC8" s="110">
        <f>SUM(AS8:INDEX(AS8:AU8,IF(AND($B$3&gt;3,$B$3&lt;7),$B$3-3,0)))</f>
        <v>8610.2799999999988</v>
      </c>
      <c r="BD8" s="110">
        <f>SUM(AV8:INDEX(AV8:AX8,IF(AND($B$3&gt;6,$B$3&lt;10),$B$3-6,0)))</f>
        <v>3132.09</v>
      </c>
      <c r="BE8" s="110">
        <f>SUM(AY8:INDEX(AY8:BA8,IF($B$3&gt;9,$B$3-9,0)))</f>
        <v>0</v>
      </c>
      <c r="BF8" s="110">
        <f>SUM($AP8:INDEX(AP8:BA8,$B$3))</f>
        <v>24635.103500000008</v>
      </c>
      <c r="BG8" s="125" t="e">
        <f t="shared" si="3"/>
        <v>#DIV/0!</v>
      </c>
      <c r="BH8" s="111" t="e">
        <f t="shared" si="1"/>
        <v>#DIV/0!</v>
      </c>
      <c r="BI8" s="111" t="e">
        <f t="shared" si="1"/>
        <v>#DIV/0!</v>
      </c>
      <c r="BJ8" s="111" t="e">
        <f t="shared" si="1"/>
        <v>#DIV/0!</v>
      </c>
      <c r="BK8" s="111" t="e">
        <f t="shared" si="1"/>
        <v>#DIV/0!</v>
      </c>
      <c r="BL8" s="111" t="e">
        <f t="shared" si="1"/>
        <v>#DIV/0!</v>
      </c>
      <c r="BM8" s="111" t="e">
        <f t="shared" si="1"/>
        <v>#DIV/0!</v>
      </c>
      <c r="BN8" s="111" t="e">
        <f t="shared" si="1"/>
        <v>#DIV/0!</v>
      </c>
      <c r="BO8" s="111" t="e">
        <f t="shared" si="1"/>
        <v>#DIV/0!</v>
      </c>
      <c r="BP8" s="111" t="e">
        <f t="shared" si="1"/>
        <v>#DIV/0!</v>
      </c>
      <c r="BQ8" s="111" t="e">
        <f t="shared" si="1"/>
        <v>#DIV/0!</v>
      </c>
      <c r="BR8" s="111" t="e">
        <f t="shared" si="1"/>
        <v>#DIV/0!</v>
      </c>
      <c r="BS8" s="111" t="e">
        <f>BB8/SUM(O8:INDEX(O8:Q8,IF($B$3&lt;3,$B$3,3)))</f>
        <v>#DIV/0!</v>
      </c>
      <c r="BT8" s="111" t="e">
        <f>BC8/SUM(R8:INDEX(R8:T8,IF($B$3&lt;7,$B$3-3,3)))</f>
        <v>#DIV/0!</v>
      </c>
      <c r="BU8" s="111" t="e">
        <f t="shared" si="2"/>
        <v>#DIV/0!</v>
      </c>
      <c r="BV8" s="111" t="e">
        <f t="shared" si="2"/>
        <v>#DIV/0!</v>
      </c>
      <c r="BW8" s="111" t="e">
        <f t="shared" si="4"/>
        <v>#DIV/0!</v>
      </c>
    </row>
    <row r="9" spans="1:75" x14ac:dyDescent="0.25">
      <c r="A9" s="20" t="str">
        <f t="shared" si="0"/>
        <v>APE_by_rookie_GENLION:4 - 6 mths</v>
      </c>
      <c r="B9" t="s">
        <v>8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U9" s="6"/>
      <c r="V9" s="6"/>
      <c r="X9" s="6"/>
      <c r="Y9" s="6"/>
      <c r="Z9" s="6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31"/>
      <c r="AL9" s="31"/>
      <c r="AM9" s="31"/>
      <c r="AN9" s="31"/>
      <c r="AO9" s="31"/>
      <c r="AP9" s="166">
        <f>[16]APE!J31</f>
        <v>1720.3544999999999</v>
      </c>
      <c r="AQ9" s="166">
        <f>[17]APE!J31</f>
        <v>3040.5129999999999</v>
      </c>
      <c r="AR9" s="166">
        <f>[18]APE!J31</f>
        <v>4865.8</v>
      </c>
      <c r="AS9" s="165">
        <f>[19]APE!T32</f>
        <v>2048.56</v>
      </c>
      <c r="AT9" s="165">
        <f>[20]APE!T32</f>
        <v>1657.9</v>
      </c>
      <c r="AU9" s="165">
        <f>[21]APE!T32</f>
        <v>1472.99</v>
      </c>
      <c r="AV9" s="165">
        <f>[22]APE!T32</f>
        <v>1702.81</v>
      </c>
      <c r="AW9" s="18"/>
      <c r="AX9" s="18"/>
      <c r="AY9" s="18"/>
      <c r="AZ9" s="18"/>
      <c r="BA9" s="18"/>
      <c r="BB9" s="110">
        <f>SUM(AP9:INDEX(AP9:AR9,IF($B$3&lt;3,$B$3,3)))</f>
        <v>9626.6674999999996</v>
      </c>
      <c r="BC9" s="110">
        <f>SUM(AS9:INDEX(AS9:AU9,IF(AND($B$3&gt;3,$B$3&lt;7),$B$3-3,0)))</f>
        <v>5179.45</v>
      </c>
      <c r="BD9" s="110">
        <f>SUM(AV9:INDEX(AV9:AX9,IF(AND($B$3&gt;6,$B$3&lt;10),$B$3-6,0)))</f>
        <v>1702.81</v>
      </c>
      <c r="BE9" s="110">
        <f>SUM(AY9:INDEX(AY9:BA9,IF($B$3&gt;9,$B$3-9,0)))</f>
        <v>0</v>
      </c>
      <c r="BF9" s="110">
        <f>SUM($AP9:INDEX(AP9:BA9,$B$3))</f>
        <v>16508.927499999998</v>
      </c>
      <c r="BG9" s="125" t="e">
        <f t="shared" si="3"/>
        <v>#DIV/0!</v>
      </c>
      <c r="BH9" s="111" t="e">
        <f t="shared" si="1"/>
        <v>#DIV/0!</v>
      </c>
      <c r="BI9" s="111" t="e">
        <f t="shared" si="1"/>
        <v>#DIV/0!</v>
      </c>
      <c r="BJ9" s="111" t="e">
        <f t="shared" si="1"/>
        <v>#DIV/0!</v>
      </c>
      <c r="BK9" s="111" t="e">
        <f t="shared" si="1"/>
        <v>#DIV/0!</v>
      </c>
      <c r="BL9" s="111" t="e">
        <f t="shared" si="1"/>
        <v>#DIV/0!</v>
      </c>
      <c r="BM9" s="111" t="e">
        <f t="shared" si="1"/>
        <v>#DIV/0!</v>
      </c>
      <c r="BN9" s="111" t="e">
        <f t="shared" si="1"/>
        <v>#DIV/0!</v>
      </c>
      <c r="BO9" s="111" t="e">
        <f t="shared" si="1"/>
        <v>#DIV/0!</v>
      </c>
      <c r="BP9" s="111" t="e">
        <f t="shared" si="1"/>
        <v>#DIV/0!</v>
      </c>
      <c r="BQ9" s="111" t="e">
        <f t="shared" si="1"/>
        <v>#DIV/0!</v>
      </c>
      <c r="BR9" s="111" t="e">
        <f t="shared" si="1"/>
        <v>#DIV/0!</v>
      </c>
      <c r="BS9" s="111" t="e">
        <f>BB9/SUM(O9:INDEX(O9:Q9,IF($B$3&lt;3,$B$3,3)))</f>
        <v>#DIV/0!</v>
      </c>
      <c r="BT9" s="111" t="e">
        <f>BC9/SUM(R9:INDEX(R9:T9,IF($B$3&lt;7,$B$3-3,3)))</f>
        <v>#DIV/0!</v>
      </c>
      <c r="BU9" s="111" t="e">
        <f t="shared" si="2"/>
        <v>#DIV/0!</v>
      </c>
      <c r="BV9" s="111" t="e">
        <f t="shared" si="2"/>
        <v>#DIV/0!</v>
      </c>
      <c r="BW9" s="111" t="e">
        <f t="shared" si="4"/>
        <v>#DIV/0!</v>
      </c>
    </row>
    <row r="10" spans="1:75" x14ac:dyDescent="0.25">
      <c r="A10" s="20" t="str">
        <f t="shared" si="0"/>
        <v>APE_by_rookie_GENLION:7-12mth</v>
      </c>
      <c r="B10" t="s">
        <v>1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U10" s="6"/>
      <c r="V10" s="6"/>
      <c r="X10" s="6"/>
      <c r="Y10" s="6"/>
      <c r="Z10" s="6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31"/>
      <c r="AL10" s="31"/>
      <c r="AM10" s="31"/>
      <c r="AN10" s="31"/>
      <c r="AO10" s="31"/>
      <c r="AP10" s="166">
        <f>[16]APE!J32</f>
        <v>506.363</v>
      </c>
      <c r="AQ10" s="166">
        <f>[17]APE!J32</f>
        <v>1163.989</v>
      </c>
      <c r="AR10" s="166">
        <f>[18]APE!J32</f>
        <v>2121.54</v>
      </c>
      <c r="AS10" s="165">
        <f>[19]APE!T33</f>
        <v>1892.71</v>
      </c>
      <c r="AT10" s="165">
        <f>[20]APE!T33</f>
        <v>1420.3</v>
      </c>
      <c r="AU10" s="165">
        <f>[21]APE!T33</f>
        <v>1019.87</v>
      </c>
      <c r="AV10" s="165">
        <f>[22]APE!T33</f>
        <v>984.35</v>
      </c>
      <c r="AW10" s="18"/>
      <c r="AX10" s="18"/>
      <c r="AY10" s="18"/>
      <c r="AZ10" s="18"/>
      <c r="BA10" s="18"/>
      <c r="BB10" s="110">
        <f>SUM(AP10:INDEX(AP10:AR10,IF($B$3&lt;3,$B$3,3)))</f>
        <v>3791.8919999999998</v>
      </c>
      <c r="BC10" s="110">
        <f>SUM(AS10:INDEX(AS10:AU10,IF(AND($B$3&gt;3,$B$3&lt;7),$B$3-3,0)))</f>
        <v>4332.88</v>
      </c>
      <c r="BD10" s="110">
        <f>SUM(AV10:INDEX(AV10:AX10,IF(AND($B$3&gt;6,$B$3&lt;10),$B$3-6,0)))</f>
        <v>984.35</v>
      </c>
      <c r="BE10" s="110">
        <f>SUM(AY10:INDEX(AY10:BA10,IF($B$3&gt;9,$B$3-9,0)))</f>
        <v>0</v>
      </c>
      <c r="BF10" s="110">
        <f>SUM($AP10:INDEX(AP10:BA10,$B$3))</f>
        <v>9109.1219999999994</v>
      </c>
      <c r="BG10" s="125" t="e">
        <f t="shared" si="3"/>
        <v>#DIV/0!</v>
      </c>
      <c r="BH10" s="111" t="e">
        <f t="shared" si="1"/>
        <v>#DIV/0!</v>
      </c>
      <c r="BI10" s="111" t="e">
        <f t="shared" si="1"/>
        <v>#DIV/0!</v>
      </c>
      <c r="BJ10" s="111" t="e">
        <f t="shared" si="1"/>
        <v>#DIV/0!</v>
      </c>
      <c r="BK10" s="111" t="e">
        <f t="shared" si="1"/>
        <v>#DIV/0!</v>
      </c>
      <c r="BL10" s="111" t="e">
        <f t="shared" si="1"/>
        <v>#DIV/0!</v>
      </c>
      <c r="BM10" s="111" t="e">
        <f t="shared" si="1"/>
        <v>#DIV/0!</v>
      </c>
      <c r="BN10" s="111" t="e">
        <f t="shared" si="1"/>
        <v>#DIV/0!</v>
      </c>
      <c r="BO10" s="111" t="e">
        <f t="shared" si="1"/>
        <v>#DIV/0!</v>
      </c>
      <c r="BP10" s="111" t="e">
        <f t="shared" si="1"/>
        <v>#DIV/0!</v>
      </c>
      <c r="BQ10" s="111" t="e">
        <f t="shared" si="1"/>
        <v>#DIV/0!</v>
      </c>
      <c r="BR10" s="111" t="e">
        <f t="shared" si="1"/>
        <v>#DIV/0!</v>
      </c>
      <c r="BS10" s="111" t="e">
        <f>BB10/SUM(O10:INDEX(O10:Q10,IF($B$3&lt;3,$B$3,3)))</f>
        <v>#DIV/0!</v>
      </c>
      <c r="BT10" s="111" t="e">
        <f>BC10/SUM(R10:INDEX(R10:T10,IF($B$3&lt;7,$B$3-3,3)))</f>
        <v>#DIV/0!</v>
      </c>
      <c r="BU10" s="111" t="e">
        <f t="shared" si="2"/>
        <v>#DIV/0!</v>
      </c>
      <c r="BV10" s="111" t="e">
        <f t="shared" si="2"/>
        <v>#DIV/0!</v>
      </c>
      <c r="BW10" s="111" t="e">
        <f t="shared" si="4"/>
        <v>#DIV/0!</v>
      </c>
    </row>
    <row r="11" spans="1:75" x14ac:dyDescent="0.25">
      <c r="A11" s="20" t="str">
        <f t="shared" si="0"/>
        <v>APE_by_rookie_GENLION:13+mth</v>
      </c>
      <c r="B11" t="s">
        <v>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U11" s="6"/>
      <c r="V11" s="6"/>
      <c r="X11" s="6"/>
      <c r="Y11" s="6"/>
      <c r="Z11" s="6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31"/>
      <c r="AL11" s="31"/>
      <c r="AM11" s="31"/>
      <c r="AN11" s="31"/>
      <c r="AO11" s="31"/>
      <c r="AP11" s="166">
        <f>[16]APE!J33</f>
        <v>1340.424</v>
      </c>
      <c r="AQ11" s="166">
        <f>[17]APE!J33</f>
        <v>1857.0685000000001</v>
      </c>
      <c r="AR11" s="166">
        <f>[18]APE!J33</f>
        <v>1777.13</v>
      </c>
      <c r="AS11" s="165">
        <f>[19]APE!T34</f>
        <v>2295.9299999999998</v>
      </c>
      <c r="AT11" s="165">
        <f>[20]APE!T34</f>
        <v>2065.11</v>
      </c>
      <c r="AU11" s="165">
        <f>[21]APE!T34</f>
        <v>2052.37</v>
      </c>
      <c r="AV11" s="165">
        <f>[22]APE!T34</f>
        <v>1787.3</v>
      </c>
      <c r="AW11" s="18"/>
      <c r="AX11" s="18"/>
      <c r="AY11" s="18"/>
      <c r="AZ11" s="18"/>
      <c r="BA11" s="18"/>
      <c r="BB11" s="110">
        <f>SUM(AP11:INDEX(AP11:AR11,IF($B$3&lt;3,$B$3,3)))</f>
        <v>4974.6225000000004</v>
      </c>
      <c r="BC11" s="110">
        <f>SUM(AS11:INDEX(AS11:AU11,IF(AND($B$3&gt;3,$B$3&lt;7),$B$3-3,0)))</f>
        <v>6413.41</v>
      </c>
      <c r="BD11" s="110">
        <f>SUM(AV11:INDEX(AV11:AX11,IF(AND($B$3&gt;6,$B$3&lt;10),$B$3-6,0)))</f>
        <v>1787.3</v>
      </c>
      <c r="BE11" s="110">
        <f>SUM(AY11:INDEX(AY11:BA11,IF($B$3&gt;9,$B$3-9,0)))</f>
        <v>0</v>
      </c>
      <c r="BF11" s="110">
        <f>SUM($AP11:INDEX(AP11:BA11,$B$3))</f>
        <v>13175.3325</v>
      </c>
      <c r="BG11" s="125" t="e">
        <f t="shared" si="3"/>
        <v>#DIV/0!</v>
      </c>
      <c r="BH11" s="111" t="e">
        <f t="shared" si="1"/>
        <v>#DIV/0!</v>
      </c>
      <c r="BI11" s="111" t="e">
        <f t="shared" si="1"/>
        <v>#DIV/0!</v>
      </c>
      <c r="BJ11" s="111" t="e">
        <f t="shared" si="1"/>
        <v>#DIV/0!</v>
      </c>
      <c r="BK11" s="111" t="e">
        <f t="shared" si="1"/>
        <v>#DIV/0!</v>
      </c>
      <c r="BL11" s="111" t="e">
        <f t="shared" si="1"/>
        <v>#DIV/0!</v>
      </c>
      <c r="BM11" s="111" t="e">
        <f t="shared" si="1"/>
        <v>#DIV/0!</v>
      </c>
      <c r="BN11" s="111" t="e">
        <f t="shared" si="1"/>
        <v>#DIV/0!</v>
      </c>
      <c r="BO11" s="111" t="e">
        <f t="shared" si="1"/>
        <v>#DIV/0!</v>
      </c>
      <c r="BP11" s="111" t="e">
        <f t="shared" si="1"/>
        <v>#DIV/0!</v>
      </c>
      <c r="BQ11" s="111" t="e">
        <f t="shared" si="1"/>
        <v>#DIV/0!</v>
      </c>
      <c r="BR11" s="111" t="e">
        <f t="shared" si="1"/>
        <v>#DIV/0!</v>
      </c>
      <c r="BS11" s="111" t="e">
        <f>BB11/SUM(O11:INDEX(O11:Q11,IF($B$3&lt;3,$B$3,3)))</f>
        <v>#DIV/0!</v>
      </c>
      <c r="BT11" s="111" t="e">
        <f>BC11/SUM(R11:INDEX(R11:T11,IF($B$3&lt;7,$B$3-3,3)))</f>
        <v>#DIV/0!</v>
      </c>
      <c r="BU11" s="111" t="e">
        <f t="shared" si="2"/>
        <v>#DIV/0!</v>
      </c>
      <c r="BV11" s="111" t="e">
        <f t="shared" si="2"/>
        <v>#DIV/0!</v>
      </c>
      <c r="BW11" s="111" t="e">
        <f t="shared" si="4"/>
        <v>#DIV/0!</v>
      </c>
    </row>
    <row r="12" spans="1:75" x14ac:dyDescent="0.25">
      <c r="A12" s="20" t="str">
        <f t="shared" si="0"/>
        <v>APE_by_rookie_GENLION:SA</v>
      </c>
      <c r="B12" s="135" t="s">
        <v>136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U12" s="6"/>
      <c r="V12" s="6"/>
      <c r="X12" s="6"/>
      <c r="Y12" s="6"/>
      <c r="Z12" s="6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31"/>
      <c r="AL12" s="31"/>
      <c r="AM12" s="31"/>
      <c r="AN12" s="31"/>
      <c r="AO12" s="31"/>
      <c r="AP12" s="166"/>
      <c r="AQ12" s="166">
        <f>[17]APE!J34</f>
        <v>1074.5830000000001</v>
      </c>
      <c r="AR12" s="166">
        <f>[18]APE!J34</f>
        <v>800.98</v>
      </c>
      <c r="AS12" s="165">
        <f>[19]APE!T35</f>
        <v>2179.69</v>
      </c>
      <c r="AT12" s="165">
        <f>[20]APE!T35</f>
        <v>894.63</v>
      </c>
      <c r="AU12" s="165">
        <f>[21]APE!T35</f>
        <v>654.79999999999995</v>
      </c>
      <c r="AV12" s="165">
        <f>[22]APE!T35</f>
        <v>752.53</v>
      </c>
      <c r="AW12" s="18"/>
      <c r="AX12" s="18"/>
      <c r="AY12" s="18"/>
      <c r="AZ12" s="18"/>
      <c r="BA12" s="18"/>
      <c r="BB12" s="110">
        <f>SUM(AP12:INDEX(AP12:AR12,IF($B$3&lt;3,$B$3,3)))</f>
        <v>1875.5630000000001</v>
      </c>
      <c r="BC12" s="110">
        <f>SUM(AS12:INDEX(AS12:AU12,IF(AND($B$3&gt;3,$B$3&lt;7),$B$3-3,0)))</f>
        <v>3729.12</v>
      </c>
      <c r="BD12" s="110">
        <f>SUM(AV12:INDEX(AV12:AX12,IF(AND($B$3&gt;6,$B$3&lt;10),$B$3-6,0)))</f>
        <v>752.53</v>
      </c>
      <c r="BE12" s="110"/>
      <c r="BF12" s="110">
        <f>SUM($AP12:INDEX(AP12:BA12,$B$3))</f>
        <v>6357.2129999999997</v>
      </c>
      <c r="BG12" s="125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</row>
    <row r="13" spans="1:75" s="19" customFormat="1" x14ac:dyDescent="0.25">
      <c r="A13" s="20" t="str">
        <f t="shared" si="0"/>
        <v xml:space="preserve">APE_by_rookie_GENLION:Total </v>
      </c>
      <c r="B13" s="1" t="s">
        <v>3</v>
      </c>
      <c r="C13" s="15">
        <f>SUM(C5:C11)</f>
        <v>0</v>
      </c>
      <c r="D13" s="15">
        <f t="shared" ref="D13:AE13" si="5">SUM(D5:D11)</f>
        <v>0</v>
      </c>
      <c r="E13" s="15">
        <f t="shared" si="5"/>
        <v>0</v>
      </c>
      <c r="F13" s="15">
        <f t="shared" si="5"/>
        <v>0</v>
      </c>
      <c r="G13" s="15">
        <f t="shared" si="5"/>
        <v>0</v>
      </c>
      <c r="H13" s="15">
        <f t="shared" si="5"/>
        <v>0</v>
      </c>
      <c r="I13" s="15">
        <f t="shared" si="5"/>
        <v>0</v>
      </c>
      <c r="J13" s="15">
        <f t="shared" si="5"/>
        <v>0</v>
      </c>
      <c r="K13" s="15">
        <f t="shared" si="5"/>
        <v>0</v>
      </c>
      <c r="L13" s="15">
        <f t="shared" si="5"/>
        <v>0</v>
      </c>
      <c r="M13" s="15">
        <f t="shared" si="5"/>
        <v>0</v>
      </c>
      <c r="N13" s="15">
        <f t="shared" si="5"/>
        <v>0</v>
      </c>
      <c r="O13" s="15">
        <f t="shared" si="5"/>
        <v>0</v>
      </c>
      <c r="P13" s="15">
        <f t="shared" si="5"/>
        <v>0</v>
      </c>
      <c r="Q13" s="15">
        <f t="shared" si="5"/>
        <v>0</v>
      </c>
      <c r="R13" s="15">
        <f t="shared" si="5"/>
        <v>0</v>
      </c>
      <c r="S13" s="15">
        <f t="shared" si="5"/>
        <v>0</v>
      </c>
      <c r="T13" s="15">
        <f t="shared" si="5"/>
        <v>0</v>
      </c>
      <c r="U13" s="15">
        <f t="shared" si="5"/>
        <v>0</v>
      </c>
      <c r="V13" s="15">
        <f t="shared" si="5"/>
        <v>0</v>
      </c>
      <c r="W13" s="15">
        <f t="shared" si="5"/>
        <v>0</v>
      </c>
      <c r="X13" s="15">
        <f t="shared" si="5"/>
        <v>0</v>
      </c>
      <c r="Y13" s="106">
        <f t="shared" si="5"/>
        <v>0</v>
      </c>
      <c r="Z13" s="15">
        <f t="shared" si="5"/>
        <v>0</v>
      </c>
      <c r="AA13" s="7">
        <f t="shared" si="5"/>
        <v>0</v>
      </c>
      <c r="AB13" s="7">
        <f t="shared" si="5"/>
        <v>0</v>
      </c>
      <c r="AC13" s="7">
        <f t="shared" si="5"/>
        <v>0</v>
      </c>
      <c r="AD13" s="7">
        <f t="shared" si="5"/>
        <v>0</v>
      </c>
      <c r="AE13" s="7">
        <f t="shared" si="5"/>
        <v>0</v>
      </c>
      <c r="AF13" s="7">
        <f>SUM(AF5:AF11)</f>
        <v>0</v>
      </c>
      <c r="AG13" s="7">
        <f t="shared" ref="AG13:AJ13" si="6">SUM(AG5:AG11)</f>
        <v>0</v>
      </c>
      <c r="AH13" s="7">
        <f t="shared" si="6"/>
        <v>0</v>
      </c>
      <c r="AI13" s="7">
        <f t="shared" ref="AI13:AI15" si="7">SUM(I13:K13)</f>
        <v>0</v>
      </c>
      <c r="AJ13" s="7">
        <f t="shared" si="6"/>
        <v>0</v>
      </c>
      <c r="AK13" s="31" t="e">
        <f t="shared" ref="AK13" si="8">AA13/AF13-1</f>
        <v>#DIV/0!</v>
      </c>
      <c r="AL13" s="31" t="e">
        <f t="shared" ref="AL13:AM13" si="9">AB13/AG13-1</f>
        <v>#DIV/0!</v>
      </c>
      <c r="AM13" s="31" t="e">
        <f t="shared" si="9"/>
        <v>#DIV/0!</v>
      </c>
      <c r="AN13" s="31" t="e">
        <f>SUM(U13:W13)/SUM(I13:INDEX(I13:K13,MOD($B$3,3)))-1</f>
        <v>#DIV/0!</v>
      </c>
      <c r="AO13" s="31" t="e">
        <f>AE13/SUM(L13:INDEX(L13:N13,MOD($B$3,3)))-1</f>
        <v>#DIV/0!</v>
      </c>
      <c r="AP13" s="7">
        <f t="shared" ref="AP13" si="10">SUM(AP5:AP11)</f>
        <v>12860.545999999998</v>
      </c>
      <c r="AQ13" s="7">
        <f t="shared" ref="AQ13:AV13" si="11">SUM(AQ5:AQ12)</f>
        <v>19993.790000000019</v>
      </c>
      <c r="AR13" s="7">
        <f t="shared" si="11"/>
        <v>29783.820000000003</v>
      </c>
      <c r="AS13" s="7">
        <f t="shared" si="11"/>
        <v>26742.6</v>
      </c>
      <c r="AT13" s="7">
        <f t="shared" si="11"/>
        <v>21954.45</v>
      </c>
      <c r="AU13" s="7">
        <f t="shared" si="11"/>
        <v>27361.119999999999</v>
      </c>
      <c r="AV13" s="7">
        <f t="shared" si="11"/>
        <v>22251.199999999997</v>
      </c>
      <c r="AW13" s="17"/>
      <c r="AX13" s="17"/>
      <c r="AY13" s="17"/>
      <c r="AZ13" s="17"/>
      <c r="BA13" s="17"/>
      <c r="BB13" s="116">
        <f>SUM(AP13:INDEX(AP13:AR13,IF($B$3&lt;3,$B$3,3)))</f>
        <v>62638.156000000017</v>
      </c>
      <c r="BC13" s="116">
        <f>SUM(AS13:INDEX(AS13:AU13,IF(AND($B$3&gt;3,$B$3&lt;7),$B$3-3,0)))</f>
        <v>76058.17</v>
      </c>
      <c r="BD13" s="116">
        <f>SUM(AV13:INDEX(AV13:AX13,IF(AND($B$3&gt;6,$B$3&lt;10),$B$3-6,0)))</f>
        <v>22251.199999999997</v>
      </c>
      <c r="BE13" s="116">
        <f>SUM(AY13:INDEX(AY13:BA13,IF($B$3&gt;9,$B$3-9,0)))</f>
        <v>0</v>
      </c>
      <c r="BF13" s="116">
        <f>SUM($AP13:INDEX(AP13:BA13,$B$3))</f>
        <v>160947.52600000001</v>
      </c>
      <c r="BG13" s="126" t="e">
        <f t="shared" si="3"/>
        <v>#DIV/0!</v>
      </c>
      <c r="BH13" s="111" t="e">
        <f t="shared" si="1"/>
        <v>#DIV/0!</v>
      </c>
      <c r="BI13" s="111" t="e">
        <f t="shared" si="1"/>
        <v>#DIV/0!</v>
      </c>
      <c r="BJ13" s="111" t="e">
        <f t="shared" si="1"/>
        <v>#DIV/0!</v>
      </c>
      <c r="BK13" s="111" t="e">
        <f t="shared" si="1"/>
        <v>#DIV/0!</v>
      </c>
      <c r="BL13" s="111" t="e">
        <f t="shared" si="1"/>
        <v>#DIV/0!</v>
      </c>
      <c r="BM13" s="111" t="e">
        <f t="shared" si="1"/>
        <v>#DIV/0!</v>
      </c>
      <c r="BN13" s="111" t="e">
        <f t="shared" si="1"/>
        <v>#DIV/0!</v>
      </c>
      <c r="BO13" s="111" t="e">
        <f t="shared" si="1"/>
        <v>#DIV/0!</v>
      </c>
      <c r="BP13" s="111" t="e">
        <f t="shared" si="1"/>
        <v>#DIV/0!</v>
      </c>
      <c r="BQ13" s="111" t="e">
        <f t="shared" si="1"/>
        <v>#DIV/0!</v>
      </c>
      <c r="BR13" s="111" t="e">
        <f t="shared" si="1"/>
        <v>#DIV/0!</v>
      </c>
      <c r="BS13" s="111" t="e">
        <f>BB13/SUM(O13:INDEX(O13:Q13,IF($B$3&lt;3,$B$3,3)))</f>
        <v>#DIV/0!</v>
      </c>
      <c r="BT13" s="111" t="e">
        <f>BC13/SUM(R13:INDEX(R13:T13,IF($B$3&lt;7,$B$3-3,3)))</f>
        <v>#DIV/0!</v>
      </c>
      <c r="BU13" s="111" t="e">
        <f t="shared" si="2"/>
        <v>#DIV/0!</v>
      </c>
      <c r="BV13" s="111" t="e">
        <f t="shared" si="2"/>
        <v>#DIV/0!</v>
      </c>
      <c r="BW13" s="111" t="e">
        <f t="shared" si="4"/>
        <v>#DIV/0!</v>
      </c>
    </row>
    <row r="14" spans="1:75" x14ac:dyDescent="0.25">
      <c r="A14" s="20" t="str">
        <f t="shared" si="0"/>
        <v>APE_by_rookie_GENLION:SP 100%</v>
      </c>
      <c r="B14" t="s">
        <v>63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31"/>
      <c r="AL14" s="31"/>
      <c r="AM14" s="31"/>
      <c r="AN14" s="31"/>
      <c r="AO14" s="31"/>
      <c r="AP14" s="69">
        <f>SUM([16]APE!$N$27:$N$33)</f>
        <v>5714.2383999999993</v>
      </c>
      <c r="AQ14" s="69">
        <f>SUM([17]APE!$N$27:$N$33)</f>
        <v>2633.4139999999998</v>
      </c>
      <c r="AR14" s="69">
        <f>SUM([18]APE!$N$27:$N$34)</f>
        <v>8294.57</v>
      </c>
      <c r="AS14" s="69">
        <f>SUM([19]APE!$N$28:$N$35)</f>
        <v>1779.5429999999999</v>
      </c>
      <c r="AT14" s="69">
        <f>SUM([20]APE!$N$28:$N$35)</f>
        <v>10025.269999999999</v>
      </c>
      <c r="AU14" s="69">
        <f>SUM([21]APE!$N$28:$N$35)</f>
        <v>8392.49</v>
      </c>
      <c r="AV14" s="69">
        <f>SUM([22]APE!$X$28:$X$34)</f>
        <v>2138.5100000000002</v>
      </c>
      <c r="AW14" s="18"/>
      <c r="AX14" s="18"/>
      <c r="AY14" s="18"/>
      <c r="AZ14" s="18"/>
      <c r="BA14" s="18"/>
      <c r="BB14" s="116">
        <f>SUM(AP14:INDEX(AP14:AR14,IF($B$3&lt;3,$B$3,3)))</f>
        <v>16642.222399999999</v>
      </c>
      <c r="BC14" s="116">
        <f>SUM(AS14:INDEX(AS14:AU14,IF(AND($B$3&gt;3,$B$3&lt;7),$B$3-3,0)))</f>
        <v>20197.303</v>
      </c>
      <c r="BD14" s="116">
        <f>SUM(AV14:INDEX(AV14:AX14,IF(AND($B$3&gt;6,$B$3&lt;10),$B$3-6,0)))</f>
        <v>2138.5100000000002</v>
      </c>
      <c r="BE14" s="116">
        <f>SUM(AY14:INDEX(AY14:BA14,IF($B$3&gt;9,$B$3-9,0)))</f>
        <v>0</v>
      </c>
      <c r="BF14" s="116">
        <f>SUM($AP14:INDEX(AP14:BA14,$B$3))</f>
        <v>38978.035400000001</v>
      </c>
      <c r="BG14" s="125" t="e">
        <f t="shared" si="3"/>
        <v>#DIV/0!</v>
      </c>
      <c r="BH14" s="111" t="e">
        <f t="shared" si="1"/>
        <v>#DIV/0!</v>
      </c>
      <c r="BI14" s="111" t="e">
        <f t="shared" si="1"/>
        <v>#DIV/0!</v>
      </c>
      <c r="BJ14" s="111" t="e">
        <f t="shared" si="1"/>
        <v>#DIV/0!</v>
      </c>
      <c r="BK14" s="111" t="e">
        <f t="shared" si="1"/>
        <v>#DIV/0!</v>
      </c>
      <c r="BL14" s="111" t="e">
        <f t="shared" si="1"/>
        <v>#DIV/0!</v>
      </c>
      <c r="BM14" s="111" t="e">
        <f t="shared" si="1"/>
        <v>#DIV/0!</v>
      </c>
      <c r="BN14" s="111" t="e">
        <f t="shared" si="1"/>
        <v>#DIV/0!</v>
      </c>
      <c r="BO14" s="111" t="e">
        <f t="shared" si="1"/>
        <v>#DIV/0!</v>
      </c>
      <c r="BP14" s="111" t="e">
        <f t="shared" si="1"/>
        <v>#DIV/0!</v>
      </c>
      <c r="BQ14" s="111" t="e">
        <f t="shared" si="1"/>
        <v>#DIV/0!</v>
      </c>
      <c r="BR14" s="111" t="e">
        <f t="shared" si="1"/>
        <v>#DIV/0!</v>
      </c>
      <c r="BS14" s="111" t="e">
        <f>BB14/SUM(O14:INDEX(O14:Q14,IF($B$3&lt;3,$B$3,3)))</f>
        <v>#DIV/0!</v>
      </c>
      <c r="BT14" s="111" t="e">
        <f>BC14/SUM(R14:INDEX(R14:T14,IF($B$3&lt;7,$B$3-3,3)))</f>
        <v>#DIV/0!</v>
      </c>
      <c r="BU14" s="111" t="e">
        <f t="shared" si="2"/>
        <v>#DIV/0!</v>
      </c>
      <c r="BV14" s="111" t="e">
        <f t="shared" si="2"/>
        <v>#DIV/0!</v>
      </c>
      <c r="BW14" s="111" t="e">
        <f t="shared" si="4"/>
        <v>#DIV/0!</v>
      </c>
    </row>
    <row r="15" spans="1:75" x14ac:dyDescent="0.25">
      <c r="A15" s="20" t="s">
        <v>229</v>
      </c>
      <c r="C15" s="6">
        <f t="shared" ref="C15:AJ15" si="12">C13+C14*0.1</f>
        <v>0</v>
      </c>
      <c r="D15" s="6">
        <f t="shared" si="12"/>
        <v>0</v>
      </c>
      <c r="E15" s="6">
        <f t="shared" si="12"/>
        <v>0</v>
      </c>
      <c r="F15" s="6">
        <f t="shared" si="12"/>
        <v>0</v>
      </c>
      <c r="G15" s="6">
        <f t="shared" si="12"/>
        <v>0</v>
      </c>
      <c r="H15" s="6">
        <f t="shared" si="12"/>
        <v>0</v>
      </c>
      <c r="I15" s="6">
        <f t="shared" si="12"/>
        <v>0</v>
      </c>
      <c r="J15" s="6">
        <f t="shared" si="12"/>
        <v>0</v>
      </c>
      <c r="K15" s="6">
        <f t="shared" si="12"/>
        <v>0</v>
      </c>
      <c r="L15" s="6">
        <f t="shared" si="12"/>
        <v>0</v>
      </c>
      <c r="M15" s="6">
        <f t="shared" si="12"/>
        <v>0</v>
      </c>
      <c r="N15" s="6">
        <f t="shared" si="12"/>
        <v>0</v>
      </c>
      <c r="O15" s="6">
        <f t="shared" si="12"/>
        <v>0</v>
      </c>
      <c r="P15" s="6">
        <f t="shared" si="12"/>
        <v>0</v>
      </c>
      <c r="Q15" s="6">
        <f t="shared" si="12"/>
        <v>0</v>
      </c>
      <c r="R15" s="6">
        <f t="shared" si="12"/>
        <v>0</v>
      </c>
      <c r="S15" s="6">
        <f t="shared" si="12"/>
        <v>0</v>
      </c>
      <c r="T15" s="6">
        <f t="shared" si="12"/>
        <v>0</v>
      </c>
      <c r="U15" s="6">
        <f t="shared" si="12"/>
        <v>0</v>
      </c>
      <c r="V15" s="6">
        <f t="shared" si="12"/>
        <v>0</v>
      </c>
      <c r="W15" s="6">
        <f t="shared" si="12"/>
        <v>0</v>
      </c>
      <c r="X15" s="6">
        <f t="shared" si="12"/>
        <v>0</v>
      </c>
      <c r="Y15" s="6">
        <f t="shared" si="12"/>
        <v>0</v>
      </c>
      <c r="Z15" s="6">
        <f t="shared" si="12"/>
        <v>0</v>
      </c>
      <c r="AA15" s="22">
        <f t="shared" si="12"/>
        <v>0</v>
      </c>
      <c r="AB15" s="22">
        <f t="shared" si="12"/>
        <v>0</v>
      </c>
      <c r="AC15" s="22">
        <f t="shared" si="12"/>
        <v>0</v>
      </c>
      <c r="AD15" s="22">
        <f t="shared" si="12"/>
        <v>0</v>
      </c>
      <c r="AE15" s="22">
        <f t="shared" si="12"/>
        <v>0</v>
      </c>
      <c r="AF15" s="22">
        <f t="shared" si="12"/>
        <v>0</v>
      </c>
      <c r="AG15" s="22">
        <f t="shared" si="12"/>
        <v>0</v>
      </c>
      <c r="AH15" s="22">
        <f t="shared" si="12"/>
        <v>0</v>
      </c>
      <c r="AI15" s="22">
        <f t="shared" si="7"/>
        <v>0</v>
      </c>
      <c r="AJ15" s="22">
        <f t="shared" si="12"/>
        <v>0</v>
      </c>
      <c r="AK15" s="18"/>
      <c r="AL15" s="18"/>
      <c r="AM15" s="18"/>
      <c r="AN15" s="18"/>
      <c r="AO15" s="18"/>
      <c r="AP15" s="6">
        <f t="shared" ref="AP15:AV15" si="13">AP13+AP14*0.1</f>
        <v>13431.969839999998</v>
      </c>
      <c r="AQ15" s="6">
        <f t="shared" si="13"/>
        <v>20257.13140000002</v>
      </c>
      <c r="AR15" s="6">
        <f>AR13+AR14*0.1</f>
        <v>30613.277000000002</v>
      </c>
      <c r="AS15" s="6">
        <f t="shared" si="13"/>
        <v>26920.5543</v>
      </c>
      <c r="AT15" s="6">
        <f t="shared" si="13"/>
        <v>22956.976999999999</v>
      </c>
      <c r="AU15" s="6">
        <f t="shared" si="13"/>
        <v>28200.368999999999</v>
      </c>
      <c r="AV15" s="6">
        <f t="shared" si="13"/>
        <v>22465.050999999996</v>
      </c>
      <c r="AW15" s="18"/>
      <c r="AX15" s="18"/>
      <c r="AY15" s="18"/>
      <c r="AZ15" s="18"/>
      <c r="BA15" s="18"/>
      <c r="BB15" s="117">
        <f t="shared" ref="BB15:BF15" si="14">BB13+BB14*0.1</f>
        <v>64302.37824000002</v>
      </c>
      <c r="BC15" s="117">
        <f t="shared" si="14"/>
        <v>78077.900299999994</v>
      </c>
      <c r="BD15" s="117">
        <f t="shared" si="14"/>
        <v>22465.050999999996</v>
      </c>
      <c r="BE15" s="117">
        <f t="shared" si="14"/>
        <v>0</v>
      </c>
      <c r="BF15" s="117">
        <f t="shared" si="14"/>
        <v>164845.32954000001</v>
      </c>
      <c r="BG15" s="125" t="e">
        <f t="shared" si="3"/>
        <v>#DIV/0!</v>
      </c>
      <c r="BH15" s="111" t="e">
        <f t="shared" si="3"/>
        <v>#DIV/0!</v>
      </c>
      <c r="BI15" s="111" t="e">
        <f t="shared" si="1"/>
        <v>#DIV/0!</v>
      </c>
      <c r="BJ15" s="111" t="e">
        <f t="shared" si="1"/>
        <v>#DIV/0!</v>
      </c>
      <c r="BK15" s="111" t="e">
        <f t="shared" si="1"/>
        <v>#DIV/0!</v>
      </c>
      <c r="BL15" s="18"/>
      <c r="BM15" s="18"/>
      <c r="BN15" s="18"/>
      <c r="BO15" s="18"/>
      <c r="BP15" s="18"/>
      <c r="BQ15" s="18"/>
      <c r="BR15" s="18"/>
      <c r="BS15" s="111" t="e">
        <f>BB15/SUM(O15:INDEX(O15:Q15,IF($B$3&lt;3,$B$3,3)))</f>
        <v>#DIV/0!</v>
      </c>
      <c r="BT15" s="111" t="e">
        <f>BC15/SUM(R15:INDEX(R15:T15,IF($B$3&lt;7,$B$3-3,3)))</f>
        <v>#DIV/0!</v>
      </c>
      <c r="BU15" s="18"/>
      <c r="BV15" s="18"/>
      <c r="BW15" s="111" t="e">
        <f>BF15/AA15</f>
        <v>#DIV/0!</v>
      </c>
    </row>
    <row r="16" spans="1:75" x14ac:dyDescent="0.25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18"/>
      <c r="AL16" s="18"/>
      <c r="AM16" s="18"/>
      <c r="AN16" s="18"/>
      <c r="AO16" s="18"/>
      <c r="AP16" s="6"/>
      <c r="AQ16" s="6"/>
      <c r="AR16" s="6"/>
      <c r="AS16" s="6"/>
      <c r="AT16" s="6"/>
      <c r="AU16" s="6"/>
      <c r="AV16" s="6"/>
      <c r="AW16" s="18"/>
      <c r="AX16" s="18"/>
      <c r="AY16" s="18"/>
      <c r="AZ16" s="18"/>
      <c r="BA16" s="18"/>
      <c r="BB16" s="117"/>
      <c r="BC16" s="117"/>
      <c r="BD16" s="117"/>
      <c r="BE16" s="117"/>
      <c r="BF16" s="117"/>
      <c r="BG16" s="125"/>
      <c r="BH16" s="111"/>
      <c r="BI16" s="111"/>
      <c r="BJ16" s="111"/>
      <c r="BK16" s="111"/>
      <c r="BL16" s="18"/>
      <c r="BM16" s="18"/>
      <c r="BN16" s="18"/>
      <c r="BO16" s="18"/>
      <c r="BP16" s="18"/>
      <c r="BQ16" s="18"/>
      <c r="BR16" s="18"/>
      <c r="BS16" s="111"/>
      <c r="BT16" s="111"/>
      <c r="BU16" s="18"/>
      <c r="BV16" s="18"/>
      <c r="BW16" s="111"/>
    </row>
    <row r="17" spans="1:75" s="19" customFormat="1" x14ac:dyDescent="0.25">
      <c r="A17" s="17"/>
      <c r="B17" s="2" t="s">
        <v>9</v>
      </c>
      <c r="C17" s="3">
        <v>42005</v>
      </c>
      <c r="D17" s="3">
        <v>42036</v>
      </c>
      <c r="E17" s="3">
        <v>42064</v>
      </c>
      <c r="F17" s="3">
        <v>42095</v>
      </c>
      <c r="G17" s="3">
        <v>42125</v>
      </c>
      <c r="H17" s="3">
        <v>42156</v>
      </c>
      <c r="I17" s="3">
        <v>42186</v>
      </c>
      <c r="J17" s="3">
        <v>42217</v>
      </c>
      <c r="K17" s="3">
        <v>42248</v>
      </c>
      <c r="L17" s="3">
        <v>42278</v>
      </c>
      <c r="M17" s="3">
        <v>42309</v>
      </c>
      <c r="N17" s="3">
        <v>42339</v>
      </c>
      <c r="O17" s="3">
        <v>42370</v>
      </c>
      <c r="P17" s="3">
        <v>42401</v>
      </c>
      <c r="Q17" s="3">
        <v>42430</v>
      </c>
      <c r="R17" s="3">
        <v>42461</v>
      </c>
      <c r="S17" s="3">
        <v>42491</v>
      </c>
      <c r="T17" s="3">
        <v>42522</v>
      </c>
      <c r="U17" s="3">
        <v>42552</v>
      </c>
      <c r="V17" s="3">
        <v>42583</v>
      </c>
      <c r="W17" s="3">
        <v>42614</v>
      </c>
      <c r="X17" s="3">
        <v>42644</v>
      </c>
      <c r="Y17" s="3">
        <v>42675</v>
      </c>
      <c r="Z17" s="3">
        <v>42705</v>
      </c>
      <c r="AA17" s="29" t="str">
        <f>AA4</f>
        <v>YTD 7/16</v>
      </c>
      <c r="AB17" s="29" t="s">
        <v>19</v>
      </c>
      <c r="AC17" s="29" t="s">
        <v>20</v>
      </c>
      <c r="AD17" s="29" t="s">
        <v>21</v>
      </c>
      <c r="AE17" s="29" t="s">
        <v>22</v>
      </c>
      <c r="AF17" s="26" t="str">
        <f t="shared" ref="AF17:AJ17" si="15">AF4</f>
        <v>YTD 7/15</v>
      </c>
      <c r="AG17" s="26" t="str">
        <f t="shared" si="15"/>
        <v>Q1 '15</v>
      </c>
      <c r="AH17" s="26" t="str">
        <f t="shared" si="15"/>
        <v>Q2 '15</v>
      </c>
      <c r="AI17" s="26" t="str">
        <f t="shared" si="15"/>
        <v>Q3 '15</v>
      </c>
      <c r="AJ17" s="26" t="str">
        <f t="shared" si="15"/>
        <v>Q4 '15</v>
      </c>
      <c r="AK17" s="30" t="s">
        <v>27</v>
      </c>
      <c r="AL17" s="30" t="s">
        <v>29</v>
      </c>
      <c r="AM17" s="30" t="s">
        <v>30</v>
      </c>
      <c r="AN17" s="30" t="s">
        <v>31</v>
      </c>
      <c r="AO17" s="30" t="s">
        <v>32</v>
      </c>
      <c r="AP17" s="108">
        <v>42736</v>
      </c>
      <c r="AQ17" s="108">
        <v>42767</v>
      </c>
      <c r="AR17" s="108">
        <v>42795</v>
      </c>
      <c r="AS17" s="108">
        <v>42826</v>
      </c>
      <c r="AT17" s="108">
        <v>42856</v>
      </c>
      <c r="AU17" s="108">
        <v>42887</v>
      </c>
      <c r="AV17" s="108">
        <v>42917</v>
      </c>
      <c r="AW17" s="108">
        <v>42948</v>
      </c>
      <c r="AX17" s="108">
        <v>42979</v>
      </c>
      <c r="AY17" s="108">
        <v>43009</v>
      </c>
      <c r="AZ17" s="108">
        <v>43040</v>
      </c>
      <c r="BA17" s="108">
        <v>43070</v>
      </c>
      <c r="BB17" s="29" t="s">
        <v>123</v>
      </c>
      <c r="BC17" s="29" t="s">
        <v>124</v>
      </c>
      <c r="BD17" s="29" t="s">
        <v>125</v>
      </c>
      <c r="BE17" s="29" t="s">
        <v>126</v>
      </c>
      <c r="BF17" s="29" t="str">
        <f>$BF$4</f>
        <v>YTD 7/17</v>
      </c>
      <c r="BG17" s="121">
        <v>42736</v>
      </c>
      <c r="BH17" s="108">
        <v>42767</v>
      </c>
      <c r="BI17" s="108">
        <v>42795</v>
      </c>
      <c r="BJ17" s="108">
        <v>42826</v>
      </c>
      <c r="BK17" s="108">
        <v>42856</v>
      </c>
      <c r="BL17" s="108">
        <v>42887</v>
      </c>
      <c r="BM17" s="108">
        <v>42917</v>
      </c>
      <c r="BN17" s="108">
        <v>42948</v>
      </c>
      <c r="BO17" s="108">
        <v>42979</v>
      </c>
      <c r="BP17" s="108">
        <v>43009</v>
      </c>
      <c r="BQ17" s="108">
        <v>43040</v>
      </c>
      <c r="BR17" s="108">
        <v>43070</v>
      </c>
      <c r="BS17" s="29" t="s">
        <v>127</v>
      </c>
      <c r="BT17" s="29" t="s">
        <v>128</v>
      </c>
      <c r="BU17" s="29" t="s">
        <v>96</v>
      </c>
      <c r="BV17" s="29" t="s">
        <v>129</v>
      </c>
      <c r="BW17" s="112" t="str">
        <f>BW3</f>
        <v>YoY</v>
      </c>
    </row>
    <row r="18" spans="1:75" x14ac:dyDescent="0.25">
      <c r="A18" s="20" t="str">
        <f>$B$17&amp;"_by_rookie_GENLION:"&amp;TRIM(B18)</f>
        <v># Manpower_by_rookie_GENLION:MDRT/ GEN Lion (from Apr '17)</v>
      </c>
      <c r="B18" t="s">
        <v>157</v>
      </c>
      <c r="C18" s="6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31"/>
      <c r="AL18" s="31"/>
      <c r="AM18" s="31"/>
      <c r="AN18" s="31"/>
      <c r="AO18" s="31"/>
      <c r="AP18" s="22">
        <f>[16]MP!K33</f>
        <v>48</v>
      </c>
      <c r="AQ18" s="22">
        <f>[17]MP!K33</f>
        <v>48</v>
      </c>
      <c r="AR18" s="22">
        <f>[18]MP!K33</f>
        <v>48</v>
      </c>
      <c r="AS18" s="22">
        <f>[19]MP!K58</f>
        <v>339</v>
      </c>
      <c r="AT18" s="22">
        <f>[20]MP!K58</f>
        <v>336</v>
      </c>
      <c r="AU18" s="22">
        <f>[21]MP!K58</f>
        <v>316</v>
      </c>
      <c r="AV18" s="22">
        <f>[22]MP!K58</f>
        <v>292</v>
      </c>
      <c r="AW18" s="18"/>
      <c r="AX18" s="18"/>
      <c r="AY18" s="18"/>
      <c r="AZ18" s="18"/>
      <c r="BA18" s="18"/>
      <c r="BB18" s="22">
        <f>INDEX(AP18:AR18,IF($B$3&lt;3,$B$3,3))</f>
        <v>48</v>
      </c>
      <c r="BC18" s="22">
        <f>INDEX(AS18:AU18,IF($B$3&lt;7,$B$3-3,3))</f>
        <v>316</v>
      </c>
      <c r="BD18" s="22">
        <f>INDEX(AT18:AV18,IF($B$3&lt;7,$B$3-3,3))</f>
        <v>292</v>
      </c>
      <c r="BE18" s="18"/>
      <c r="BF18" s="22">
        <f>INDEX(AP18:BA18,$B$3)</f>
        <v>292</v>
      </c>
      <c r="BG18" s="122" t="e">
        <f>AP18/O18</f>
        <v>#DIV/0!</v>
      </c>
      <c r="BH18" s="111" t="e">
        <f>AQ18/P18</f>
        <v>#DIV/0!</v>
      </c>
      <c r="BI18" s="111" t="e">
        <f t="shared" ref="BI18:BL24" si="16">AR18/Q18</f>
        <v>#DIV/0!</v>
      </c>
      <c r="BJ18" s="111" t="e">
        <f t="shared" si="16"/>
        <v>#DIV/0!</v>
      </c>
      <c r="BK18" s="111" t="e">
        <f t="shared" si="16"/>
        <v>#DIV/0!</v>
      </c>
      <c r="BL18" s="111" t="e">
        <f t="shared" si="16"/>
        <v>#DIV/0!</v>
      </c>
      <c r="BM18" s="18"/>
      <c r="BN18" s="18"/>
      <c r="BO18" s="18"/>
      <c r="BP18" s="18"/>
      <c r="BQ18" s="18"/>
      <c r="BR18" s="18"/>
      <c r="BS18" s="111" t="e">
        <f>BB18/INDEX(O18:Q18,IF($B$3&lt;3,$B$3,3))</f>
        <v>#DIV/0!</v>
      </c>
      <c r="BT18" s="111" t="e">
        <f>BC18/INDEX(R18:T18,IF($B$3&lt;7,$B$3-3,3))</f>
        <v>#DIV/0!</v>
      </c>
      <c r="BU18" s="18"/>
      <c r="BV18" s="18"/>
      <c r="BW18" s="111" t="e">
        <f t="shared" ref="BW18:BW26" si="17">BF18/AA18</f>
        <v>#DIV/0!</v>
      </c>
    </row>
    <row r="19" spans="1:75" x14ac:dyDescent="0.25">
      <c r="A19" s="20" t="str">
        <f t="shared" ref="A19:A26" si="18">$B$17&amp;"_by_rookie_GENLION:"&amp;TRIM(B19)</f>
        <v># Manpower_by_rookie_GENLION:Rookie in month</v>
      </c>
      <c r="B19" t="s">
        <v>5</v>
      </c>
      <c r="C19" s="6"/>
      <c r="AA19" s="18"/>
      <c r="AB19" s="22"/>
      <c r="AC19" s="22"/>
      <c r="AD19" s="22"/>
      <c r="AE19" s="22"/>
      <c r="AF19" s="22"/>
      <c r="AG19" s="22"/>
      <c r="AH19" s="22"/>
      <c r="AI19" s="22"/>
      <c r="AJ19" s="22"/>
      <c r="AK19" s="31"/>
      <c r="AL19" s="31"/>
      <c r="AM19" s="31"/>
      <c r="AN19" s="31"/>
      <c r="AO19" s="31"/>
      <c r="AP19" s="22">
        <f>[16]MP!K34</f>
        <v>320</v>
      </c>
      <c r="AQ19" s="22">
        <f>[17]MP!K34</f>
        <v>666</v>
      </c>
      <c r="AR19" s="22">
        <f>[18]MP!K34</f>
        <v>855</v>
      </c>
      <c r="AS19" s="22">
        <f>[19]MP!K59</f>
        <v>650</v>
      </c>
      <c r="AT19" s="22">
        <f>[20]MP!K59</f>
        <v>587</v>
      </c>
      <c r="AU19" s="22">
        <f>[21]MP!K59</f>
        <v>1312</v>
      </c>
      <c r="AV19" s="22">
        <f>[22]MP!K59</f>
        <v>825</v>
      </c>
      <c r="AW19" s="18"/>
      <c r="AX19" s="18"/>
      <c r="AY19" s="18"/>
      <c r="AZ19" s="18"/>
      <c r="BA19" s="18"/>
      <c r="BB19" s="22">
        <f t="shared" ref="BB19:BB26" si="19">INDEX(AP19:AR19,IF($B$3&lt;3,$B$3,3))</f>
        <v>855</v>
      </c>
      <c r="BC19" s="22">
        <f t="shared" ref="BC19:BD25" si="20">INDEX(AS19:AU19,IF($B$3&lt;7,$B$3-3,3))</f>
        <v>1312</v>
      </c>
      <c r="BD19" s="22">
        <f t="shared" si="20"/>
        <v>825</v>
      </c>
      <c r="BE19" s="18"/>
      <c r="BF19" s="22">
        <f t="shared" ref="BF19:BF26" si="21">INDEX(AP19:BA19,$B$3)</f>
        <v>825</v>
      </c>
      <c r="BG19" s="122" t="e">
        <f t="shared" ref="BG19:BL26" si="22">AP19/O19</f>
        <v>#DIV/0!</v>
      </c>
      <c r="BH19" s="111" t="e">
        <f t="shared" si="22"/>
        <v>#DIV/0!</v>
      </c>
      <c r="BI19" s="111" t="e">
        <f t="shared" si="16"/>
        <v>#DIV/0!</v>
      </c>
      <c r="BJ19" s="111" t="e">
        <f t="shared" si="16"/>
        <v>#DIV/0!</v>
      </c>
      <c r="BK19" s="111" t="e">
        <f t="shared" si="16"/>
        <v>#DIV/0!</v>
      </c>
      <c r="BL19" s="111" t="e">
        <f t="shared" si="16"/>
        <v>#DIV/0!</v>
      </c>
      <c r="BM19" s="18"/>
      <c r="BN19" s="18"/>
      <c r="BO19" s="18"/>
      <c r="BP19" s="18"/>
      <c r="BQ19" s="18"/>
      <c r="BR19" s="18"/>
      <c r="BS19" s="111" t="e">
        <f t="shared" ref="BS19:BS26" si="23">BB19/INDEX(O19:Q19,IF($B$3&lt;3,$B$3,3))</f>
        <v>#DIV/0!</v>
      </c>
      <c r="BT19" s="111" t="e">
        <f t="shared" ref="BT19:BT26" si="24">BC19/INDEX(R19:T19,IF($B$3&lt;7,$B$3-3,3))</f>
        <v>#DIV/0!</v>
      </c>
      <c r="BU19" s="18"/>
      <c r="BV19" s="18"/>
      <c r="BW19" s="111" t="e">
        <f t="shared" si="17"/>
        <v>#DIV/0!</v>
      </c>
    </row>
    <row r="20" spans="1:75" x14ac:dyDescent="0.25">
      <c r="A20" s="20" t="str">
        <f t="shared" si="18"/>
        <v># Manpower_by_rookie_GENLION:Rookie last month</v>
      </c>
      <c r="B20" t="s">
        <v>6</v>
      </c>
      <c r="C20" s="6"/>
      <c r="AA20" s="18"/>
      <c r="AB20" s="18"/>
      <c r="AC20" s="18"/>
      <c r="AD20" s="18"/>
      <c r="AE20" s="22"/>
      <c r="AF20" s="22"/>
      <c r="AG20" s="22"/>
      <c r="AH20" s="22"/>
      <c r="AI20" s="22"/>
      <c r="AJ20" s="22"/>
      <c r="AK20" s="31"/>
      <c r="AL20" s="31"/>
      <c r="AM20" s="31"/>
      <c r="AN20" s="31"/>
      <c r="AO20" s="31"/>
      <c r="AP20" s="22">
        <f>[16]MP!K35</f>
        <v>1116</v>
      </c>
      <c r="AQ20" s="22">
        <f>[17]MP!K35</f>
        <v>319</v>
      </c>
      <c r="AR20" s="22">
        <f>[18]MP!K35</f>
        <v>661</v>
      </c>
      <c r="AS20" s="22">
        <f>[19]MP!K60</f>
        <v>837</v>
      </c>
      <c r="AT20" s="22">
        <f>[20]MP!K60</f>
        <v>650</v>
      </c>
      <c r="AU20" s="22">
        <f>[21]MP!K60</f>
        <v>563</v>
      </c>
      <c r="AV20" s="22">
        <f>[22]MP!K60</f>
        <v>1306</v>
      </c>
      <c r="AW20" s="18"/>
      <c r="AX20" s="18"/>
      <c r="AY20" s="18"/>
      <c r="AZ20" s="18"/>
      <c r="BA20" s="18"/>
      <c r="BB20" s="22">
        <f t="shared" si="19"/>
        <v>661</v>
      </c>
      <c r="BC20" s="22">
        <f t="shared" si="20"/>
        <v>563</v>
      </c>
      <c r="BD20" s="22">
        <f t="shared" si="20"/>
        <v>1306</v>
      </c>
      <c r="BE20" s="18"/>
      <c r="BF20" s="22">
        <f t="shared" si="21"/>
        <v>1306</v>
      </c>
      <c r="BG20" s="122" t="e">
        <f t="shared" si="22"/>
        <v>#DIV/0!</v>
      </c>
      <c r="BH20" s="111" t="e">
        <f t="shared" si="22"/>
        <v>#DIV/0!</v>
      </c>
      <c r="BI20" s="111" t="e">
        <f t="shared" si="16"/>
        <v>#DIV/0!</v>
      </c>
      <c r="BJ20" s="111" t="e">
        <f t="shared" si="16"/>
        <v>#DIV/0!</v>
      </c>
      <c r="BK20" s="111" t="e">
        <f t="shared" si="16"/>
        <v>#DIV/0!</v>
      </c>
      <c r="BL20" s="111" t="e">
        <f t="shared" si="16"/>
        <v>#DIV/0!</v>
      </c>
      <c r="BM20" s="18"/>
      <c r="BN20" s="18"/>
      <c r="BO20" s="18"/>
      <c r="BP20" s="18"/>
      <c r="BQ20" s="18"/>
      <c r="BR20" s="18"/>
      <c r="BS20" s="111" t="e">
        <f t="shared" si="23"/>
        <v>#DIV/0!</v>
      </c>
      <c r="BT20" s="111" t="e">
        <f t="shared" si="24"/>
        <v>#DIV/0!</v>
      </c>
      <c r="BU20" s="18"/>
      <c r="BV20" s="18"/>
      <c r="BW20" s="111" t="e">
        <f t="shared" si="17"/>
        <v>#DIV/0!</v>
      </c>
    </row>
    <row r="21" spans="1:75" x14ac:dyDescent="0.25">
      <c r="A21" s="20" t="str">
        <f t="shared" si="18"/>
        <v># Manpower_by_rookie_GENLION:2-3 months</v>
      </c>
      <c r="B21" t="s">
        <v>7</v>
      </c>
      <c r="C21" s="6"/>
      <c r="AA21" s="18"/>
      <c r="AB21" s="18"/>
      <c r="AC21" s="18"/>
      <c r="AD21" s="18"/>
      <c r="AE21" s="22"/>
      <c r="AF21" s="22"/>
      <c r="AG21" s="22"/>
      <c r="AH21" s="22"/>
      <c r="AI21" s="22"/>
      <c r="AJ21" s="22"/>
      <c r="AK21" s="31"/>
      <c r="AL21" s="31"/>
      <c r="AM21" s="31"/>
      <c r="AN21" s="31"/>
      <c r="AO21" s="31"/>
      <c r="AP21" s="22">
        <f>[16]MP!K36</f>
        <v>1727</v>
      </c>
      <c r="AQ21" s="22">
        <f>[17]MP!K36</f>
        <v>1989</v>
      </c>
      <c r="AR21" s="22">
        <f>[18]MP!K36</f>
        <v>1372</v>
      </c>
      <c r="AS21" s="22">
        <f>[19]MP!K61</f>
        <v>903</v>
      </c>
      <c r="AT21" s="22">
        <f>[20]MP!K61</f>
        <v>1466</v>
      </c>
      <c r="AU21" s="22">
        <f>[21]MP!K61</f>
        <v>1424</v>
      </c>
      <c r="AV21" s="22">
        <f>[22]MP!K61</f>
        <v>1143</v>
      </c>
      <c r="AW21" s="18"/>
      <c r="AX21" s="18"/>
      <c r="AY21" s="18"/>
      <c r="AZ21" s="18"/>
      <c r="BA21" s="18"/>
      <c r="BB21" s="22">
        <f t="shared" si="19"/>
        <v>1372</v>
      </c>
      <c r="BC21" s="22">
        <f t="shared" si="20"/>
        <v>1424</v>
      </c>
      <c r="BD21" s="22">
        <f t="shared" si="20"/>
        <v>1143</v>
      </c>
      <c r="BE21" s="18"/>
      <c r="BF21" s="22">
        <f t="shared" si="21"/>
        <v>1143</v>
      </c>
      <c r="BG21" s="122" t="e">
        <f t="shared" si="22"/>
        <v>#DIV/0!</v>
      </c>
      <c r="BH21" s="111" t="e">
        <f t="shared" si="22"/>
        <v>#DIV/0!</v>
      </c>
      <c r="BI21" s="111" t="e">
        <f t="shared" si="16"/>
        <v>#DIV/0!</v>
      </c>
      <c r="BJ21" s="111" t="e">
        <f t="shared" si="16"/>
        <v>#DIV/0!</v>
      </c>
      <c r="BK21" s="111" t="e">
        <f t="shared" si="16"/>
        <v>#DIV/0!</v>
      </c>
      <c r="BL21" s="111" t="e">
        <f t="shared" si="16"/>
        <v>#DIV/0!</v>
      </c>
      <c r="BM21" s="18"/>
      <c r="BN21" s="18"/>
      <c r="BO21" s="18"/>
      <c r="BP21" s="18"/>
      <c r="BQ21" s="18"/>
      <c r="BR21" s="18"/>
      <c r="BS21" s="111" t="e">
        <f t="shared" si="23"/>
        <v>#DIV/0!</v>
      </c>
      <c r="BT21" s="111" t="e">
        <f t="shared" si="24"/>
        <v>#DIV/0!</v>
      </c>
      <c r="BU21" s="18"/>
      <c r="BV21" s="18"/>
      <c r="BW21" s="111" t="e">
        <f t="shared" si="17"/>
        <v>#DIV/0!</v>
      </c>
    </row>
    <row r="22" spans="1:75" x14ac:dyDescent="0.25">
      <c r="A22" s="20" t="str">
        <f t="shared" si="18"/>
        <v># Manpower_by_rookie_GENLION:4 - 6 mths</v>
      </c>
      <c r="B22" t="s">
        <v>8</v>
      </c>
      <c r="C22" s="6"/>
      <c r="AA22" s="18"/>
      <c r="AB22" s="18"/>
      <c r="AC22" s="18"/>
      <c r="AD22" s="18"/>
      <c r="AE22" s="22"/>
      <c r="AF22" s="22"/>
      <c r="AG22" s="22"/>
      <c r="AH22" s="22"/>
      <c r="AI22" s="22"/>
      <c r="AJ22" s="22"/>
      <c r="AK22" s="31"/>
      <c r="AL22" s="31"/>
      <c r="AM22" s="31"/>
      <c r="AN22" s="31"/>
      <c r="AO22" s="31"/>
      <c r="AP22" s="22">
        <f>[16]MP!K37</f>
        <v>1778</v>
      </c>
      <c r="AQ22" s="22">
        <f>[17]MP!K37</f>
        <v>1020</v>
      </c>
      <c r="AR22" s="22">
        <f>[18]MP!K37</f>
        <v>1138</v>
      </c>
      <c r="AS22" s="22">
        <f>[19]MP!K62</f>
        <v>860</v>
      </c>
      <c r="AT22" s="22">
        <f>[20]MP!K62</f>
        <v>626</v>
      </c>
      <c r="AU22" s="22">
        <f>[21]MP!K62</f>
        <v>569</v>
      </c>
      <c r="AV22" s="22">
        <f>[22]MP!K62</f>
        <v>522</v>
      </c>
      <c r="AW22" s="18"/>
      <c r="AX22" s="18"/>
      <c r="AY22" s="18"/>
      <c r="AZ22" s="18"/>
      <c r="BA22" s="18"/>
      <c r="BB22" s="22">
        <f t="shared" si="19"/>
        <v>1138</v>
      </c>
      <c r="BC22" s="22">
        <f t="shared" si="20"/>
        <v>569</v>
      </c>
      <c r="BD22" s="22">
        <f t="shared" si="20"/>
        <v>522</v>
      </c>
      <c r="BE22" s="18"/>
      <c r="BF22" s="22">
        <f t="shared" si="21"/>
        <v>522</v>
      </c>
      <c r="BG22" s="122" t="e">
        <f t="shared" si="22"/>
        <v>#DIV/0!</v>
      </c>
      <c r="BH22" s="111" t="e">
        <f t="shared" si="22"/>
        <v>#DIV/0!</v>
      </c>
      <c r="BI22" s="111" t="e">
        <f t="shared" si="16"/>
        <v>#DIV/0!</v>
      </c>
      <c r="BJ22" s="111" t="e">
        <f t="shared" si="16"/>
        <v>#DIV/0!</v>
      </c>
      <c r="BK22" s="111" t="e">
        <f t="shared" si="16"/>
        <v>#DIV/0!</v>
      </c>
      <c r="BL22" s="111" t="e">
        <f t="shared" si="16"/>
        <v>#DIV/0!</v>
      </c>
      <c r="BM22" s="18"/>
      <c r="BN22" s="18"/>
      <c r="BO22" s="18"/>
      <c r="BP22" s="18"/>
      <c r="BQ22" s="18"/>
      <c r="BR22" s="18"/>
      <c r="BS22" s="111" t="e">
        <f t="shared" si="23"/>
        <v>#DIV/0!</v>
      </c>
      <c r="BT22" s="111" t="e">
        <f t="shared" si="24"/>
        <v>#DIV/0!</v>
      </c>
      <c r="BU22" s="18"/>
      <c r="BV22" s="18"/>
      <c r="BW22" s="111" t="e">
        <f t="shared" si="17"/>
        <v>#DIV/0!</v>
      </c>
    </row>
    <row r="23" spans="1:75" x14ac:dyDescent="0.25">
      <c r="A23" s="20" t="str">
        <f t="shared" si="18"/>
        <v># Manpower_by_rookie_GENLION:7-12mth</v>
      </c>
      <c r="B23" t="s">
        <v>1</v>
      </c>
      <c r="C23" s="6"/>
      <c r="AA23" s="18"/>
      <c r="AB23" s="18"/>
      <c r="AC23" s="18"/>
      <c r="AD23" s="18"/>
      <c r="AE23" s="22"/>
      <c r="AF23" s="22"/>
      <c r="AG23" s="22"/>
      <c r="AH23" s="22"/>
      <c r="AI23" s="22"/>
      <c r="AJ23" s="22"/>
      <c r="AK23" s="31"/>
      <c r="AL23" s="31"/>
      <c r="AM23" s="31"/>
      <c r="AN23" s="31"/>
      <c r="AO23" s="31"/>
      <c r="AP23" s="22">
        <f>[16]MP!K38</f>
        <v>1048</v>
      </c>
      <c r="AQ23" s="22">
        <f>[17]MP!K38</f>
        <v>609</v>
      </c>
      <c r="AR23" s="22">
        <f>[18]MP!K38</f>
        <v>734</v>
      </c>
      <c r="AS23" s="22">
        <f>[19]MP!K63</f>
        <v>718</v>
      </c>
      <c r="AT23" s="22">
        <f>[20]MP!K63</f>
        <v>841</v>
      </c>
      <c r="AU23" s="22">
        <f>[21]MP!K63</f>
        <v>867</v>
      </c>
      <c r="AV23" s="22">
        <f>[22]MP!K63</f>
        <v>817</v>
      </c>
      <c r="AW23" s="18"/>
      <c r="AX23" s="18"/>
      <c r="AY23" s="18"/>
      <c r="AZ23" s="18"/>
      <c r="BA23" s="18"/>
      <c r="BB23" s="22">
        <f t="shared" si="19"/>
        <v>734</v>
      </c>
      <c r="BC23" s="22">
        <f t="shared" si="20"/>
        <v>867</v>
      </c>
      <c r="BD23" s="22">
        <f t="shared" si="20"/>
        <v>817</v>
      </c>
      <c r="BE23" s="18"/>
      <c r="BF23" s="22">
        <f t="shared" si="21"/>
        <v>817</v>
      </c>
      <c r="BG23" s="122" t="e">
        <f t="shared" si="22"/>
        <v>#DIV/0!</v>
      </c>
      <c r="BH23" s="111" t="e">
        <f t="shared" si="22"/>
        <v>#DIV/0!</v>
      </c>
      <c r="BI23" s="111" t="e">
        <f t="shared" si="16"/>
        <v>#DIV/0!</v>
      </c>
      <c r="BJ23" s="111" t="e">
        <f t="shared" si="16"/>
        <v>#DIV/0!</v>
      </c>
      <c r="BK23" s="111" t="e">
        <f t="shared" si="16"/>
        <v>#DIV/0!</v>
      </c>
      <c r="BL23" s="111" t="e">
        <f t="shared" si="16"/>
        <v>#DIV/0!</v>
      </c>
      <c r="BM23" s="18"/>
      <c r="BN23" s="18"/>
      <c r="BO23" s="18"/>
      <c r="BP23" s="18"/>
      <c r="BQ23" s="18"/>
      <c r="BR23" s="18"/>
      <c r="BS23" s="111" t="e">
        <f t="shared" si="23"/>
        <v>#DIV/0!</v>
      </c>
      <c r="BT23" s="111" t="e">
        <f t="shared" si="24"/>
        <v>#DIV/0!</v>
      </c>
      <c r="BU23" s="18"/>
      <c r="BV23" s="18"/>
      <c r="BW23" s="111" t="e">
        <f t="shared" si="17"/>
        <v>#DIV/0!</v>
      </c>
    </row>
    <row r="24" spans="1:75" x14ac:dyDescent="0.25">
      <c r="A24" s="20" t="str">
        <f t="shared" si="18"/>
        <v># Manpower_by_rookie_GENLION:13+mth</v>
      </c>
      <c r="B24" t="s">
        <v>2</v>
      </c>
      <c r="C24" s="6"/>
      <c r="AA24" s="18"/>
      <c r="AB24" s="18"/>
      <c r="AC24" s="18"/>
      <c r="AD24" s="18"/>
      <c r="AE24" s="22"/>
      <c r="AF24" s="22"/>
      <c r="AG24" s="22"/>
      <c r="AH24" s="22"/>
      <c r="AI24" s="22"/>
      <c r="AJ24" s="22"/>
      <c r="AK24" s="31"/>
      <c r="AL24" s="31"/>
      <c r="AM24" s="31"/>
      <c r="AN24" s="31"/>
      <c r="AO24" s="31"/>
      <c r="AP24" s="22">
        <f>[16]MP!K39</f>
        <v>773</v>
      </c>
      <c r="AQ24" s="22">
        <f>[17]MP!K39</f>
        <v>461</v>
      </c>
      <c r="AR24" s="22">
        <f>[18]MP!K39</f>
        <v>435</v>
      </c>
      <c r="AS24" s="22">
        <f>[19]MP!K64</f>
        <v>423</v>
      </c>
      <c r="AT24" s="22">
        <f>[20]MP!K64</f>
        <v>438</v>
      </c>
      <c r="AU24" s="22">
        <f>[21]MP!K64</f>
        <v>473</v>
      </c>
      <c r="AV24" s="22">
        <f>[22]MP!K64</f>
        <v>548</v>
      </c>
      <c r="AW24" s="18"/>
      <c r="AX24" s="18"/>
      <c r="AY24" s="18"/>
      <c r="AZ24" s="18"/>
      <c r="BA24" s="18"/>
      <c r="BB24" s="22">
        <f t="shared" si="19"/>
        <v>435</v>
      </c>
      <c r="BC24" s="22">
        <f t="shared" si="20"/>
        <v>473</v>
      </c>
      <c r="BD24" s="22">
        <f t="shared" si="20"/>
        <v>548</v>
      </c>
      <c r="BE24" s="18"/>
      <c r="BF24" s="22">
        <f t="shared" si="21"/>
        <v>548</v>
      </c>
      <c r="BG24" s="122" t="e">
        <f t="shared" si="22"/>
        <v>#DIV/0!</v>
      </c>
      <c r="BH24" s="111" t="e">
        <f t="shared" si="22"/>
        <v>#DIV/0!</v>
      </c>
      <c r="BI24" s="111" t="e">
        <f t="shared" si="16"/>
        <v>#DIV/0!</v>
      </c>
      <c r="BJ24" s="111" t="e">
        <f t="shared" si="16"/>
        <v>#DIV/0!</v>
      </c>
      <c r="BK24" s="111" t="e">
        <f t="shared" si="16"/>
        <v>#DIV/0!</v>
      </c>
      <c r="BL24" s="111" t="e">
        <f t="shared" si="16"/>
        <v>#DIV/0!</v>
      </c>
      <c r="BM24" s="18"/>
      <c r="BN24" s="18"/>
      <c r="BO24" s="18"/>
      <c r="BP24" s="18"/>
      <c r="BQ24" s="18"/>
      <c r="BR24" s="18"/>
      <c r="BS24" s="111" t="e">
        <f t="shared" si="23"/>
        <v>#DIV/0!</v>
      </c>
      <c r="BT24" s="111" t="e">
        <f t="shared" si="24"/>
        <v>#DIV/0!</v>
      </c>
      <c r="BU24" s="18"/>
      <c r="BV24" s="18"/>
      <c r="BW24" s="111" t="e">
        <f t="shared" si="17"/>
        <v>#DIV/0!</v>
      </c>
    </row>
    <row r="25" spans="1:75" x14ac:dyDescent="0.25">
      <c r="A25" s="20" t="str">
        <f t="shared" si="18"/>
        <v># Manpower_by_rookie_GENLION:SA</v>
      </c>
      <c r="B25" s="135" t="s">
        <v>136</v>
      </c>
      <c r="C25" s="6"/>
      <c r="AA25" s="18"/>
      <c r="AB25" s="18"/>
      <c r="AC25" s="18"/>
      <c r="AD25" s="18"/>
      <c r="AE25" s="22"/>
      <c r="AF25" s="22"/>
      <c r="AG25" s="22"/>
      <c r="AH25" s="22"/>
      <c r="AI25" s="22"/>
      <c r="AJ25" s="22"/>
      <c r="AK25" s="31"/>
      <c r="AL25" s="31"/>
      <c r="AM25" s="31"/>
      <c r="AN25" s="31"/>
      <c r="AO25" s="31"/>
      <c r="AP25" s="22"/>
      <c r="AQ25" s="136">
        <f>[17]MP!K40</f>
        <v>1555</v>
      </c>
      <c r="AR25" s="136">
        <f>[18]MP!K40</f>
        <v>1709</v>
      </c>
      <c r="AS25" s="136">
        <f>[19]MP!K65</f>
        <v>2366</v>
      </c>
      <c r="AT25" s="22">
        <f>[20]MP!K65</f>
        <v>2740</v>
      </c>
      <c r="AU25" s="22">
        <f>[21]MP!K65</f>
        <v>3299</v>
      </c>
      <c r="AV25" s="22">
        <f>[22]MP!K65</f>
        <v>4093</v>
      </c>
      <c r="AW25" s="18"/>
      <c r="AX25" s="18"/>
      <c r="AY25" s="18"/>
      <c r="AZ25" s="18"/>
      <c r="BA25" s="18"/>
      <c r="BB25" s="22">
        <f t="shared" si="19"/>
        <v>1709</v>
      </c>
      <c r="BC25" s="22">
        <f t="shared" si="20"/>
        <v>3299</v>
      </c>
      <c r="BD25" s="22">
        <f t="shared" si="20"/>
        <v>4093</v>
      </c>
      <c r="BE25" s="18"/>
      <c r="BF25" s="22">
        <f t="shared" si="21"/>
        <v>4093</v>
      </c>
      <c r="BG25" s="122"/>
      <c r="BH25" s="111"/>
      <c r="BI25" s="111"/>
      <c r="BJ25" s="111"/>
      <c r="BK25" s="111"/>
      <c r="BL25" s="111"/>
      <c r="BM25" s="18"/>
      <c r="BN25" s="18"/>
      <c r="BO25" s="18"/>
      <c r="BP25" s="18"/>
      <c r="BQ25" s="18"/>
      <c r="BR25" s="18"/>
      <c r="BS25" s="111"/>
      <c r="BT25" s="111"/>
      <c r="BU25" s="18"/>
      <c r="BV25" s="18"/>
      <c r="BW25" s="111"/>
    </row>
    <row r="26" spans="1:75" s="19" customFormat="1" x14ac:dyDescent="0.25">
      <c r="A26" s="20" t="str">
        <f t="shared" si="18"/>
        <v># Manpower_by_rookie_GENLION:Total (excl. SA)</v>
      </c>
      <c r="B26" s="1" t="s">
        <v>137</v>
      </c>
      <c r="C26" s="7">
        <f>SUM(C18:C24)</f>
        <v>0</v>
      </c>
      <c r="D26" s="7">
        <f t="shared" ref="D26:Z26" si="25">SUM(D18:D24)</f>
        <v>0</v>
      </c>
      <c r="E26" s="7">
        <f t="shared" si="25"/>
        <v>0</v>
      </c>
      <c r="F26" s="7">
        <f t="shared" si="25"/>
        <v>0</v>
      </c>
      <c r="G26" s="7">
        <f t="shared" si="25"/>
        <v>0</v>
      </c>
      <c r="H26" s="7">
        <f t="shared" si="25"/>
        <v>0</v>
      </c>
      <c r="I26" s="7">
        <f t="shared" si="25"/>
        <v>0</v>
      </c>
      <c r="J26" s="7">
        <f t="shared" si="25"/>
        <v>0</v>
      </c>
      <c r="K26" s="7">
        <f t="shared" si="25"/>
        <v>0</v>
      </c>
      <c r="L26" s="7">
        <f t="shared" si="25"/>
        <v>0</v>
      </c>
      <c r="M26" s="7">
        <f t="shared" si="25"/>
        <v>0</v>
      </c>
      <c r="N26" s="7">
        <f t="shared" si="25"/>
        <v>0</v>
      </c>
      <c r="O26" s="7">
        <f t="shared" si="25"/>
        <v>0</v>
      </c>
      <c r="P26" s="7">
        <f t="shared" si="25"/>
        <v>0</v>
      </c>
      <c r="Q26" s="7">
        <f t="shared" si="25"/>
        <v>0</v>
      </c>
      <c r="R26" s="7">
        <f t="shared" si="25"/>
        <v>0</v>
      </c>
      <c r="S26" s="7">
        <f t="shared" si="25"/>
        <v>0</v>
      </c>
      <c r="T26" s="7">
        <f t="shared" si="25"/>
        <v>0</v>
      </c>
      <c r="U26" s="7">
        <f t="shared" si="25"/>
        <v>0</v>
      </c>
      <c r="V26" s="7">
        <f t="shared" si="25"/>
        <v>0</v>
      </c>
      <c r="W26" s="7">
        <f t="shared" si="25"/>
        <v>0</v>
      </c>
      <c r="X26" s="7">
        <f t="shared" si="25"/>
        <v>0</v>
      </c>
      <c r="Y26" s="7">
        <f t="shared" si="25"/>
        <v>0</v>
      </c>
      <c r="Z26" s="7">
        <f t="shared" si="25"/>
        <v>0</v>
      </c>
      <c r="AA26" s="17">
        <f t="shared" ref="AA26" si="26">INDEX($O26:$Z26,$B$3)</f>
        <v>0</v>
      </c>
      <c r="AB26" s="17">
        <f t="shared" ref="AB26" si="27">Q26</f>
        <v>0</v>
      </c>
      <c r="AC26" s="17">
        <f t="shared" ref="AC26" si="28">T26</f>
        <v>0</v>
      </c>
      <c r="AD26" s="17">
        <f t="shared" ref="AD26" si="29">W26</f>
        <v>0</v>
      </c>
      <c r="AE26" s="22">
        <f t="shared" ref="AE26" si="30">Y26</f>
        <v>0</v>
      </c>
      <c r="AF26" s="27">
        <f t="shared" ref="AF26" si="31">INDEX($C26:$N26,$B$3)</f>
        <v>0</v>
      </c>
      <c r="AG26" s="27">
        <f t="shared" ref="AG26" si="32">E26</f>
        <v>0</v>
      </c>
      <c r="AH26" s="27">
        <f t="shared" ref="AH26" si="33">H26</f>
        <v>0</v>
      </c>
      <c r="AI26" s="27">
        <f t="shared" ref="AI26" si="34">K26</f>
        <v>0</v>
      </c>
      <c r="AJ26" s="27">
        <f t="shared" ref="AJ26" si="35">N26</f>
        <v>0</v>
      </c>
      <c r="AK26" s="32" t="e">
        <f t="shared" ref="AK26" si="36">AA26/AF26-1</f>
        <v>#DIV/0!</v>
      </c>
      <c r="AL26" s="32" t="e">
        <f t="shared" ref="AL26:AO26" si="37">AB26/AG26-1</f>
        <v>#DIV/0!</v>
      </c>
      <c r="AM26" s="32" t="e">
        <f t="shared" si="37"/>
        <v>#DIV/0!</v>
      </c>
      <c r="AN26" s="31" t="e">
        <f t="shared" si="37"/>
        <v>#DIV/0!</v>
      </c>
      <c r="AO26" s="31" t="e">
        <f t="shared" si="37"/>
        <v>#DIV/0!</v>
      </c>
      <c r="AP26" s="7">
        <f t="shared" ref="AP26" si="38">SUM(AP18:AP24)</f>
        <v>6810</v>
      </c>
      <c r="AQ26" s="7">
        <f>SUM(AQ18:AQ25)</f>
        <v>6667</v>
      </c>
      <c r="AR26" s="7">
        <f t="shared" ref="AR26:AU26" si="39">SUM(AR18:AR24)</f>
        <v>5243</v>
      </c>
      <c r="AS26" s="7">
        <f t="shared" si="39"/>
        <v>4730</v>
      </c>
      <c r="AT26" s="7">
        <f t="shared" si="39"/>
        <v>4944</v>
      </c>
      <c r="AU26" s="7">
        <f t="shared" si="39"/>
        <v>5524</v>
      </c>
      <c r="AV26" s="7">
        <f>SUM(AV18:AV24)</f>
        <v>5453</v>
      </c>
      <c r="AW26" s="17"/>
      <c r="AX26" s="17"/>
      <c r="AY26" s="17"/>
      <c r="AZ26" s="17"/>
      <c r="BA26" s="17"/>
      <c r="BB26" s="115">
        <f t="shared" si="19"/>
        <v>5243</v>
      </c>
      <c r="BC26" s="115">
        <f>INDEX(AS26:AU26,IF($B$3&lt;7,$B$3-3,3))</f>
        <v>5524</v>
      </c>
      <c r="BD26" s="115">
        <f>INDEX(AT26:AV26,IF($B$3&lt;7,$B$3-3,3))</f>
        <v>5453</v>
      </c>
      <c r="BE26" s="37"/>
      <c r="BF26" s="115">
        <f t="shared" si="21"/>
        <v>5453</v>
      </c>
      <c r="BG26" s="123" t="e">
        <f t="shared" si="22"/>
        <v>#DIV/0!</v>
      </c>
      <c r="BH26" s="118" t="e">
        <f t="shared" si="22"/>
        <v>#DIV/0!</v>
      </c>
      <c r="BI26" s="118" t="e">
        <f t="shared" si="22"/>
        <v>#DIV/0!</v>
      </c>
      <c r="BJ26" s="118" t="e">
        <f t="shared" si="22"/>
        <v>#DIV/0!</v>
      </c>
      <c r="BK26" s="118" t="e">
        <f t="shared" si="22"/>
        <v>#DIV/0!</v>
      </c>
      <c r="BL26" s="118" t="e">
        <f t="shared" si="22"/>
        <v>#DIV/0!</v>
      </c>
      <c r="BM26" s="37"/>
      <c r="BN26" s="37"/>
      <c r="BO26" s="37"/>
      <c r="BP26" s="37"/>
      <c r="BQ26" s="37"/>
      <c r="BR26" s="37"/>
      <c r="BS26" s="118" t="e">
        <f t="shared" si="23"/>
        <v>#DIV/0!</v>
      </c>
      <c r="BT26" s="111" t="e">
        <f t="shared" si="24"/>
        <v>#DIV/0!</v>
      </c>
      <c r="BU26" s="37"/>
      <c r="BV26" s="37"/>
      <c r="BW26" s="118" t="e">
        <f t="shared" si="17"/>
        <v>#DIV/0!</v>
      </c>
    </row>
    <row r="27" spans="1:75" x14ac:dyDescent="0.25"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24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</row>
    <row r="28" spans="1:75" x14ac:dyDescent="0.25"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24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</row>
    <row r="29" spans="1:75" s="19" customFormat="1" x14ac:dyDescent="0.25">
      <c r="A29" s="17"/>
      <c r="B29" s="2" t="s">
        <v>10</v>
      </c>
      <c r="C29" s="3">
        <f t="shared" ref="C29:Z29" si="40">C17</f>
        <v>42005</v>
      </c>
      <c r="D29" s="3">
        <f t="shared" si="40"/>
        <v>42036</v>
      </c>
      <c r="E29" s="3">
        <f t="shared" si="40"/>
        <v>42064</v>
      </c>
      <c r="F29" s="3">
        <f t="shared" si="40"/>
        <v>42095</v>
      </c>
      <c r="G29" s="3">
        <f t="shared" si="40"/>
        <v>42125</v>
      </c>
      <c r="H29" s="3">
        <f t="shared" si="40"/>
        <v>42156</v>
      </c>
      <c r="I29" s="3">
        <f t="shared" si="40"/>
        <v>42186</v>
      </c>
      <c r="J29" s="3">
        <f t="shared" si="40"/>
        <v>42217</v>
      </c>
      <c r="K29" s="3">
        <f t="shared" si="40"/>
        <v>42248</v>
      </c>
      <c r="L29" s="3">
        <f t="shared" si="40"/>
        <v>42278</v>
      </c>
      <c r="M29" s="3">
        <f t="shared" si="40"/>
        <v>42309</v>
      </c>
      <c r="N29" s="3">
        <f t="shared" si="40"/>
        <v>42339</v>
      </c>
      <c r="O29" s="3">
        <f t="shared" si="40"/>
        <v>42370</v>
      </c>
      <c r="P29" s="3">
        <f t="shared" si="40"/>
        <v>42401</v>
      </c>
      <c r="Q29" s="3">
        <f t="shared" si="40"/>
        <v>42430</v>
      </c>
      <c r="R29" s="3">
        <f t="shared" si="40"/>
        <v>42461</v>
      </c>
      <c r="S29" s="3">
        <f t="shared" si="40"/>
        <v>42491</v>
      </c>
      <c r="T29" s="3">
        <f t="shared" si="40"/>
        <v>42522</v>
      </c>
      <c r="U29" s="3">
        <f t="shared" si="40"/>
        <v>42552</v>
      </c>
      <c r="V29" s="3">
        <f t="shared" si="40"/>
        <v>42583</v>
      </c>
      <c r="W29" s="3">
        <f t="shared" si="40"/>
        <v>42614</v>
      </c>
      <c r="X29" s="3">
        <f t="shared" si="40"/>
        <v>42644</v>
      </c>
      <c r="Y29" s="3">
        <f t="shared" si="40"/>
        <v>42675</v>
      </c>
      <c r="Z29" s="3">
        <f t="shared" si="40"/>
        <v>42705</v>
      </c>
      <c r="AA29" s="29" t="str">
        <f>AA17</f>
        <v>YTD 7/16</v>
      </c>
      <c r="AB29" s="29" t="s">
        <v>19</v>
      </c>
      <c r="AC29" s="29" t="s">
        <v>20</v>
      </c>
      <c r="AD29" s="29" t="s">
        <v>21</v>
      </c>
      <c r="AE29" s="29" t="s">
        <v>22</v>
      </c>
      <c r="AF29" s="26" t="str">
        <f t="shared" ref="AF29:AJ29" si="41">AF17</f>
        <v>YTD 7/15</v>
      </c>
      <c r="AG29" s="26" t="str">
        <f t="shared" si="41"/>
        <v>Q1 '15</v>
      </c>
      <c r="AH29" s="26" t="str">
        <f t="shared" si="41"/>
        <v>Q2 '15</v>
      </c>
      <c r="AI29" s="26" t="str">
        <f t="shared" si="41"/>
        <v>Q3 '15</v>
      </c>
      <c r="AJ29" s="26" t="str">
        <f t="shared" si="41"/>
        <v>Q4 '15</v>
      </c>
      <c r="AK29" s="30" t="s">
        <v>27</v>
      </c>
      <c r="AL29" s="30" t="s">
        <v>29</v>
      </c>
      <c r="AM29" s="30" t="s">
        <v>30</v>
      </c>
      <c r="AN29" s="30" t="s">
        <v>31</v>
      </c>
      <c r="AO29" s="30" t="s">
        <v>32</v>
      </c>
      <c r="AP29" s="108">
        <v>42736</v>
      </c>
      <c r="AQ29" s="108">
        <v>42767</v>
      </c>
      <c r="AR29" s="108">
        <v>42795</v>
      </c>
      <c r="AS29" s="108">
        <v>42826</v>
      </c>
      <c r="AT29" s="108">
        <v>42856</v>
      </c>
      <c r="AU29" s="108">
        <v>42887</v>
      </c>
      <c r="AV29" s="108">
        <v>42917</v>
      </c>
      <c r="AW29" s="108">
        <v>42948</v>
      </c>
      <c r="AX29" s="108">
        <v>42979</v>
      </c>
      <c r="AY29" s="108">
        <v>43009</v>
      </c>
      <c r="AZ29" s="108">
        <v>43040</v>
      </c>
      <c r="BA29" s="108">
        <v>43070</v>
      </c>
      <c r="BB29" s="29" t="s">
        <v>123</v>
      </c>
      <c r="BC29" s="29" t="s">
        <v>124</v>
      </c>
      <c r="BD29" s="29" t="s">
        <v>125</v>
      </c>
      <c r="BE29" s="29" t="s">
        <v>126</v>
      </c>
      <c r="BF29" s="29" t="str">
        <f>$BF$4</f>
        <v>YTD 7/17</v>
      </c>
      <c r="BG29" s="121">
        <v>42736</v>
      </c>
      <c r="BH29" s="108">
        <v>42767</v>
      </c>
      <c r="BI29" s="108">
        <v>42795</v>
      </c>
      <c r="BJ29" s="108">
        <v>42826</v>
      </c>
      <c r="BK29" s="108">
        <v>42856</v>
      </c>
      <c r="BL29" s="108">
        <v>42887</v>
      </c>
      <c r="BM29" s="108">
        <v>42917</v>
      </c>
      <c r="BN29" s="108">
        <v>42948</v>
      </c>
      <c r="BO29" s="108">
        <v>42979</v>
      </c>
      <c r="BP29" s="108">
        <v>43009</v>
      </c>
      <c r="BQ29" s="108">
        <v>43040</v>
      </c>
      <c r="BR29" s="108">
        <v>43070</v>
      </c>
      <c r="BS29" s="29" t="s">
        <v>127</v>
      </c>
      <c r="BT29" s="29" t="s">
        <v>128</v>
      </c>
      <c r="BU29" s="29" t="s">
        <v>96</v>
      </c>
      <c r="BV29" s="29" t="s">
        <v>129</v>
      </c>
      <c r="BW29" s="112" t="s">
        <v>130</v>
      </c>
    </row>
    <row r="30" spans="1:75" x14ac:dyDescent="0.25">
      <c r="A30" s="20" t="str">
        <f>$B$29&amp;"_by_rookie_GENLION:"&amp;TRIM(B30)</f>
        <v># Active_by_rookie_GENLION:MDRT/ GEN Lion (from Apr '17)</v>
      </c>
      <c r="B30" t="s">
        <v>157</v>
      </c>
      <c r="Z30" s="6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31"/>
      <c r="AL30" s="31"/>
      <c r="AM30" s="31"/>
      <c r="AN30" s="31"/>
      <c r="AO30" s="31"/>
      <c r="AP30" s="22">
        <f>[16]Actv!M30</f>
        <v>26</v>
      </c>
      <c r="AQ30" s="22">
        <f>[17]Actv!M30</f>
        <v>35</v>
      </c>
      <c r="AR30" s="22">
        <f>[18]Actv!M30</f>
        <v>33</v>
      </c>
      <c r="AS30" s="22">
        <f>[19]Actv!M51</f>
        <v>157</v>
      </c>
      <c r="AT30" s="22">
        <f>[20]Actv!M51</f>
        <v>102</v>
      </c>
      <c r="AU30" s="22">
        <f>[21]Actv!M51</f>
        <v>92</v>
      </c>
      <c r="AV30" s="22">
        <f>[22]Actv!M51</f>
        <v>64</v>
      </c>
      <c r="AW30" s="18"/>
      <c r="AX30" s="18"/>
      <c r="AY30" s="18"/>
      <c r="AZ30" s="18"/>
      <c r="BA30" s="18"/>
      <c r="BB30" s="110">
        <f>SUM(AP30:INDEX(AP30:AR30,IF($B$3&lt;3,$B$3,3)))</f>
        <v>94</v>
      </c>
      <c r="BC30" s="110">
        <f>SUM(AS30:INDEX(AS30:AU30,IF($B$3&lt;7,$B$3-3,3)))</f>
        <v>351</v>
      </c>
      <c r="BD30" s="110">
        <f>SUM(AV30:INDEX(AV30:AX30,IF(AND($B$3&gt;6,$B$3&lt;10),$B$3-6,0)))</f>
        <v>64</v>
      </c>
      <c r="BE30" s="110">
        <f>SUM(AY30:INDEX(AY30:BA30,IF($B$3&gt;9,$B$3-9,0)))</f>
        <v>0</v>
      </c>
      <c r="BF30" s="110">
        <f>SUM($AP30:INDEX(AP30:BA30,$B$3))</f>
        <v>509</v>
      </c>
      <c r="BG30" s="122" t="e">
        <f t="shared" ref="BG30:BR38" si="42">AP30/O30</f>
        <v>#DIV/0!</v>
      </c>
      <c r="BH30" s="111" t="e">
        <f t="shared" si="42"/>
        <v>#DIV/0!</v>
      </c>
      <c r="BI30" s="111" t="e">
        <f t="shared" si="42"/>
        <v>#DIV/0!</v>
      </c>
      <c r="BJ30" s="111" t="e">
        <f t="shared" si="42"/>
        <v>#DIV/0!</v>
      </c>
      <c r="BK30" s="111" t="e">
        <f t="shared" si="42"/>
        <v>#DIV/0!</v>
      </c>
      <c r="BL30" s="111" t="e">
        <f t="shared" si="42"/>
        <v>#DIV/0!</v>
      </c>
      <c r="BM30" s="111" t="e">
        <f t="shared" si="42"/>
        <v>#DIV/0!</v>
      </c>
      <c r="BN30" s="111" t="e">
        <f t="shared" si="42"/>
        <v>#DIV/0!</v>
      </c>
      <c r="BO30" s="111" t="e">
        <f t="shared" si="42"/>
        <v>#DIV/0!</v>
      </c>
      <c r="BP30" s="111" t="e">
        <f t="shared" si="42"/>
        <v>#DIV/0!</v>
      </c>
      <c r="BQ30" s="111" t="e">
        <f t="shared" si="42"/>
        <v>#DIV/0!</v>
      </c>
      <c r="BR30" s="111" t="e">
        <f t="shared" si="42"/>
        <v>#DIV/0!</v>
      </c>
      <c r="BS30" s="111" t="e">
        <f>BB30/SUM(O30:INDEX(O30:Q30,IF($B$3&lt;3,$B$3,3)))</f>
        <v>#DIV/0!</v>
      </c>
      <c r="BT30" s="111" t="e">
        <f>BC30/SUM(R30:INDEX(R30:T30,IF($B$3&lt;7,$B$3-3,3)))</f>
        <v>#DIV/0!</v>
      </c>
      <c r="BU30" s="111" t="e">
        <f t="shared" ref="BU30:BV38" si="43">BD30/AD30</f>
        <v>#DIV/0!</v>
      </c>
      <c r="BV30" s="111" t="e">
        <f t="shared" si="43"/>
        <v>#DIV/0!</v>
      </c>
      <c r="BW30" s="111" t="e">
        <f t="shared" ref="BW30:BW38" si="44">BF30/AA30</f>
        <v>#DIV/0!</v>
      </c>
    </row>
    <row r="31" spans="1:75" x14ac:dyDescent="0.25">
      <c r="A31" s="20" t="str">
        <f t="shared" ref="A31:A38" si="45">$B$29&amp;"_by_rookie_GENLION:"&amp;TRIM(B31)</f>
        <v># Active_by_rookie_GENLION:Rookie in month</v>
      </c>
      <c r="B31" t="s">
        <v>5</v>
      </c>
      <c r="Z31" s="6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31"/>
      <c r="AL31" s="31"/>
      <c r="AM31" s="31"/>
      <c r="AN31" s="31"/>
      <c r="AO31" s="31"/>
      <c r="AP31" s="22">
        <f>[16]Actv!M31</f>
        <v>113</v>
      </c>
      <c r="AQ31" s="22">
        <f>[17]Actv!M31</f>
        <v>203</v>
      </c>
      <c r="AR31" s="22">
        <f>[18]Actv!M31</f>
        <v>448</v>
      </c>
      <c r="AS31" s="22">
        <f>[19]Actv!M52</f>
        <v>317</v>
      </c>
      <c r="AT31" s="22">
        <f>[20]Actv!M52</f>
        <v>275</v>
      </c>
      <c r="AU31" s="22">
        <f>[21]Actv!M52</f>
        <v>706</v>
      </c>
      <c r="AV31" s="22">
        <f>[22]Actv!M52</f>
        <v>360</v>
      </c>
      <c r="AW31" s="18"/>
      <c r="AX31" s="18"/>
      <c r="AY31" s="18"/>
      <c r="AZ31" s="18"/>
      <c r="BA31" s="18"/>
      <c r="BB31" s="110">
        <f>SUM(AP31:INDEX(AP31:AR31,IF($B$3&lt;3,$B$3,3)))</f>
        <v>764</v>
      </c>
      <c r="BC31" s="110">
        <f>SUM(AS31:INDEX(AS31:AU31,IF($B$3&lt;7,$B$3-3,3)))</f>
        <v>1298</v>
      </c>
      <c r="BD31" s="110">
        <f>SUM(AV31:INDEX(AV31:AX31,IF(AND($B$3&gt;6,$B$3&lt;10),$B$3-6,0)))</f>
        <v>360</v>
      </c>
      <c r="BE31" s="110">
        <f>SUM(AY31:INDEX(AY31:BA31,IF($B$3&gt;9,$B$3-9,0)))</f>
        <v>0</v>
      </c>
      <c r="BF31" s="110">
        <f>SUM($AP31:INDEX(AP31:BA31,$B$3))</f>
        <v>2422</v>
      </c>
      <c r="BG31" s="122" t="e">
        <f t="shared" si="42"/>
        <v>#DIV/0!</v>
      </c>
      <c r="BH31" s="111" t="e">
        <f t="shared" si="42"/>
        <v>#DIV/0!</v>
      </c>
      <c r="BI31" s="111" t="e">
        <f t="shared" si="42"/>
        <v>#DIV/0!</v>
      </c>
      <c r="BJ31" s="111" t="e">
        <f t="shared" si="42"/>
        <v>#DIV/0!</v>
      </c>
      <c r="BK31" s="111" t="e">
        <f t="shared" si="42"/>
        <v>#DIV/0!</v>
      </c>
      <c r="BL31" s="111" t="e">
        <f t="shared" si="42"/>
        <v>#DIV/0!</v>
      </c>
      <c r="BM31" s="111" t="e">
        <f t="shared" si="42"/>
        <v>#DIV/0!</v>
      </c>
      <c r="BN31" s="111" t="e">
        <f t="shared" si="42"/>
        <v>#DIV/0!</v>
      </c>
      <c r="BO31" s="111" t="e">
        <f t="shared" si="42"/>
        <v>#DIV/0!</v>
      </c>
      <c r="BP31" s="111" t="e">
        <f t="shared" si="42"/>
        <v>#DIV/0!</v>
      </c>
      <c r="BQ31" s="111" t="e">
        <f t="shared" si="42"/>
        <v>#DIV/0!</v>
      </c>
      <c r="BR31" s="111" t="e">
        <f t="shared" si="42"/>
        <v>#DIV/0!</v>
      </c>
      <c r="BS31" s="111" t="e">
        <f>BB31/SUM(O31:INDEX(O31:Q31,IF($B$3&lt;3,$B$3,3)))</f>
        <v>#DIV/0!</v>
      </c>
      <c r="BT31" s="111" t="e">
        <f>BC31/SUM(R31:INDEX(R31:T31,IF($B$3&lt;7,$B$3-3,3)))</f>
        <v>#DIV/0!</v>
      </c>
      <c r="BU31" s="111" t="e">
        <f t="shared" si="43"/>
        <v>#DIV/0!</v>
      </c>
      <c r="BV31" s="111" t="e">
        <f t="shared" si="43"/>
        <v>#DIV/0!</v>
      </c>
      <c r="BW31" s="111" t="e">
        <f t="shared" si="44"/>
        <v>#DIV/0!</v>
      </c>
    </row>
    <row r="32" spans="1:75" x14ac:dyDescent="0.25">
      <c r="A32" s="20" t="str">
        <f t="shared" si="45"/>
        <v># Active_by_rookie_GENLION:Rookie last month</v>
      </c>
      <c r="B32" t="s">
        <v>6</v>
      </c>
      <c r="Z32" s="6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31"/>
      <c r="AL32" s="31"/>
      <c r="AM32" s="31"/>
      <c r="AN32" s="31"/>
      <c r="AO32" s="31"/>
      <c r="AP32" s="22">
        <f>[16]Actv!M32</f>
        <v>163</v>
      </c>
      <c r="AQ32" s="22">
        <f>[17]Actv!M32</f>
        <v>71</v>
      </c>
      <c r="AR32" s="22">
        <f>[18]Actv!M32</f>
        <v>179</v>
      </c>
      <c r="AS32" s="22">
        <f>[19]Actv!M53</f>
        <v>188</v>
      </c>
      <c r="AT32" s="22">
        <f>[20]Actv!M53</f>
        <v>137</v>
      </c>
      <c r="AU32" s="22">
        <f>[21]Actv!M53</f>
        <v>108</v>
      </c>
      <c r="AV32" s="22">
        <f>[22]Actv!M53</f>
        <v>180</v>
      </c>
      <c r="AW32" s="18"/>
      <c r="AX32" s="18"/>
      <c r="AY32" s="18"/>
      <c r="AZ32" s="18"/>
      <c r="BA32" s="18"/>
      <c r="BB32" s="110">
        <f>SUM(AP32:INDEX(AP32:AR32,IF($B$3&lt;3,$B$3,3)))</f>
        <v>413</v>
      </c>
      <c r="BC32" s="110">
        <f>SUM(AS32:INDEX(AS32:AU32,IF($B$3&lt;7,$B$3-3,3)))</f>
        <v>433</v>
      </c>
      <c r="BD32" s="110">
        <f>SUM(AV32:INDEX(AV32:AX32,IF(AND($B$3&gt;6,$B$3&lt;10),$B$3-6,0)))</f>
        <v>180</v>
      </c>
      <c r="BE32" s="110">
        <f>SUM(AY32:INDEX(AY32:BA32,IF($B$3&gt;9,$B$3-9,0)))</f>
        <v>0</v>
      </c>
      <c r="BF32" s="110">
        <f>SUM($AP32:INDEX(AP32:BA32,$B$3))</f>
        <v>1026</v>
      </c>
      <c r="BG32" s="122" t="e">
        <f t="shared" si="42"/>
        <v>#DIV/0!</v>
      </c>
      <c r="BH32" s="111" t="e">
        <f t="shared" si="42"/>
        <v>#DIV/0!</v>
      </c>
      <c r="BI32" s="111" t="e">
        <f t="shared" si="42"/>
        <v>#DIV/0!</v>
      </c>
      <c r="BJ32" s="111" t="e">
        <f t="shared" si="42"/>
        <v>#DIV/0!</v>
      </c>
      <c r="BK32" s="111" t="e">
        <f t="shared" si="42"/>
        <v>#DIV/0!</v>
      </c>
      <c r="BL32" s="111" t="e">
        <f t="shared" si="42"/>
        <v>#DIV/0!</v>
      </c>
      <c r="BM32" s="111" t="e">
        <f t="shared" si="42"/>
        <v>#DIV/0!</v>
      </c>
      <c r="BN32" s="111" t="e">
        <f t="shared" si="42"/>
        <v>#DIV/0!</v>
      </c>
      <c r="BO32" s="111" t="e">
        <f t="shared" si="42"/>
        <v>#DIV/0!</v>
      </c>
      <c r="BP32" s="111" t="e">
        <f t="shared" si="42"/>
        <v>#DIV/0!</v>
      </c>
      <c r="BQ32" s="111" t="e">
        <f t="shared" si="42"/>
        <v>#DIV/0!</v>
      </c>
      <c r="BR32" s="111" t="e">
        <f t="shared" si="42"/>
        <v>#DIV/0!</v>
      </c>
      <c r="BS32" s="111" t="e">
        <f>BB32/SUM(O32:INDEX(O32:Q32,IF($B$3&lt;3,$B$3,3)))</f>
        <v>#DIV/0!</v>
      </c>
      <c r="BT32" s="111" t="e">
        <f>BC32/SUM(R32:INDEX(R32:T32,IF($B$3&lt;7,$B$3-3,3)))</f>
        <v>#DIV/0!</v>
      </c>
      <c r="BU32" s="111" t="e">
        <f t="shared" si="43"/>
        <v>#DIV/0!</v>
      </c>
      <c r="BV32" s="111" t="e">
        <f t="shared" si="43"/>
        <v>#DIV/0!</v>
      </c>
      <c r="BW32" s="111" t="e">
        <f t="shared" si="44"/>
        <v>#DIV/0!</v>
      </c>
    </row>
    <row r="33" spans="1:75" x14ac:dyDescent="0.25">
      <c r="A33" s="20" t="str">
        <f t="shared" si="45"/>
        <v># Active_by_rookie_GENLION:2-3 months</v>
      </c>
      <c r="B33" t="s">
        <v>7</v>
      </c>
      <c r="Z33" s="6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31"/>
      <c r="AL33" s="31"/>
      <c r="AM33" s="31"/>
      <c r="AN33" s="31"/>
      <c r="AO33" s="31"/>
      <c r="AP33" s="22">
        <f>[16]Actv!M33</f>
        <v>154</v>
      </c>
      <c r="AQ33" s="22">
        <f>[17]Actv!M33</f>
        <v>299</v>
      </c>
      <c r="AR33" s="22">
        <f>[18]Actv!M33</f>
        <v>194</v>
      </c>
      <c r="AS33" s="22">
        <f>[19]Actv!M54</f>
        <v>139</v>
      </c>
      <c r="AT33" s="22">
        <f>[20]Actv!M54</f>
        <v>154</v>
      </c>
      <c r="AU33" s="22">
        <f>[21]Actv!M54</f>
        <v>136</v>
      </c>
      <c r="AV33" s="22">
        <f>[22]Actv!M54</f>
        <v>115</v>
      </c>
      <c r="AW33" s="18"/>
      <c r="AX33" s="18"/>
      <c r="AY33" s="18"/>
      <c r="AZ33" s="18"/>
      <c r="BA33" s="18"/>
      <c r="BB33" s="110">
        <f>SUM(AP33:INDEX(AP33:AR33,IF($B$3&lt;3,$B$3,3)))</f>
        <v>647</v>
      </c>
      <c r="BC33" s="110">
        <f>SUM(AS33:INDEX(AS33:AU33,IF($B$3&lt;7,$B$3-3,3)))</f>
        <v>429</v>
      </c>
      <c r="BD33" s="110">
        <f>SUM(AV33:INDEX(AV33:AX33,IF(AND($B$3&gt;6,$B$3&lt;10),$B$3-6,0)))</f>
        <v>115</v>
      </c>
      <c r="BE33" s="110">
        <f>SUM(AY33:INDEX(AY33:BA33,IF($B$3&gt;9,$B$3-9,0)))</f>
        <v>0</v>
      </c>
      <c r="BF33" s="110">
        <f>SUM($AP33:INDEX(AP33:BA33,$B$3))</f>
        <v>1191</v>
      </c>
      <c r="BG33" s="122" t="e">
        <f t="shared" si="42"/>
        <v>#DIV/0!</v>
      </c>
      <c r="BH33" s="111" t="e">
        <f t="shared" si="42"/>
        <v>#DIV/0!</v>
      </c>
      <c r="BI33" s="111" t="e">
        <f t="shared" si="42"/>
        <v>#DIV/0!</v>
      </c>
      <c r="BJ33" s="111" t="e">
        <f t="shared" si="42"/>
        <v>#DIV/0!</v>
      </c>
      <c r="BK33" s="111" t="e">
        <f t="shared" si="42"/>
        <v>#DIV/0!</v>
      </c>
      <c r="BL33" s="111" t="e">
        <f t="shared" si="42"/>
        <v>#DIV/0!</v>
      </c>
      <c r="BM33" s="111" t="e">
        <f t="shared" si="42"/>
        <v>#DIV/0!</v>
      </c>
      <c r="BN33" s="111" t="e">
        <f t="shared" si="42"/>
        <v>#DIV/0!</v>
      </c>
      <c r="BO33" s="111" t="e">
        <f t="shared" si="42"/>
        <v>#DIV/0!</v>
      </c>
      <c r="BP33" s="111" t="e">
        <f t="shared" si="42"/>
        <v>#DIV/0!</v>
      </c>
      <c r="BQ33" s="111" t="e">
        <f t="shared" si="42"/>
        <v>#DIV/0!</v>
      </c>
      <c r="BR33" s="111" t="e">
        <f t="shared" si="42"/>
        <v>#DIV/0!</v>
      </c>
      <c r="BS33" s="111" t="e">
        <f>BB33/SUM(O33:INDEX(O33:Q33,IF($B$3&lt;3,$B$3,3)))</f>
        <v>#DIV/0!</v>
      </c>
      <c r="BT33" s="111" t="e">
        <f>BC33/SUM(R33:INDEX(R33:T33,IF($B$3&lt;7,$B$3-3,3)))</f>
        <v>#DIV/0!</v>
      </c>
      <c r="BU33" s="111" t="e">
        <f t="shared" si="43"/>
        <v>#DIV/0!</v>
      </c>
      <c r="BV33" s="111" t="e">
        <f t="shared" si="43"/>
        <v>#DIV/0!</v>
      </c>
      <c r="BW33" s="111" t="e">
        <f t="shared" si="44"/>
        <v>#DIV/0!</v>
      </c>
    </row>
    <row r="34" spans="1:75" x14ac:dyDescent="0.25">
      <c r="A34" s="20" t="str">
        <f t="shared" si="45"/>
        <v># Active_by_rookie_GENLION:4 - 6 mths</v>
      </c>
      <c r="B34" t="s">
        <v>8</v>
      </c>
      <c r="Z34" s="6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31"/>
      <c r="AL34" s="31"/>
      <c r="AM34" s="31"/>
      <c r="AN34" s="31"/>
      <c r="AO34" s="31"/>
      <c r="AP34" s="22">
        <f>[16]Actv!M34</f>
        <v>105</v>
      </c>
      <c r="AQ34" s="22">
        <f>[17]Actv!M34</f>
        <v>168</v>
      </c>
      <c r="AR34" s="22">
        <f>[18]Actv!M34</f>
        <v>214</v>
      </c>
      <c r="AS34" s="22">
        <f>[19]Actv!M55</f>
        <v>130</v>
      </c>
      <c r="AT34" s="22">
        <f>[20]Actv!M55</f>
        <v>70</v>
      </c>
      <c r="AU34" s="22">
        <f>[21]Actv!M55</f>
        <v>68</v>
      </c>
      <c r="AV34" s="22">
        <f>[22]Actv!M55</f>
        <v>65</v>
      </c>
      <c r="AW34" s="18"/>
      <c r="AX34" s="18"/>
      <c r="AY34" s="18"/>
      <c r="AZ34" s="18"/>
      <c r="BA34" s="18"/>
      <c r="BB34" s="110">
        <f>SUM(AP34:INDEX(AP34:AR34,IF($B$3&lt;3,$B$3,3)))</f>
        <v>487</v>
      </c>
      <c r="BC34" s="110">
        <f>SUM(AS34:INDEX(AS34:AU34,IF($B$3&lt;7,$B$3-3,3)))</f>
        <v>268</v>
      </c>
      <c r="BD34" s="110">
        <f>SUM(AV34:INDEX(AV34:AX34,IF(AND($B$3&gt;6,$B$3&lt;10),$B$3-6,0)))</f>
        <v>65</v>
      </c>
      <c r="BE34" s="110">
        <f>SUM(AY34:INDEX(AY34:BA34,IF($B$3&gt;9,$B$3-9,0)))</f>
        <v>0</v>
      </c>
      <c r="BF34" s="110">
        <f>SUM($AP34:INDEX(AP34:BA34,$B$3))</f>
        <v>820</v>
      </c>
      <c r="BG34" s="122" t="e">
        <f t="shared" si="42"/>
        <v>#DIV/0!</v>
      </c>
      <c r="BH34" s="111" t="e">
        <f t="shared" si="42"/>
        <v>#DIV/0!</v>
      </c>
      <c r="BI34" s="111" t="e">
        <f t="shared" si="42"/>
        <v>#DIV/0!</v>
      </c>
      <c r="BJ34" s="111" t="e">
        <f t="shared" si="42"/>
        <v>#DIV/0!</v>
      </c>
      <c r="BK34" s="111" t="e">
        <f t="shared" si="42"/>
        <v>#DIV/0!</v>
      </c>
      <c r="BL34" s="111" t="e">
        <f t="shared" si="42"/>
        <v>#DIV/0!</v>
      </c>
      <c r="BM34" s="111" t="e">
        <f t="shared" si="42"/>
        <v>#DIV/0!</v>
      </c>
      <c r="BN34" s="111" t="e">
        <f t="shared" si="42"/>
        <v>#DIV/0!</v>
      </c>
      <c r="BO34" s="111" t="e">
        <f t="shared" si="42"/>
        <v>#DIV/0!</v>
      </c>
      <c r="BP34" s="111" t="e">
        <f t="shared" si="42"/>
        <v>#DIV/0!</v>
      </c>
      <c r="BQ34" s="111" t="e">
        <f t="shared" si="42"/>
        <v>#DIV/0!</v>
      </c>
      <c r="BR34" s="111" t="e">
        <f t="shared" si="42"/>
        <v>#DIV/0!</v>
      </c>
      <c r="BS34" s="111" t="e">
        <f>BB34/SUM(O34:INDEX(O34:Q34,IF($B$3&lt;3,$B$3,3)))</f>
        <v>#DIV/0!</v>
      </c>
      <c r="BT34" s="111" t="e">
        <f>BC34/SUM(R34:INDEX(R34:T34,IF($B$3&lt;7,$B$3-3,3)))</f>
        <v>#DIV/0!</v>
      </c>
      <c r="BU34" s="111" t="e">
        <f t="shared" si="43"/>
        <v>#DIV/0!</v>
      </c>
      <c r="BV34" s="111" t="e">
        <f t="shared" si="43"/>
        <v>#DIV/0!</v>
      </c>
      <c r="BW34" s="111" t="e">
        <f t="shared" si="44"/>
        <v>#DIV/0!</v>
      </c>
    </row>
    <row r="35" spans="1:75" x14ac:dyDescent="0.25">
      <c r="A35" s="20" t="str">
        <f t="shared" si="45"/>
        <v># Active_by_rookie_GENLION:7-12mth</v>
      </c>
      <c r="B35" t="s">
        <v>1</v>
      </c>
      <c r="Z35" s="6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31"/>
      <c r="AL35" s="31"/>
      <c r="AM35" s="31"/>
      <c r="AN35" s="31"/>
      <c r="AO35" s="31"/>
      <c r="AP35" s="22">
        <f>[16]Actv!M35</f>
        <v>45</v>
      </c>
      <c r="AQ35" s="22">
        <f>[17]Actv!M35</f>
        <v>73</v>
      </c>
      <c r="AR35" s="22">
        <f>[18]Actv!M35</f>
        <v>111</v>
      </c>
      <c r="AS35" s="22">
        <f>[19]Actv!M56</f>
        <v>94</v>
      </c>
      <c r="AT35" s="22">
        <f>[20]Actv!M56</f>
        <v>65</v>
      </c>
      <c r="AU35" s="22">
        <f>[21]Actv!M56</f>
        <v>62</v>
      </c>
      <c r="AV35" s="22">
        <f>[22]Actv!M56</f>
        <v>56</v>
      </c>
      <c r="AW35" s="18"/>
      <c r="AX35" s="18"/>
      <c r="AY35" s="18"/>
      <c r="AZ35" s="18"/>
      <c r="BA35" s="18"/>
      <c r="BB35" s="110">
        <f>SUM(AP35:INDEX(AP35:AR35,IF($B$3&lt;3,$B$3,3)))</f>
        <v>229</v>
      </c>
      <c r="BC35" s="110">
        <f>SUM(AS35:INDEX(AS35:AU35,IF($B$3&lt;7,$B$3-3,3)))</f>
        <v>221</v>
      </c>
      <c r="BD35" s="110">
        <f>SUM(AV35:INDEX(AV35:AX35,IF(AND($B$3&gt;6,$B$3&lt;10),$B$3-6,0)))</f>
        <v>56</v>
      </c>
      <c r="BE35" s="110">
        <f>SUM(AY35:INDEX(AY35:BA35,IF($B$3&gt;9,$B$3-9,0)))</f>
        <v>0</v>
      </c>
      <c r="BF35" s="110">
        <f>SUM($AP35:INDEX(AP35:BA35,$B$3))</f>
        <v>506</v>
      </c>
      <c r="BG35" s="122" t="e">
        <f t="shared" si="42"/>
        <v>#DIV/0!</v>
      </c>
      <c r="BH35" s="111" t="e">
        <f t="shared" si="42"/>
        <v>#DIV/0!</v>
      </c>
      <c r="BI35" s="111" t="e">
        <f t="shared" si="42"/>
        <v>#DIV/0!</v>
      </c>
      <c r="BJ35" s="111" t="e">
        <f t="shared" si="42"/>
        <v>#DIV/0!</v>
      </c>
      <c r="BK35" s="111" t="e">
        <f t="shared" si="42"/>
        <v>#DIV/0!</v>
      </c>
      <c r="BL35" s="111" t="e">
        <f t="shared" si="42"/>
        <v>#DIV/0!</v>
      </c>
      <c r="BM35" s="111" t="e">
        <f t="shared" si="42"/>
        <v>#DIV/0!</v>
      </c>
      <c r="BN35" s="111" t="e">
        <f t="shared" si="42"/>
        <v>#DIV/0!</v>
      </c>
      <c r="BO35" s="111" t="e">
        <f t="shared" si="42"/>
        <v>#DIV/0!</v>
      </c>
      <c r="BP35" s="111" t="e">
        <f t="shared" si="42"/>
        <v>#DIV/0!</v>
      </c>
      <c r="BQ35" s="111" t="e">
        <f t="shared" si="42"/>
        <v>#DIV/0!</v>
      </c>
      <c r="BR35" s="111" t="e">
        <f t="shared" si="42"/>
        <v>#DIV/0!</v>
      </c>
      <c r="BS35" s="111" t="e">
        <f>BB35/SUM(O35:INDEX(O35:Q35,IF($B$3&lt;3,$B$3,3)))</f>
        <v>#DIV/0!</v>
      </c>
      <c r="BT35" s="111" t="e">
        <f>BC35/SUM(R35:INDEX(R35:T35,IF($B$3&lt;7,$B$3-3,3)))</f>
        <v>#DIV/0!</v>
      </c>
      <c r="BU35" s="111" t="e">
        <f t="shared" si="43"/>
        <v>#DIV/0!</v>
      </c>
      <c r="BV35" s="111" t="e">
        <f t="shared" si="43"/>
        <v>#DIV/0!</v>
      </c>
      <c r="BW35" s="111" t="e">
        <f t="shared" si="44"/>
        <v>#DIV/0!</v>
      </c>
    </row>
    <row r="36" spans="1:75" x14ac:dyDescent="0.25">
      <c r="A36" s="20" t="str">
        <f t="shared" si="45"/>
        <v># Active_by_rookie_GENLION:13+mth</v>
      </c>
      <c r="B36" t="s">
        <v>2</v>
      </c>
      <c r="Z36" s="6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31"/>
      <c r="AL36" s="31"/>
      <c r="AM36" s="31"/>
      <c r="AN36" s="31"/>
      <c r="AO36" s="31"/>
      <c r="AP36" s="22">
        <f>[16]Actv!M36</f>
        <v>55</v>
      </c>
      <c r="AQ36" s="22">
        <f>[17]Actv!M36</f>
        <v>71</v>
      </c>
      <c r="AR36" s="22">
        <f>[18]Actv!M36</f>
        <v>67</v>
      </c>
      <c r="AS36" s="22">
        <f>[19]Actv!M57</f>
        <v>73</v>
      </c>
      <c r="AT36" s="22">
        <f>[20]Actv!M57</f>
        <v>61</v>
      </c>
      <c r="AU36" s="22">
        <f>[21]Actv!M57</f>
        <v>54</v>
      </c>
      <c r="AV36" s="22">
        <f>[22]Actv!M57</f>
        <v>51</v>
      </c>
      <c r="AW36" s="18"/>
      <c r="AX36" s="18"/>
      <c r="AY36" s="18"/>
      <c r="AZ36" s="18"/>
      <c r="BA36" s="18"/>
      <c r="BB36" s="110">
        <f>SUM(AP36:INDEX(AP36:AR36,IF($B$3&lt;3,$B$3,3)))</f>
        <v>193</v>
      </c>
      <c r="BC36" s="110">
        <f>SUM(AS36:INDEX(AS36:AU36,IF($B$3&lt;7,$B$3-3,3)))</f>
        <v>188</v>
      </c>
      <c r="BD36" s="110">
        <f>SUM(AV36:INDEX(AV36:AX36,IF(AND($B$3&gt;6,$B$3&lt;10),$B$3-6,0)))</f>
        <v>51</v>
      </c>
      <c r="BE36" s="110">
        <f>SUM(AY36:INDEX(AY36:BA36,IF($B$3&gt;9,$B$3-9,0)))</f>
        <v>0</v>
      </c>
      <c r="BF36" s="110">
        <f>SUM($AP36:INDEX(AP36:BA36,$B$3))</f>
        <v>432</v>
      </c>
      <c r="BG36" s="122" t="e">
        <f t="shared" si="42"/>
        <v>#DIV/0!</v>
      </c>
      <c r="BH36" s="111" t="e">
        <f t="shared" si="42"/>
        <v>#DIV/0!</v>
      </c>
      <c r="BI36" s="111" t="e">
        <f t="shared" si="42"/>
        <v>#DIV/0!</v>
      </c>
      <c r="BJ36" s="111" t="e">
        <f t="shared" si="42"/>
        <v>#DIV/0!</v>
      </c>
      <c r="BK36" s="111" t="e">
        <f t="shared" si="42"/>
        <v>#DIV/0!</v>
      </c>
      <c r="BL36" s="111" t="e">
        <f t="shared" si="42"/>
        <v>#DIV/0!</v>
      </c>
      <c r="BM36" s="111" t="e">
        <f t="shared" si="42"/>
        <v>#DIV/0!</v>
      </c>
      <c r="BN36" s="111" t="e">
        <f t="shared" si="42"/>
        <v>#DIV/0!</v>
      </c>
      <c r="BO36" s="111" t="e">
        <f t="shared" si="42"/>
        <v>#DIV/0!</v>
      </c>
      <c r="BP36" s="111" t="e">
        <f t="shared" si="42"/>
        <v>#DIV/0!</v>
      </c>
      <c r="BQ36" s="111" t="e">
        <f t="shared" si="42"/>
        <v>#DIV/0!</v>
      </c>
      <c r="BR36" s="111" t="e">
        <f t="shared" si="42"/>
        <v>#DIV/0!</v>
      </c>
      <c r="BS36" s="111" t="e">
        <f>BB36/SUM(O36:INDEX(O36:Q36,IF($B$3&lt;3,$B$3,3)))</f>
        <v>#DIV/0!</v>
      </c>
      <c r="BT36" s="111" t="e">
        <f>BC36/SUM(R36:INDEX(R36:T36,IF($B$3&lt;7,$B$3-3,3)))</f>
        <v>#DIV/0!</v>
      </c>
      <c r="BU36" s="111" t="e">
        <f t="shared" si="43"/>
        <v>#DIV/0!</v>
      </c>
      <c r="BV36" s="111" t="e">
        <f t="shared" si="43"/>
        <v>#DIV/0!</v>
      </c>
      <c r="BW36" s="111" t="e">
        <f t="shared" si="44"/>
        <v>#DIV/0!</v>
      </c>
    </row>
    <row r="37" spans="1:75" x14ac:dyDescent="0.25">
      <c r="A37" s="20" t="str">
        <f t="shared" si="45"/>
        <v># Active_by_rookie_GENLION:SA</v>
      </c>
      <c r="B37" s="135" t="s">
        <v>136</v>
      </c>
      <c r="Z37" s="6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31"/>
      <c r="AL37" s="31"/>
      <c r="AM37" s="31"/>
      <c r="AN37" s="31"/>
      <c r="AO37" s="31"/>
      <c r="AP37" s="22"/>
      <c r="AQ37" s="22">
        <f>[17]Actv!M37</f>
        <v>67</v>
      </c>
      <c r="AR37" s="22">
        <f>[18]Actv!M37</f>
        <v>45</v>
      </c>
      <c r="AS37" s="22">
        <f>[19]Actv!M58</f>
        <v>115</v>
      </c>
      <c r="AT37" s="22">
        <f>[20]Actv!M58</f>
        <v>44</v>
      </c>
      <c r="AU37" s="22">
        <f>[21]Actv!M58</f>
        <v>42</v>
      </c>
      <c r="AV37" s="22">
        <f>[22]Actv!M58</f>
        <v>32</v>
      </c>
      <c r="AW37" s="18"/>
      <c r="AX37" s="18"/>
      <c r="AY37" s="18"/>
      <c r="AZ37" s="18"/>
      <c r="BA37" s="18"/>
      <c r="BB37" s="110">
        <f>SUM(AP37:INDEX(AP37:AR37,IF($B$3&lt;3,$B$3,3)))</f>
        <v>112</v>
      </c>
      <c r="BC37" s="110">
        <f>SUM(AS37:INDEX(AS37:AU37,IF($B$3&lt;7,$B$3-3,3)))</f>
        <v>201</v>
      </c>
      <c r="BD37" s="110">
        <f>SUM(AV37:INDEX(AV37:AX37,IF(AND($B$3&gt;6,$B$3&lt;10),$B$3-6,0)))</f>
        <v>32</v>
      </c>
      <c r="BE37" s="110"/>
      <c r="BF37" s="110">
        <f>SUM($AP37:INDEX(AP37:BA37,$B$3))</f>
        <v>345</v>
      </c>
      <c r="BG37" s="122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</row>
    <row r="38" spans="1:75" s="19" customFormat="1" x14ac:dyDescent="0.25">
      <c r="A38" s="20" t="str">
        <f t="shared" si="45"/>
        <v># Active_by_rookie_GENLION:Total (excl. SA)</v>
      </c>
      <c r="B38" s="1" t="s">
        <v>137</v>
      </c>
      <c r="C38" s="7">
        <f>SUM(C30:C36)</f>
        <v>0</v>
      </c>
      <c r="D38" s="7">
        <f t="shared" ref="D38:Z38" si="46">SUM(D30:D36)</f>
        <v>0</v>
      </c>
      <c r="E38" s="7">
        <f t="shared" si="46"/>
        <v>0</v>
      </c>
      <c r="F38" s="7">
        <f t="shared" si="46"/>
        <v>0</v>
      </c>
      <c r="G38" s="7">
        <f t="shared" si="46"/>
        <v>0</v>
      </c>
      <c r="H38" s="7">
        <f t="shared" si="46"/>
        <v>0</v>
      </c>
      <c r="I38" s="7">
        <f t="shared" si="46"/>
        <v>0</v>
      </c>
      <c r="J38" s="7">
        <f t="shared" si="46"/>
        <v>0</v>
      </c>
      <c r="K38" s="7">
        <f t="shared" si="46"/>
        <v>0</v>
      </c>
      <c r="L38" s="7">
        <f t="shared" si="46"/>
        <v>0</v>
      </c>
      <c r="M38" s="7">
        <f t="shared" si="46"/>
        <v>0</v>
      </c>
      <c r="N38" s="7">
        <f t="shared" si="46"/>
        <v>0</v>
      </c>
      <c r="O38" s="7">
        <f t="shared" si="46"/>
        <v>0</v>
      </c>
      <c r="P38" s="7">
        <f t="shared" si="46"/>
        <v>0</v>
      </c>
      <c r="Q38" s="7">
        <f t="shared" si="46"/>
        <v>0</v>
      </c>
      <c r="R38" s="7">
        <f t="shared" si="46"/>
        <v>0</v>
      </c>
      <c r="S38" s="7">
        <f t="shared" si="46"/>
        <v>0</v>
      </c>
      <c r="T38" s="7">
        <f t="shared" si="46"/>
        <v>0</v>
      </c>
      <c r="U38" s="7">
        <f t="shared" si="46"/>
        <v>0</v>
      </c>
      <c r="V38" s="7">
        <f t="shared" si="46"/>
        <v>0</v>
      </c>
      <c r="W38" s="7">
        <f t="shared" si="46"/>
        <v>0</v>
      </c>
      <c r="X38" s="7">
        <f t="shared" si="46"/>
        <v>0</v>
      </c>
      <c r="Y38" s="7">
        <f t="shared" si="46"/>
        <v>0</v>
      </c>
      <c r="Z38" s="7">
        <f t="shared" si="46"/>
        <v>0</v>
      </c>
      <c r="AA38" s="1">
        <f>SUM(O38:INDEX(O38:Z38,$B$3))</f>
        <v>0</v>
      </c>
      <c r="AB38" s="1">
        <f t="shared" ref="AB38:AJ38" si="47">SUM(AB30:AB36)</f>
        <v>0</v>
      </c>
      <c r="AC38" s="1">
        <f t="shared" si="47"/>
        <v>0</v>
      </c>
      <c r="AD38" s="1">
        <f t="shared" si="47"/>
        <v>0</v>
      </c>
      <c r="AE38" s="1">
        <f t="shared" si="47"/>
        <v>0</v>
      </c>
      <c r="AF38" s="7">
        <f t="shared" si="47"/>
        <v>0</v>
      </c>
      <c r="AG38" s="7">
        <f t="shared" si="47"/>
        <v>0</v>
      </c>
      <c r="AH38" s="7">
        <f t="shared" si="47"/>
        <v>0</v>
      </c>
      <c r="AI38" s="7">
        <f t="shared" si="47"/>
        <v>0</v>
      </c>
      <c r="AJ38" s="7">
        <f t="shared" si="47"/>
        <v>0</v>
      </c>
      <c r="AK38" s="32" t="e">
        <f t="shared" ref="AK38" si="48">AA38/AF38-1</f>
        <v>#DIV/0!</v>
      </c>
      <c r="AL38" s="32" t="e">
        <f t="shared" ref="AL38:AN38" si="49">AB38/AG38-1</f>
        <v>#DIV/0!</v>
      </c>
      <c r="AM38" s="32" t="e">
        <f t="shared" si="49"/>
        <v>#DIV/0!</v>
      </c>
      <c r="AN38" s="32" t="e">
        <f t="shared" si="49"/>
        <v>#DIV/0!</v>
      </c>
      <c r="AO38" s="31" t="e">
        <f>AE38/SUM(L38:INDEX(L38:N38,MOD($B$3,3)))-1</f>
        <v>#DIV/0!</v>
      </c>
      <c r="AP38" s="7">
        <f t="shared" ref="AP38:AU38" si="50">SUM(AP30:AP36)</f>
        <v>661</v>
      </c>
      <c r="AQ38" s="7">
        <f t="shared" si="50"/>
        <v>920</v>
      </c>
      <c r="AR38" s="7">
        <f t="shared" si="50"/>
        <v>1246</v>
      </c>
      <c r="AS38" s="7">
        <f t="shared" si="50"/>
        <v>1098</v>
      </c>
      <c r="AT38" s="7">
        <f t="shared" si="50"/>
        <v>864</v>
      </c>
      <c r="AU38" s="7">
        <f t="shared" si="50"/>
        <v>1226</v>
      </c>
      <c r="AV38" s="7">
        <f>SUM(AV30:AV36)</f>
        <v>891</v>
      </c>
      <c r="AW38" s="17"/>
      <c r="AX38" s="17"/>
      <c r="AY38" s="17"/>
      <c r="AZ38" s="17"/>
      <c r="BA38" s="17"/>
      <c r="BB38" s="116">
        <f>SUM(AP38:INDEX(AP38:AR38,IF($B$3&lt;3,$B$3,3)))</f>
        <v>2827</v>
      </c>
      <c r="BC38" s="116">
        <f>SUM(AS38:INDEX(AS38:AU38,IF($B$3&lt;7,$B$3-3,3)))</f>
        <v>3188</v>
      </c>
      <c r="BD38" s="116">
        <f>SUM(AV38:INDEX(AV38:AX38,IF(AND($B$3&gt;6,$B$3&lt;10),$B$3-6,0)))</f>
        <v>891</v>
      </c>
      <c r="BE38" s="116">
        <f>SUM(AY38:INDEX(AY38:BA38,IF($B$3&gt;9,$B$3-9,0)))</f>
        <v>0</v>
      </c>
      <c r="BF38" s="116">
        <f>SUM($AP38:INDEX(AP38:BA38,$B$3))</f>
        <v>6906</v>
      </c>
      <c r="BG38" s="123" t="e">
        <f t="shared" si="42"/>
        <v>#DIV/0!</v>
      </c>
      <c r="BH38" s="118" t="e">
        <f t="shared" si="42"/>
        <v>#DIV/0!</v>
      </c>
      <c r="BI38" s="118" t="e">
        <f t="shared" si="42"/>
        <v>#DIV/0!</v>
      </c>
      <c r="BJ38" s="118" t="e">
        <f t="shared" si="42"/>
        <v>#DIV/0!</v>
      </c>
      <c r="BK38" s="118" t="e">
        <f t="shared" si="42"/>
        <v>#DIV/0!</v>
      </c>
      <c r="BL38" s="118" t="e">
        <f t="shared" si="42"/>
        <v>#DIV/0!</v>
      </c>
      <c r="BM38" s="118" t="e">
        <f t="shared" si="42"/>
        <v>#DIV/0!</v>
      </c>
      <c r="BN38" s="118" t="e">
        <f t="shared" si="42"/>
        <v>#DIV/0!</v>
      </c>
      <c r="BO38" s="118" t="e">
        <f t="shared" si="42"/>
        <v>#DIV/0!</v>
      </c>
      <c r="BP38" s="118" t="e">
        <f t="shared" si="42"/>
        <v>#DIV/0!</v>
      </c>
      <c r="BQ38" s="118" t="e">
        <f t="shared" si="42"/>
        <v>#DIV/0!</v>
      </c>
      <c r="BR38" s="118" t="e">
        <f t="shared" si="42"/>
        <v>#DIV/0!</v>
      </c>
      <c r="BS38" s="118" t="e">
        <f>BB38/SUM(O38:INDEX(O38:Q38,IF($B$3&lt;3,$B$3,3)))</f>
        <v>#DIV/0!</v>
      </c>
      <c r="BT38" s="118" t="e">
        <f>BC38/SUM(R38:INDEX(R38:T38,IF($B$3&lt;7,$B$3-3,3)))</f>
        <v>#DIV/0!</v>
      </c>
      <c r="BU38" s="118" t="e">
        <f t="shared" si="43"/>
        <v>#DIV/0!</v>
      </c>
      <c r="BV38" s="118" t="e">
        <f t="shared" si="43"/>
        <v>#DIV/0!</v>
      </c>
      <c r="BW38" s="118" t="e">
        <f t="shared" si="44"/>
        <v>#DIV/0!</v>
      </c>
    </row>
    <row r="39" spans="1:75" x14ac:dyDescent="0.25"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31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24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</row>
    <row r="40" spans="1:75" x14ac:dyDescent="0.25"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24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</row>
    <row r="41" spans="1:75" s="19" customFormat="1" x14ac:dyDescent="0.25">
      <c r="A41" s="17"/>
      <c r="B41" s="2" t="s">
        <v>11</v>
      </c>
      <c r="C41" s="3">
        <f t="shared" ref="C41:Z41" si="51">C17</f>
        <v>42005</v>
      </c>
      <c r="D41" s="3">
        <f t="shared" si="51"/>
        <v>42036</v>
      </c>
      <c r="E41" s="3">
        <f t="shared" si="51"/>
        <v>42064</v>
      </c>
      <c r="F41" s="3">
        <f t="shared" si="51"/>
        <v>42095</v>
      </c>
      <c r="G41" s="3">
        <f t="shared" si="51"/>
        <v>42125</v>
      </c>
      <c r="H41" s="3">
        <f t="shared" si="51"/>
        <v>42156</v>
      </c>
      <c r="I41" s="3">
        <f t="shared" si="51"/>
        <v>42186</v>
      </c>
      <c r="J41" s="3">
        <f t="shared" si="51"/>
        <v>42217</v>
      </c>
      <c r="K41" s="3">
        <f t="shared" si="51"/>
        <v>42248</v>
      </c>
      <c r="L41" s="3">
        <f t="shared" si="51"/>
        <v>42278</v>
      </c>
      <c r="M41" s="3">
        <f t="shared" si="51"/>
        <v>42309</v>
      </c>
      <c r="N41" s="3">
        <f t="shared" si="51"/>
        <v>42339</v>
      </c>
      <c r="O41" s="3">
        <f t="shared" si="51"/>
        <v>42370</v>
      </c>
      <c r="P41" s="3">
        <f t="shared" si="51"/>
        <v>42401</v>
      </c>
      <c r="Q41" s="3">
        <f t="shared" si="51"/>
        <v>42430</v>
      </c>
      <c r="R41" s="3">
        <f t="shared" si="51"/>
        <v>42461</v>
      </c>
      <c r="S41" s="3">
        <f t="shared" si="51"/>
        <v>42491</v>
      </c>
      <c r="T41" s="3">
        <f t="shared" si="51"/>
        <v>42522</v>
      </c>
      <c r="U41" s="3">
        <f t="shared" si="51"/>
        <v>42552</v>
      </c>
      <c r="V41" s="3">
        <f t="shared" si="51"/>
        <v>42583</v>
      </c>
      <c r="W41" s="3">
        <f t="shared" si="51"/>
        <v>42614</v>
      </c>
      <c r="X41" s="3">
        <f t="shared" si="51"/>
        <v>42644</v>
      </c>
      <c r="Y41" s="3">
        <f t="shared" si="51"/>
        <v>42675</v>
      </c>
      <c r="Z41" s="3">
        <f t="shared" si="51"/>
        <v>42705</v>
      </c>
      <c r="AA41" s="29" t="str">
        <f>AA29</f>
        <v>YTD 7/16</v>
      </c>
      <c r="AB41" s="29" t="s">
        <v>19</v>
      </c>
      <c r="AC41" s="29" t="s">
        <v>20</v>
      </c>
      <c r="AD41" s="29" t="s">
        <v>21</v>
      </c>
      <c r="AE41" s="29" t="s">
        <v>22</v>
      </c>
      <c r="AF41" s="26" t="str">
        <f t="shared" ref="AF41:AJ41" si="52">AF17</f>
        <v>YTD 7/15</v>
      </c>
      <c r="AG41" s="26" t="str">
        <f t="shared" si="52"/>
        <v>Q1 '15</v>
      </c>
      <c r="AH41" s="26" t="str">
        <f t="shared" si="52"/>
        <v>Q2 '15</v>
      </c>
      <c r="AI41" s="26" t="str">
        <f t="shared" si="52"/>
        <v>Q3 '15</v>
      </c>
      <c r="AJ41" s="26" t="str">
        <f t="shared" si="52"/>
        <v>Q4 '15</v>
      </c>
      <c r="AK41" s="30" t="s">
        <v>27</v>
      </c>
      <c r="AL41" s="30" t="s">
        <v>29</v>
      </c>
      <c r="AM41" s="30" t="s">
        <v>30</v>
      </c>
      <c r="AN41" s="30" t="s">
        <v>31</v>
      </c>
      <c r="AO41" s="30" t="s">
        <v>32</v>
      </c>
      <c r="AP41" s="108">
        <v>42736</v>
      </c>
      <c r="AQ41" s="108">
        <v>42767</v>
      </c>
      <c r="AR41" s="108">
        <v>42795</v>
      </c>
      <c r="AS41" s="108">
        <v>42826</v>
      </c>
      <c r="AT41" s="108">
        <v>42856</v>
      </c>
      <c r="AU41" s="108">
        <v>42887</v>
      </c>
      <c r="AV41" s="108">
        <v>42917</v>
      </c>
      <c r="AW41" s="108">
        <v>42948</v>
      </c>
      <c r="AX41" s="108">
        <v>42979</v>
      </c>
      <c r="AY41" s="108">
        <v>43009</v>
      </c>
      <c r="AZ41" s="108">
        <v>43040</v>
      </c>
      <c r="BA41" s="108">
        <v>43070</v>
      </c>
      <c r="BB41" s="29" t="s">
        <v>123</v>
      </c>
      <c r="BC41" s="29" t="s">
        <v>124</v>
      </c>
      <c r="BD41" s="29" t="s">
        <v>125</v>
      </c>
      <c r="BE41" s="29" t="s">
        <v>126</v>
      </c>
      <c r="BF41" s="29" t="str">
        <f>$BF$4</f>
        <v>YTD 7/17</v>
      </c>
      <c r="BG41" s="121">
        <v>42736</v>
      </c>
      <c r="BH41" s="108">
        <v>42767</v>
      </c>
      <c r="BI41" s="108">
        <v>42795</v>
      </c>
      <c r="BJ41" s="108">
        <v>42826</v>
      </c>
      <c r="BK41" s="108">
        <v>42856</v>
      </c>
      <c r="BL41" s="108">
        <v>42887</v>
      </c>
      <c r="BM41" s="108">
        <v>42917</v>
      </c>
      <c r="BN41" s="108">
        <v>42948</v>
      </c>
      <c r="BO41" s="108">
        <v>42979</v>
      </c>
      <c r="BP41" s="108">
        <v>43009</v>
      </c>
      <c r="BQ41" s="108">
        <v>43040</v>
      </c>
      <c r="BR41" s="108">
        <v>43070</v>
      </c>
      <c r="BS41" s="29" t="s">
        <v>127</v>
      </c>
      <c r="BT41" s="29" t="s">
        <v>128</v>
      </c>
      <c r="BU41" s="29" t="s">
        <v>96</v>
      </c>
      <c r="BV41" s="29" t="s">
        <v>129</v>
      </c>
      <c r="BW41" s="112" t="s">
        <v>130</v>
      </c>
    </row>
    <row r="42" spans="1:75" x14ac:dyDescent="0.25">
      <c r="A42" s="20" t="str">
        <f>$B$41&amp;"_by_rookie_GENLION:"&amp;TRIM(B42)</f>
        <v>Activity Ratio_by_rookie_GENLION:MDRT/ GEN Lion (from Apr '17)</v>
      </c>
      <c r="B42" t="s">
        <v>157</v>
      </c>
      <c r="C42" s="8" t="str">
        <f t="shared" ref="C42:N48" si="53">IFERROR(C30/C18,"")</f>
        <v/>
      </c>
      <c r="D42" s="8" t="str">
        <f t="shared" si="53"/>
        <v/>
      </c>
      <c r="E42" s="8" t="str">
        <f t="shared" si="53"/>
        <v/>
      </c>
      <c r="F42" s="8" t="str">
        <f t="shared" si="53"/>
        <v/>
      </c>
      <c r="G42" s="8" t="str">
        <f t="shared" si="53"/>
        <v/>
      </c>
      <c r="H42" s="8" t="str">
        <f t="shared" si="53"/>
        <v/>
      </c>
      <c r="I42" s="8" t="str">
        <f t="shared" si="53"/>
        <v/>
      </c>
      <c r="J42" s="8" t="str">
        <f t="shared" si="53"/>
        <v/>
      </c>
      <c r="K42" s="8" t="str">
        <f t="shared" si="53"/>
        <v/>
      </c>
      <c r="L42" s="8" t="str">
        <f t="shared" si="53"/>
        <v/>
      </c>
      <c r="M42" s="8" t="str">
        <f t="shared" si="53"/>
        <v/>
      </c>
      <c r="N42" s="8" t="str">
        <f t="shared" si="53"/>
        <v/>
      </c>
      <c r="O42" s="8" t="e">
        <f t="shared" ref="O42:Z48" si="54">O30*2/SUM(N18:O18)</f>
        <v>#DIV/0!</v>
      </c>
      <c r="P42" s="8" t="e">
        <f t="shared" ref="P42:Z42" si="55">P30*2/SUM(O18:P18)</f>
        <v>#DIV/0!</v>
      </c>
      <c r="Q42" s="8" t="e">
        <f t="shared" si="55"/>
        <v>#DIV/0!</v>
      </c>
      <c r="R42" s="8" t="e">
        <f t="shared" si="55"/>
        <v>#DIV/0!</v>
      </c>
      <c r="S42" s="8" t="e">
        <f t="shared" si="55"/>
        <v>#DIV/0!</v>
      </c>
      <c r="T42" s="8" t="e">
        <f t="shared" si="55"/>
        <v>#DIV/0!</v>
      </c>
      <c r="U42" s="8" t="e">
        <f t="shared" si="55"/>
        <v>#DIV/0!</v>
      </c>
      <c r="V42" s="8" t="e">
        <f t="shared" si="55"/>
        <v>#DIV/0!</v>
      </c>
      <c r="W42" s="8" t="e">
        <f t="shared" si="55"/>
        <v>#DIV/0!</v>
      </c>
      <c r="X42" s="8" t="e">
        <f t="shared" si="55"/>
        <v>#DIV/0!</v>
      </c>
      <c r="Y42" s="8" t="e">
        <f t="shared" si="55"/>
        <v>#DIV/0!</v>
      </c>
      <c r="Z42" s="8" t="e">
        <f t="shared" si="55"/>
        <v>#DIV/0!</v>
      </c>
      <c r="AA42" s="139" t="e">
        <f>2*SUM(O30:INDEX(O30:Z30,$B$3))/(SUM(O18:INDEX(O18:Z18,$B$3))*2+N18-INDEX(O18:Z18,$B$3))</f>
        <v>#DIV/0!</v>
      </c>
      <c r="AB42" s="8" t="e">
        <f>AVERAGE(O42:Q42)</f>
        <v>#DIV/0!</v>
      </c>
      <c r="AC42" s="8" t="e">
        <f>2*SUM(R30:INDEX(R30:T30,$C$3))/(Q18+SUM(R18:INDEX(R18:T18,$C$3))*2-INDEX(R18:T18,$C$3))</f>
        <v>#DIV/0!</v>
      </c>
      <c r="AD42" s="8" t="str">
        <f t="shared" ref="AD42:AD50" si="56">IFERROR(AVERAGE(U42:W42),"")</f>
        <v/>
      </c>
      <c r="AE42" s="8" t="str">
        <f t="shared" ref="AE42:AE50" si="57">IFERROR(AVERAGE(X42:Z42),"")</f>
        <v/>
      </c>
      <c r="AF42" s="8" t="e">
        <f>AVERAGE(C42:INDEX(C42:N42,$B$3))</f>
        <v>#DIV/0!</v>
      </c>
      <c r="AG42" s="8" t="e">
        <f>AVERAGE(C42:E42)</f>
        <v>#DIV/0!</v>
      </c>
      <c r="AH42" s="8" t="e">
        <f>AVERAGE(F42:H42)</f>
        <v>#DIV/0!</v>
      </c>
      <c r="AI42" s="8" t="e">
        <f>AVERAGE(I42:K42)</f>
        <v>#DIV/0!</v>
      </c>
      <c r="AJ42" s="8" t="e">
        <f>AVERAGE(L42:N42)</f>
        <v>#DIV/0!</v>
      </c>
      <c r="AK42" s="31" t="e">
        <f>AA42/AF42-1</f>
        <v>#DIV/0!</v>
      </c>
      <c r="AL42" s="31" t="e">
        <f t="shared" ref="AL42:AO50" si="58">AB42/AG42-1</f>
        <v>#DIV/0!</v>
      </c>
      <c r="AM42" s="31" t="e">
        <f t="shared" si="58"/>
        <v>#DIV/0!</v>
      </c>
      <c r="AN42" s="31" t="e">
        <f t="shared" si="58"/>
        <v>#VALUE!</v>
      </c>
      <c r="AO42" s="31" t="e">
        <f t="shared" si="58"/>
        <v>#VALUE!</v>
      </c>
      <c r="AP42" s="8">
        <f t="shared" ref="AP42:AP48" si="59">IFERROR(AP30/AVERAGE(Z18,AP18),"")</f>
        <v>0.54166666666666663</v>
      </c>
      <c r="AQ42" s="8">
        <f t="shared" ref="AQ42:AV42" si="60">IFERROR(AQ30/AVERAGE(AP18,AQ18),"")</f>
        <v>0.72916666666666663</v>
      </c>
      <c r="AR42" s="8">
        <f t="shared" si="60"/>
        <v>0.6875</v>
      </c>
      <c r="AS42" s="8">
        <f t="shared" si="60"/>
        <v>0.81136950904392768</v>
      </c>
      <c r="AT42" s="8">
        <f t="shared" si="60"/>
        <v>0.30222222222222223</v>
      </c>
      <c r="AU42" s="8">
        <f t="shared" si="60"/>
        <v>0.2822085889570552</v>
      </c>
      <c r="AV42" s="8">
        <f t="shared" si="60"/>
        <v>0.21052631578947367</v>
      </c>
      <c r="AW42" s="18"/>
      <c r="AX42" s="18"/>
      <c r="AY42" s="18"/>
      <c r="AZ42" s="18"/>
      <c r="BA42" s="18"/>
      <c r="BB42" s="8">
        <f t="shared" ref="BB42:BB44" si="61">IFERROR(BB30/(AVERAGE(Z18,AP18)+AVERAGE(AP18,AQ18)+AVERAGE(AR18,AQ18)),"")</f>
        <v>0.65277777777777779</v>
      </c>
      <c r="BC42" s="8">
        <f>IFERROR(BC30*2/(AR18+2*SUM(AS18:INDEX(AS18:AU18,$C$3))-INDEX(AS18:AU18,$C$3)),"")</f>
        <v>1.8139534883720929</v>
      </c>
      <c r="BD42" s="8">
        <f>IFERROR(BD30*2/(AU18+2*SUM(AV18:INDEX(AV18:AX18,$C$3))-INDEX(AV18:AX18,$C$3)),"")</f>
        <v>0.21052631578947367</v>
      </c>
      <c r="BE42" s="18"/>
      <c r="BF42" s="8">
        <f>2*SUM(AP30:INDEX(AP30:BA30,$B$3))/(SUM(AP18:INDEX(AP18:BA18,$B$3))*2+Z18-INDEX(AP18:BA18,$B$3))</f>
        <v>0.39734582357533177</v>
      </c>
      <c r="BG42" s="122" t="e">
        <f t="shared" ref="BG42:BL50" si="62">AP42/O42</f>
        <v>#DIV/0!</v>
      </c>
      <c r="BH42" s="111" t="e">
        <f t="shared" si="62"/>
        <v>#DIV/0!</v>
      </c>
      <c r="BI42" s="111" t="e">
        <f t="shared" si="62"/>
        <v>#DIV/0!</v>
      </c>
      <c r="BJ42" s="111" t="e">
        <f t="shared" si="62"/>
        <v>#DIV/0!</v>
      </c>
      <c r="BK42" s="111" t="e">
        <f t="shared" si="62"/>
        <v>#DIV/0!</v>
      </c>
      <c r="BL42" s="111" t="e">
        <f t="shared" si="62"/>
        <v>#DIV/0!</v>
      </c>
      <c r="BM42" s="111"/>
      <c r="BN42" s="111"/>
      <c r="BO42" s="111"/>
      <c r="BP42" s="111"/>
      <c r="BQ42" s="111"/>
      <c r="BR42" s="111"/>
      <c r="BS42" s="111" t="e">
        <f>BB42/((O30+P30+Q30)/(SUM(N18,O18,O18,P18,P18,Q18)/2))</f>
        <v>#DIV/0!</v>
      </c>
      <c r="BT42" s="111" t="e">
        <f t="shared" ref="BT42:BV50" si="63">BC42/AC42</f>
        <v>#DIV/0!</v>
      </c>
      <c r="BU42" s="111" t="e">
        <f t="shared" si="63"/>
        <v>#VALUE!</v>
      </c>
      <c r="BV42" s="111" t="e">
        <f t="shared" si="63"/>
        <v>#VALUE!</v>
      </c>
      <c r="BW42" s="111" t="e">
        <f t="shared" ref="BW42:BW50" si="64">BF42/AA42</f>
        <v>#DIV/0!</v>
      </c>
    </row>
    <row r="43" spans="1:75" x14ac:dyDescent="0.25">
      <c r="A43" s="20" t="str">
        <f t="shared" ref="A43:A50" si="65">$B$41&amp;"_by_rookie_GENLION:"&amp;TRIM(B43)</f>
        <v>Activity Ratio_by_rookie_GENLION:Rookie in month</v>
      </c>
      <c r="B43" t="s">
        <v>5</v>
      </c>
      <c r="C43" s="8" t="str">
        <f t="shared" si="53"/>
        <v/>
      </c>
      <c r="D43" s="8" t="str">
        <f t="shared" si="53"/>
        <v/>
      </c>
      <c r="E43" s="8" t="str">
        <f t="shared" si="53"/>
        <v/>
      </c>
      <c r="F43" s="8" t="str">
        <f t="shared" si="53"/>
        <v/>
      </c>
      <c r="G43" s="8" t="str">
        <f t="shared" si="53"/>
        <v/>
      </c>
      <c r="H43" s="8" t="str">
        <f t="shared" si="53"/>
        <v/>
      </c>
      <c r="I43" s="8" t="str">
        <f t="shared" si="53"/>
        <v/>
      </c>
      <c r="J43" s="8" t="str">
        <f t="shared" si="53"/>
        <v/>
      </c>
      <c r="K43" s="8" t="str">
        <f t="shared" si="53"/>
        <v/>
      </c>
      <c r="L43" s="8" t="str">
        <f t="shared" si="53"/>
        <v/>
      </c>
      <c r="M43" s="8" t="str">
        <f t="shared" si="53"/>
        <v/>
      </c>
      <c r="N43" s="8" t="str">
        <f t="shared" si="53"/>
        <v/>
      </c>
      <c r="O43" s="8" t="e">
        <f t="shared" si="54"/>
        <v>#DIV/0!</v>
      </c>
      <c r="P43" s="8" t="e">
        <f t="shared" si="54"/>
        <v>#DIV/0!</v>
      </c>
      <c r="Q43" s="8" t="e">
        <f t="shared" si="54"/>
        <v>#DIV/0!</v>
      </c>
      <c r="R43" s="8" t="e">
        <f t="shared" si="54"/>
        <v>#DIV/0!</v>
      </c>
      <c r="S43" s="8" t="e">
        <f t="shared" si="54"/>
        <v>#DIV/0!</v>
      </c>
      <c r="T43" s="8" t="e">
        <f t="shared" si="54"/>
        <v>#DIV/0!</v>
      </c>
      <c r="U43" s="8" t="e">
        <f t="shared" si="54"/>
        <v>#DIV/0!</v>
      </c>
      <c r="V43" s="8" t="e">
        <f t="shared" si="54"/>
        <v>#DIV/0!</v>
      </c>
      <c r="W43" s="8" t="e">
        <f t="shared" si="54"/>
        <v>#DIV/0!</v>
      </c>
      <c r="X43" s="8" t="e">
        <f t="shared" si="54"/>
        <v>#DIV/0!</v>
      </c>
      <c r="Y43" s="8" t="e">
        <f t="shared" si="54"/>
        <v>#DIV/0!</v>
      </c>
      <c r="Z43" s="8" t="e">
        <f t="shared" si="54"/>
        <v>#DIV/0!</v>
      </c>
      <c r="AA43" s="139" t="e">
        <f>2*SUM(O31:INDEX(O31:Z31,$B$3))/(SUM(O19:INDEX(O19:Z19,$B$3))*2+N19-INDEX(O19:Z19,$B$3))</f>
        <v>#DIV/0!</v>
      </c>
      <c r="AB43" s="8" t="e">
        <f t="shared" ref="AB43:AB50" si="66">AVERAGE(O43:Q43)</f>
        <v>#DIV/0!</v>
      </c>
      <c r="AC43" s="8" t="e">
        <f>2*SUM(R31:INDEX(R31:T31,$C$3))/(Q19+SUM(R19:INDEX(R19:T19,$C$3))*2-INDEX(R19:T19,$C$3))</f>
        <v>#DIV/0!</v>
      </c>
      <c r="AD43" s="8" t="str">
        <f t="shared" si="56"/>
        <v/>
      </c>
      <c r="AE43" s="8" t="str">
        <f t="shared" si="57"/>
        <v/>
      </c>
      <c r="AF43" s="8" t="e">
        <f>AVERAGE(C43:INDEX(C43:N43,$B$3))</f>
        <v>#DIV/0!</v>
      </c>
      <c r="AG43" s="8" t="e">
        <f t="shared" ref="AG43:AG50" si="67">AVERAGE(C43:E43)</f>
        <v>#DIV/0!</v>
      </c>
      <c r="AH43" s="8" t="e">
        <f t="shared" ref="AH43:AH50" si="68">AVERAGE(F43:H43)</f>
        <v>#DIV/0!</v>
      </c>
      <c r="AI43" s="8" t="e">
        <f t="shared" ref="AI43:AI50" si="69">AVERAGE(I43:K43)</f>
        <v>#DIV/0!</v>
      </c>
      <c r="AJ43" s="8" t="e">
        <f t="shared" ref="AJ43:AJ50" si="70">AVERAGE(L43:N43)</f>
        <v>#DIV/0!</v>
      </c>
      <c r="AK43" s="31" t="e">
        <f t="shared" ref="AK43:AK50" si="71">AA43/AF43-1</f>
        <v>#DIV/0!</v>
      </c>
      <c r="AL43" s="31" t="e">
        <f t="shared" si="58"/>
        <v>#DIV/0!</v>
      </c>
      <c r="AM43" s="31" t="e">
        <f t="shared" si="58"/>
        <v>#DIV/0!</v>
      </c>
      <c r="AN43" s="31" t="e">
        <f t="shared" si="58"/>
        <v>#VALUE!</v>
      </c>
      <c r="AO43" s="31" t="e">
        <f t="shared" si="58"/>
        <v>#VALUE!</v>
      </c>
      <c r="AP43" s="8">
        <f t="shared" si="59"/>
        <v>0.35312500000000002</v>
      </c>
      <c r="AQ43" s="8">
        <f t="shared" ref="AQ43:AU49" si="72">IFERROR(AQ31/AVERAGE(AP19,AQ19),"")</f>
        <v>0.41176470588235292</v>
      </c>
      <c r="AR43" s="8">
        <f t="shared" si="72"/>
        <v>0.58908612754766598</v>
      </c>
      <c r="AS43" s="8">
        <f t="shared" si="72"/>
        <v>0.4212624584717608</v>
      </c>
      <c r="AT43" s="8">
        <f t="shared" si="72"/>
        <v>0.44462409054163299</v>
      </c>
      <c r="AU43" s="8">
        <f t="shared" si="72"/>
        <v>0.74354923644023174</v>
      </c>
      <c r="AV43" s="8">
        <f t="shared" ref="AV43:BA50" si="73">IFERROR(AV31/AVERAGE(AU19,AV19),"")</f>
        <v>0.33692091717360784</v>
      </c>
      <c r="AW43" s="18"/>
      <c r="AX43" s="18"/>
      <c r="AY43" s="18"/>
      <c r="AZ43" s="18"/>
      <c r="BA43" s="18"/>
      <c r="BB43" s="8">
        <f t="shared" si="61"/>
        <v>0.48554178582777247</v>
      </c>
      <c r="BC43" s="8">
        <f>IFERROR(BC31*2/(AR19+2*SUM(AS19:INDEX(AS19:AU19,$C$3))-INDEX(AS19:AU19,$C$3)),"")</f>
        <v>1.7249169435215947</v>
      </c>
      <c r="BD43" s="8">
        <f>IFERROR(BD31*2/(AU19+2*SUM(AV19:INDEX(AV19:AX19,$C$3))-INDEX(AV19:AX19,$C$3)),"")</f>
        <v>0.33692091717360784</v>
      </c>
      <c r="BE43" s="18"/>
      <c r="BF43" s="8">
        <f>2*SUM(AP31:INDEX(AP31:BA31,$B$3))/(SUM(AP19:INDEX(AP19:BA19,$B$3))*2+Z19-INDEX(AP19:BA19,$B$3))</f>
        <v>0.50432066631962524</v>
      </c>
      <c r="BG43" s="122" t="e">
        <f t="shared" si="62"/>
        <v>#DIV/0!</v>
      </c>
      <c r="BH43" s="111" t="e">
        <f t="shared" si="62"/>
        <v>#DIV/0!</v>
      </c>
      <c r="BI43" s="111" t="e">
        <f t="shared" si="62"/>
        <v>#DIV/0!</v>
      </c>
      <c r="BJ43" s="111" t="e">
        <f t="shared" si="62"/>
        <v>#DIV/0!</v>
      </c>
      <c r="BK43" s="111" t="e">
        <f t="shared" si="62"/>
        <v>#DIV/0!</v>
      </c>
      <c r="BL43" s="111" t="e">
        <f t="shared" si="62"/>
        <v>#DIV/0!</v>
      </c>
      <c r="BM43" s="111"/>
      <c r="BN43" s="111"/>
      <c r="BO43" s="111"/>
      <c r="BP43" s="111"/>
      <c r="BQ43" s="111"/>
      <c r="BR43" s="111"/>
      <c r="BS43" s="111" t="e">
        <f t="shared" ref="BS43:BS48" si="74">BB43/((O31+P31+Q31)/(SUM(N19,O19,O19,P19,P19,Q19)/2))</f>
        <v>#DIV/0!</v>
      </c>
      <c r="BT43" s="111" t="e">
        <f t="shared" si="63"/>
        <v>#DIV/0!</v>
      </c>
      <c r="BU43" s="111" t="e">
        <f t="shared" si="63"/>
        <v>#VALUE!</v>
      </c>
      <c r="BV43" s="111" t="e">
        <f t="shared" si="63"/>
        <v>#VALUE!</v>
      </c>
      <c r="BW43" s="111" t="e">
        <f t="shared" si="64"/>
        <v>#DIV/0!</v>
      </c>
    </row>
    <row r="44" spans="1:75" x14ac:dyDescent="0.25">
      <c r="A44" s="20" t="str">
        <f t="shared" si="65"/>
        <v>Activity Ratio_by_rookie_GENLION:Rookie last month</v>
      </c>
      <c r="B44" t="s">
        <v>6</v>
      </c>
      <c r="C44" s="8" t="str">
        <f t="shared" si="53"/>
        <v/>
      </c>
      <c r="D44" s="8" t="str">
        <f t="shared" si="53"/>
        <v/>
      </c>
      <c r="E44" s="8" t="str">
        <f t="shared" si="53"/>
        <v/>
      </c>
      <c r="F44" s="8" t="str">
        <f t="shared" si="53"/>
        <v/>
      </c>
      <c r="G44" s="8" t="str">
        <f t="shared" si="53"/>
        <v/>
      </c>
      <c r="H44" s="8" t="str">
        <f t="shared" si="53"/>
        <v/>
      </c>
      <c r="I44" s="8" t="str">
        <f t="shared" si="53"/>
        <v/>
      </c>
      <c r="J44" s="8" t="str">
        <f t="shared" si="53"/>
        <v/>
      </c>
      <c r="K44" s="8" t="str">
        <f t="shared" si="53"/>
        <v/>
      </c>
      <c r="L44" s="8" t="str">
        <f t="shared" si="53"/>
        <v/>
      </c>
      <c r="M44" s="8" t="str">
        <f t="shared" si="53"/>
        <v/>
      </c>
      <c r="N44" s="8" t="str">
        <f t="shared" si="53"/>
        <v/>
      </c>
      <c r="O44" s="8" t="e">
        <f t="shared" si="54"/>
        <v>#DIV/0!</v>
      </c>
      <c r="P44" s="8" t="e">
        <f t="shared" si="54"/>
        <v>#DIV/0!</v>
      </c>
      <c r="Q44" s="8" t="e">
        <f t="shared" si="54"/>
        <v>#DIV/0!</v>
      </c>
      <c r="R44" s="8" t="e">
        <f t="shared" si="54"/>
        <v>#DIV/0!</v>
      </c>
      <c r="S44" s="8" t="e">
        <f t="shared" si="54"/>
        <v>#DIV/0!</v>
      </c>
      <c r="T44" s="8" t="e">
        <f t="shared" si="54"/>
        <v>#DIV/0!</v>
      </c>
      <c r="U44" s="8" t="e">
        <f t="shared" si="54"/>
        <v>#DIV/0!</v>
      </c>
      <c r="V44" s="8" t="e">
        <f t="shared" si="54"/>
        <v>#DIV/0!</v>
      </c>
      <c r="W44" s="8" t="e">
        <f t="shared" si="54"/>
        <v>#DIV/0!</v>
      </c>
      <c r="X44" s="8" t="e">
        <f t="shared" si="54"/>
        <v>#DIV/0!</v>
      </c>
      <c r="Y44" s="8" t="e">
        <f t="shared" si="54"/>
        <v>#DIV/0!</v>
      </c>
      <c r="Z44" s="8" t="e">
        <f t="shared" si="54"/>
        <v>#DIV/0!</v>
      </c>
      <c r="AA44" s="139" t="e">
        <f>2*SUM(O32:INDEX(O32:Z32,$B$3))/(SUM(O20:INDEX(O20:Z20,$B$3))*2+N20-INDEX(O20:Z20,$B$3))</f>
        <v>#DIV/0!</v>
      </c>
      <c r="AB44" s="8" t="e">
        <f t="shared" si="66"/>
        <v>#DIV/0!</v>
      </c>
      <c r="AC44" s="8" t="e">
        <f>2*SUM(R32:INDEX(R32:T32,$C$3))/(Q20+SUM(R20:INDEX(R20:T20,$C$3))*2-INDEX(R20:T20,$C$3))</f>
        <v>#DIV/0!</v>
      </c>
      <c r="AD44" s="8" t="str">
        <f t="shared" si="56"/>
        <v/>
      </c>
      <c r="AE44" s="8" t="str">
        <f t="shared" si="57"/>
        <v/>
      </c>
      <c r="AF44" s="8" t="e">
        <f>AVERAGE(C44:INDEX(C44:N44,$B$3))</f>
        <v>#DIV/0!</v>
      </c>
      <c r="AG44" s="8" t="e">
        <f t="shared" si="67"/>
        <v>#DIV/0!</v>
      </c>
      <c r="AH44" s="8" t="e">
        <f t="shared" si="68"/>
        <v>#DIV/0!</v>
      </c>
      <c r="AI44" s="8" t="e">
        <f t="shared" si="69"/>
        <v>#DIV/0!</v>
      </c>
      <c r="AJ44" s="8" t="e">
        <f t="shared" si="70"/>
        <v>#DIV/0!</v>
      </c>
      <c r="AK44" s="31" t="e">
        <f t="shared" si="71"/>
        <v>#DIV/0!</v>
      </c>
      <c r="AL44" s="31" t="e">
        <f t="shared" si="58"/>
        <v>#DIV/0!</v>
      </c>
      <c r="AM44" s="31" t="e">
        <f t="shared" si="58"/>
        <v>#DIV/0!</v>
      </c>
      <c r="AN44" s="31" t="e">
        <f t="shared" si="58"/>
        <v>#VALUE!</v>
      </c>
      <c r="AO44" s="31" t="e">
        <f t="shared" si="58"/>
        <v>#VALUE!</v>
      </c>
      <c r="AP44" s="8">
        <f t="shared" si="59"/>
        <v>0.14605734767025089</v>
      </c>
      <c r="AQ44" s="8">
        <f t="shared" si="72"/>
        <v>9.8954703832752608E-2</v>
      </c>
      <c r="AR44" s="8">
        <f t="shared" si="72"/>
        <v>0.36530612244897959</v>
      </c>
      <c r="AS44" s="8">
        <f t="shared" si="72"/>
        <v>0.25100133511348466</v>
      </c>
      <c r="AT44" s="8">
        <f t="shared" si="72"/>
        <v>0.18426361802286484</v>
      </c>
      <c r="AU44" s="8">
        <f t="shared" si="72"/>
        <v>0.17807089859851608</v>
      </c>
      <c r="AV44" s="8">
        <f t="shared" si="73"/>
        <v>0.1926163723916533</v>
      </c>
      <c r="AW44" s="18"/>
      <c r="AX44" s="18"/>
      <c r="AY44" s="18"/>
      <c r="AZ44" s="18"/>
      <c r="BA44" s="18"/>
      <c r="BB44" s="8">
        <f t="shared" si="61"/>
        <v>0.17774908543146115</v>
      </c>
      <c r="BC44" s="8">
        <f>IFERROR(BC32*2/(AR20+2*SUM(AS20:INDEX(AS20:AU20,$C$3))-INDEX(AS20:AU20,$C$3)),"")</f>
        <v>0.57810413885180245</v>
      </c>
      <c r="BD44" s="8">
        <f>IFERROR(BD32*2/(AU20+2*SUM(AV20:INDEX(AV20:AX20,$C$3))-INDEX(AV20:AX20,$C$3)),"")</f>
        <v>0.1926163723916533</v>
      </c>
      <c r="BE44" s="18"/>
      <c r="BF44" s="8">
        <f>2*SUM(AP32:INDEX(AP32:BA32,$B$3))/(SUM(AP20:INDEX(AP20:BA20,$B$3))*2+Z20-INDEX(AP20:BA20,$B$3))</f>
        <v>0.21379454052927693</v>
      </c>
      <c r="BG44" s="122" t="e">
        <f t="shared" si="62"/>
        <v>#DIV/0!</v>
      </c>
      <c r="BH44" s="111" t="e">
        <f t="shared" si="62"/>
        <v>#DIV/0!</v>
      </c>
      <c r="BI44" s="111" t="e">
        <f t="shared" si="62"/>
        <v>#DIV/0!</v>
      </c>
      <c r="BJ44" s="111" t="e">
        <f t="shared" si="62"/>
        <v>#DIV/0!</v>
      </c>
      <c r="BK44" s="111" t="e">
        <f t="shared" si="62"/>
        <v>#DIV/0!</v>
      </c>
      <c r="BL44" s="111" t="e">
        <f t="shared" si="62"/>
        <v>#DIV/0!</v>
      </c>
      <c r="BM44" s="111"/>
      <c r="BN44" s="111"/>
      <c r="BO44" s="111"/>
      <c r="BP44" s="111"/>
      <c r="BQ44" s="111"/>
      <c r="BR44" s="111"/>
      <c r="BS44" s="111" t="e">
        <f t="shared" si="74"/>
        <v>#DIV/0!</v>
      </c>
      <c r="BT44" s="111" t="e">
        <f t="shared" si="63"/>
        <v>#DIV/0!</v>
      </c>
      <c r="BU44" s="111" t="e">
        <f t="shared" si="63"/>
        <v>#VALUE!</v>
      </c>
      <c r="BV44" s="111" t="e">
        <f t="shared" si="63"/>
        <v>#VALUE!</v>
      </c>
      <c r="BW44" s="111" t="e">
        <f t="shared" si="64"/>
        <v>#DIV/0!</v>
      </c>
    </row>
    <row r="45" spans="1:75" x14ac:dyDescent="0.25">
      <c r="A45" s="20" t="str">
        <f t="shared" si="65"/>
        <v>Activity Ratio_by_rookie_GENLION:2-3 months</v>
      </c>
      <c r="B45" t="s">
        <v>7</v>
      </c>
      <c r="C45" s="8" t="str">
        <f t="shared" si="53"/>
        <v/>
      </c>
      <c r="D45" s="8" t="str">
        <f t="shared" si="53"/>
        <v/>
      </c>
      <c r="E45" s="8" t="str">
        <f t="shared" si="53"/>
        <v/>
      </c>
      <c r="F45" s="8" t="str">
        <f t="shared" si="53"/>
        <v/>
      </c>
      <c r="G45" s="8" t="str">
        <f t="shared" si="53"/>
        <v/>
      </c>
      <c r="H45" s="8" t="str">
        <f t="shared" si="53"/>
        <v/>
      </c>
      <c r="I45" s="8" t="str">
        <f t="shared" si="53"/>
        <v/>
      </c>
      <c r="J45" s="8" t="str">
        <f t="shared" si="53"/>
        <v/>
      </c>
      <c r="K45" s="8" t="str">
        <f t="shared" si="53"/>
        <v/>
      </c>
      <c r="L45" s="8" t="str">
        <f t="shared" si="53"/>
        <v/>
      </c>
      <c r="M45" s="8" t="str">
        <f t="shared" si="53"/>
        <v/>
      </c>
      <c r="N45" s="8" t="str">
        <f t="shared" si="53"/>
        <v/>
      </c>
      <c r="O45" s="8" t="e">
        <f t="shared" si="54"/>
        <v>#DIV/0!</v>
      </c>
      <c r="P45" s="8" t="e">
        <f t="shared" si="54"/>
        <v>#DIV/0!</v>
      </c>
      <c r="Q45" s="8" t="e">
        <f t="shared" si="54"/>
        <v>#DIV/0!</v>
      </c>
      <c r="R45" s="8" t="e">
        <f t="shared" si="54"/>
        <v>#DIV/0!</v>
      </c>
      <c r="S45" s="8" t="e">
        <f t="shared" si="54"/>
        <v>#DIV/0!</v>
      </c>
      <c r="T45" s="8" t="e">
        <f t="shared" si="54"/>
        <v>#DIV/0!</v>
      </c>
      <c r="U45" s="8" t="e">
        <f t="shared" si="54"/>
        <v>#DIV/0!</v>
      </c>
      <c r="V45" s="8" t="e">
        <f t="shared" si="54"/>
        <v>#DIV/0!</v>
      </c>
      <c r="W45" s="8" t="e">
        <f t="shared" si="54"/>
        <v>#DIV/0!</v>
      </c>
      <c r="X45" s="8" t="e">
        <f t="shared" si="54"/>
        <v>#DIV/0!</v>
      </c>
      <c r="Y45" s="8" t="e">
        <f t="shared" si="54"/>
        <v>#DIV/0!</v>
      </c>
      <c r="Z45" s="8" t="e">
        <f t="shared" si="54"/>
        <v>#DIV/0!</v>
      </c>
      <c r="AA45" s="139" t="e">
        <f>2*SUM(O33:INDEX(O33:Z33,$B$3))/(SUM(O21:INDEX(O21:Z21,$B$3))*2+N21-INDEX(O21:Z21,$B$3))</f>
        <v>#DIV/0!</v>
      </c>
      <c r="AB45" s="8" t="e">
        <f t="shared" si="66"/>
        <v>#DIV/0!</v>
      </c>
      <c r="AC45" s="8" t="e">
        <f>2*SUM(R33:INDEX(R33:T33,$C$3))/(Q21+SUM(R21:INDEX(R21:T21,$C$3))*2-INDEX(R21:T21,$C$3))</f>
        <v>#DIV/0!</v>
      </c>
      <c r="AD45" s="8" t="str">
        <f t="shared" si="56"/>
        <v/>
      </c>
      <c r="AE45" s="8" t="str">
        <f t="shared" si="57"/>
        <v/>
      </c>
      <c r="AF45" s="8" t="e">
        <f>AVERAGE(C45:INDEX(C45:N45,$B$3))</f>
        <v>#DIV/0!</v>
      </c>
      <c r="AG45" s="8" t="e">
        <f t="shared" si="67"/>
        <v>#DIV/0!</v>
      </c>
      <c r="AH45" s="8" t="e">
        <f t="shared" si="68"/>
        <v>#DIV/0!</v>
      </c>
      <c r="AI45" s="8" t="e">
        <f t="shared" si="69"/>
        <v>#DIV/0!</v>
      </c>
      <c r="AJ45" s="8" t="e">
        <f t="shared" si="70"/>
        <v>#DIV/0!</v>
      </c>
      <c r="AK45" s="31" t="e">
        <f t="shared" si="71"/>
        <v>#DIV/0!</v>
      </c>
      <c r="AL45" s="31" t="e">
        <f t="shared" si="58"/>
        <v>#DIV/0!</v>
      </c>
      <c r="AM45" s="31" t="e">
        <f t="shared" si="58"/>
        <v>#DIV/0!</v>
      </c>
      <c r="AN45" s="31" t="e">
        <f t="shared" si="58"/>
        <v>#VALUE!</v>
      </c>
      <c r="AO45" s="31" t="e">
        <f t="shared" si="58"/>
        <v>#VALUE!</v>
      </c>
      <c r="AP45" s="8">
        <f t="shared" si="59"/>
        <v>8.9171974522292988E-2</v>
      </c>
      <c r="AQ45" s="8">
        <f t="shared" si="72"/>
        <v>0.16092572658772875</v>
      </c>
      <c r="AR45" s="8">
        <f t="shared" si="72"/>
        <v>0.11544183278786076</v>
      </c>
      <c r="AS45" s="8">
        <f t="shared" si="72"/>
        <v>0.1221978021978022</v>
      </c>
      <c r="AT45" s="8">
        <f t="shared" si="72"/>
        <v>0.13001266357112706</v>
      </c>
      <c r="AU45" s="8">
        <f t="shared" si="72"/>
        <v>9.4117647058823528E-2</v>
      </c>
      <c r="AV45" s="8">
        <f t="shared" si="73"/>
        <v>8.959875340864823E-2</v>
      </c>
      <c r="AW45" s="18"/>
      <c r="AX45" s="18"/>
      <c r="AY45" s="18"/>
      <c r="AZ45" s="18"/>
      <c r="BA45" s="18"/>
      <c r="BB45" s="8">
        <f>IFERROR(BB33/(AVERAGE(Z21,AP21)+AVERAGE(AP21,AQ21)+AVERAGE(AR21,AQ21)),"")</f>
        <v>0.12287532048238534</v>
      </c>
      <c r="BC45" s="8">
        <f>IFERROR(BC33*2/(AR21+2*SUM(AS21:INDEX(AS21:AU21,$C$3))-INDEX(AS21:AU21,$C$3)),"")</f>
        <v>0.37714285714285717</v>
      </c>
      <c r="BD45" s="8">
        <f>IFERROR(BD33*2/(AU21+2*SUM(AV21:INDEX(AV21:AX21,$C$3))-INDEX(AV21:AX21,$C$3)),"")</f>
        <v>8.959875340864823E-2</v>
      </c>
      <c r="BE45" s="18"/>
      <c r="BF45" s="8">
        <f>2*SUM(AP33:INDEX(AP33:BA33,$B$3))/(SUM(AP21:INDEX(AP21:BA21,$B$3))*2+Z21-INDEX(AP21:BA21,$B$3))</f>
        <v>0.12599841311822269</v>
      </c>
      <c r="BG45" s="122" t="e">
        <f t="shared" si="62"/>
        <v>#DIV/0!</v>
      </c>
      <c r="BH45" s="111" t="e">
        <f t="shared" si="62"/>
        <v>#DIV/0!</v>
      </c>
      <c r="BI45" s="111" t="e">
        <f t="shared" si="62"/>
        <v>#DIV/0!</v>
      </c>
      <c r="BJ45" s="111" t="e">
        <f t="shared" si="62"/>
        <v>#DIV/0!</v>
      </c>
      <c r="BK45" s="111" t="e">
        <f t="shared" si="62"/>
        <v>#DIV/0!</v>
      </c>
      <c r="BL45" s="111" t="e">
        <f t="shared" si="62"/>
        <v>#DIV/0!</v>
      </c>
      <c r="BM45" s="111"/>
      <c r="BN45" s="111"/>
      <c r="BO45" s="111"/>
      <c r="BP45" s="111"/>
      <c r="BQ45" s="111"/>
      <c r="BR45" s="111"/>
      <c r="BS45" s="111" t="e">
        <f t="shared" si="74"/>
        <v>#DIV/0!</v>
      </c>
      <c r="BT45" s="111" t="e">
        <f t="shared" si="63"/>
        <v>#DIV/0!</v>
      </c>
      <c r="BU45" s="111" t="e">
        <f t="shared" si="63"/>
        <v>#VALUE!</v>
      </c>
      <c r="BV45" s="111" t="e">
        <f t="shared" si="63"/>
        <v>#VALUE!</v>
      </c>
      <c r="BW45" s="111" t="e">
        <f t="shared" si="64"/>
        <v>#DIV/0!</v>
      </c>
    </row>
    <row r="46" spans="1:75" x14ac:dyDescent="0.25">
      <c r="A46" s="20" t="str">
        <f t="shared" si="65"/>
        <v>Activity Ratio_by_rookie_GENLION:4 - 6 mths</v>
      </c>
      <c r="B46" t="s">
        <v>8</v>
      </c>
      <c r="C46" s="8" t="str">
        <f t="shared" si="53"/>
        <v/>
      </c>
      <c r="D46" s="8" t="str">
        <f t="shared" si="53"/>
        <v/>
      </c>
      <c r="E46" s="8" t="str">
        <f t="shared" si="53"/>
        <v/>
      </c>
      <c r="F46" s="8" t="str">
        <f t="shared" si="53"/>
        <v/>
      </c>
      <c r="G46" s="8" t="str">
        <f t="shared" si="53"/>
        <v/>
      </c>
      <c r="H46" s="8" t="str">
        <f t="shared" si="53"/>
        <v/>
      </c>
      <c r="I46" s="8" t="str">
        <f t="shared" si="53"/>
        <v/>
      </c>
      <c r="J46" s="8" t="str">
        <f t="shared" si="53"/>
        <v/>
      </c>
      <c r="K46" s="8" t="str">
        <f t="shared" si="53"/>
        <v/>
      </c>
      <c r="L46" s="8" t="str">
        <f t="shared" si="53"/>
        <v/>
      </c>
      <c r="M46" s="8" t="str">
        <f t="shared" si="53"/>
        <v/>
      </c>
      <c r="N46" s="8" t="str">
        <f t="shared" si="53"/>
        <v/>
      </c>
      <c r="O46" s="8" t="e">
        <f t="shared" si="54"/>
        <v>#DIV/0!</v>
      </c>
      <c r="P46" s="8" t="e">
        <f t="shared" si="54"/>
        <v>#DIV/0!</v>
      </c>
      <c r="Q46" s="8" t="e">
        <f t="shared" si="54"/>
        <v>#DIV/0!</v>
      </c>
      <c r="R46" s="8" t="e">
        <f t="shared" si="54"/>
        <v>#DIV/0!</v>
      </c>
      <c r="S46" s="8" t="e">
        <f t="shared" si="54"/>
        <v>#DIV/0!</v>
      </c>
      <c r="T46" s="8" t="e">
        <f t="shared" si="54"/>
        <v>#DIV/0!</v>
      </c>
      <c r="U46" s="8" t="e">
        <f t="shared" si="54"/>
        <v>#DIV/0!</v>
      </c>
      <c r="V46" s="8" t="e">
        <f t="shared" si="54"/>
        <v>#DIV/0!</v>
      </c>
      <c r="W46" s="8" t="e">
        <f t="shared" si="54"/>
        <v>#DIV/0!</v>
      </c>
      <c r="X46" s="8" t="e">
        <f t="shared" si="54"/>
        <v>#DIV/0!</v>
      </c>
      <c r="Y46" s="8" t="e">
        <f t="shared" si="54"/>
        <v>#DIV/0!</v>
      </c>
      <c r="Z46" s="8" t="e">
        <f t="shared" si="54"/>
        <v>#DIV/0!</v>
      </c>
      <c r="AA46" s="139" t="e">
        <f>2*SUM(O34:INDEX(O34:Z34,$B$3))/(SUM(O22:INDEX(O22:Z22,$B$3))*2+N22-INDEX(O22:Z22,$B$3))</f>
        <v>#DIV/0!</v>
      </c>
      <c r="AB46" s="8" t="e">
        <f t="shared" si="66"/>
        <v>#DIV/0!</v>
      </c>
      <c r="AC46" s="8" t="e">
        <f>2*SUM(R34:INDEX(R34:T34,$C$3))/(Q22+SUM(R22:INDEX(R22:T22,$C$3))*2-INDEX(R22:T22,$C$3))</f>
        <v>#DIV/0!</v>
      </c>
      <c r="AD46" s="8" t="str">
        <f t="shared" si="56"/>
        <v/>
      </c>
      <c r="AE46" s="8" t="str">
        <f t="shared" si="57"/>
        <v/>
      </c>
      <c r="AF46" s="8" t="e">
        <f>AVERAGE(C46:INDEX(C46:N46,$B$3))</f>
        <v>#DIV/0!</v>
      </c>
      <c r="AG46" s="8" t="e">
        <f t="shared" si="67"/>
        <v>#DIV/0!</v>
      </c>
      <c r="AH46" s="8" t="e">
        <f t="shared" si="68"/>
        <v>#DIV/0!</v>
      </c>
      <c r="AI46" s="8" t="e">
        <f t="shared" si="69"/>
        <v>#DIV/0!</v>
      </c>
      <c r="AJ46" s="8" t="e">
        <f t="shared" si="70"/>
        <v>#DIV/0!</v>
      </c>
      <c r="AK46" s="31" t="e">
        <f t="shared" si="71"/>
        <v>#DIV/0!</v>
      </c>
      <c r="AL46" s="31" t="e">
        <f t="shared" si="58"/>
        <v>#DIV/0!</v>
      </c>
      <c r="AM46" s="31" t="e">
        <f t="shared" si="58"/>
        <v>#DIV/0!</v>
      </c>
      <c r="AN46" s="31" t="e">
        <f t="shared" si="58"/>
        <v>#VALUE!</v>
      </c>
      <c r="AO46" s="31" t="e">
        <f t="shared" si="58"/>
        <v>#VALUE!</v>
      </c>
      <c r="AP46" s="8">
        <f t="shared" si="59"/>
        <v>5.905511811023622E-2</v>
      </c>
      <c r="AQ46" s="8">
        <f t="shared" si="72"/>
        <v>0.12008577555396711</v>
      </c>
      <c r="AR46" s="8">
        <f t="shared" si="72"/>
        <v>0.19833178869323448</v>
      </c>
      <c r="AS46" s="8">
        <f t="shared" si="72"/>
        <v>0.13013013013013014</v>
      </c>
      <c r="AT46" s="8">
        <f t="shared" si="72"/>
        <v>9.4212651413189769E-2</v>
      </c>
      <c r="AU46" s="8">
        <f t="shared" si="72"/>
        <v>0.11380753138075314</v>
      </c>
      <c r="AV46" s="8">
        <f t="shared" si="73"/>
        <v>0.11915673693858846</v>
      </c>
      <c r="AW46" s="18"/>
      <c r="AX46" s="18"/>
      <c r="AY46" s="18"/>
      <c r="AZ46" s="18"/>
      <c r="BA46" s="18"/>
      <c r="BB46" s="8">
        <f t="shared" ref="BB46:BB50" si="75">IFERROR(BB34/(AVERAGE(Z22,AP22)+AVERAGE(AP22,AQ22)+AVERAGE(AR22,AQ22)),"")</f>
        <v>0.11442669172932331</v>
      </c>
      <c r="BC46" s="8">
        <f>IFERROR(BC34*2/(AR22+2*SUM(AS22:INDEX(AS22:AU22,$C$3))-INDEX(AS22:AU22,$C$3)),"")</f>
        <v>0.26826826826826827</v>
      </c>
      <c r="BD46" s="8">
        <f>IFERROR(BD34*2/(AU22+2*SUM(AV22:INDEX(AV22:AX22,$C$3))-INDEX(AV22:AX22,$C$3)),"")</f>
        <v>0.11915673693858846</v>
      </c>
      <c r="BE46" s="18"/>
      <c r="BF46" s="8">
        <f>2*SUM(AP34:INDEX(AP34:BA34,$B$3))/(SUM(AP22:INDEX(AP22:BA22,$B$3))*2+Z22-INDEX(AP22:BA22,$B$3))</f>
        <v>0.13115802943058222</v>
      </c>
      <c r="BG46" s="122" t="e">
        <f t="shared" si="62"/>
        <v>#DIV/0!</v>
      </c>
      <c r="BH46" s="111" t="e">
        <f t="shared" si="62"/>
        <v>#DIV/0!</v>
      </c>
      <c r="BI46" s="111" t="e">
        <f t="shared" si="62"/>
        <v>#DIV/0!</v>
      </c>
      <c r="BJ46" s="111" t="e">
        <f t="shared" si="62"/>
        <v>#DIV/0!</v>
      </c>
      <c r="BK46" s="111" t="e">
        <f t="shared" si="62"/>
        <v>#DIV/0!</v>
      </c>
      <c r="BL46" s="111" t="e">
        <f t="shared" si="62"/>
        <v>#DIV/0!</v>
      </c>
      <c r="BM46" s="111"/>
      <c r="BN46" s="111"/>
      <c r="BO46" s="111"/>
      <c r="BP46" s="111"/>
      <c r="BQ46" s="111"/>
      <c r="BR46" s="111"/>
      <c r="BS46" s="111" t="e">
        <f t="shared" si="74"/>
        <v>#DIV/0!</v>
      </c>
      <c r="BT46" s="111" t="e">
        <f t="shared" si="63"/>
        <v>#DIV/0!</v>
      </c>
      <c r="BU46" s="111" t="e">
        <f t="shared" si="63"/>
        <v>#VALUE!</v>
      </c>
      <c r="BV46" s="111" t="e">
        <f t="shared" si="63"/>
        <v>#VALUE!</v>
      </c>
      <c r="BW46" s="111" t="e">
        <f t="shared" si="64"/>
        <v>#DIV/0!</v>
      </c>
    </row>
    <row r="47" spans="1:75" x14ac:dyDescent="0.25">
      <c r="A47" s="20" t="str">
        <f t="shared" si="65"/>
        <v>Activity Ratio_by_rookie_GENLION:7-12mth</v>
      </c>
      <c r="B47" t="s">
        <v>1</v>
      </c>
      <c r="C47" s="8" t="str">
        <f t="shared" si="53"/>
        <v/>
      </c>
      <c r="D47" s="8" t="str">
        <f t="shared" si="53"/>
        <v/>
      </c>
      <c r="E47" s="8" t="str">
        <f t="shared" si="53"/>
        <v/>
      </c>
      <c r="F47" s="8" t="str">
        <f t="shared" si="53"/>
        <v/>
      </c>
      <c r="G47" s="8" t="str">
        <f t="shared" si="53"/>
        <v/>
      </c>
      <c r="H47" s="8" t="str">
        <f t="shared" si="53"/>
        <v/>
      </c>
      <c r="I47" s="8" t="str">
        <f t="shared" si="53"/>
        <v/>
      </c>
      <c r="J47" s="8" t="str">
        <f t="shared" si="53"/>
        <v/>
      </c>
      <c r="K47" s="8" t="str">
        <f t="shared" si="53"/>
        <v/>
      </c>
      <c r="L47" s="8" t="str">
        <f t="shared" si="53"/>
        <v/>
      </c>
      <c r="M47" s="8" t="str">
        <f t="shared" si="53"/>
        <v/>
      </c>
      <c r="N47" s="8" t="str">
        <f t="shared" si="53"/>
        <v/>
      </c>
      <c r="O47" s="8" t="e">
        <f t="shared" si="54"/>
        <v>#DIV/0!</v>
      </c>
      <c r="P47" s="8" t="e">
        <f t="shared" si="54"/>
        <v>#DIV/0!</v>
      </c>
      <c r="Q47" s="8" t="e">
        <f t="shared" si="54"/>
        <v>#DIV/0!</v>
      </c>
      <c r="R47" s="8" t="e">
        <f t="shared" si="54"/>
        <v>#DIV/0!</v>
      </c>
      <c r="S47" s="8" t="e">
        <f t="shared" si="54"/>
        <v>#DIV/0!</v>
      </c>
      <c r="T47" s="8" t="e">
        <f t="shared" si="54"/>
        <v>#DIV/0!</v>
      </c>
      <c r="U47" s="8" t="e">
        <f t="shared" si="54"/>
        <v>#DIV/0!</v>
      </c>
      <c r="V47" s="8" t="e">
        <f t="shared" si="54"/>
        <v>#DIV/0!</v>
      </c>
      <c r="W47" s="8" t="e">
        <f t="shared" si="54"/>
        <v>#DIV/0!</v>
      </c>
      <c r="X47" s="8" t="e">
        <f t="shared" si="54"/>
        <v>#DIV/0!</v>
      </c>
      <c r="Y47" s="8" t="e">
        <f t="shared" si="54"/>
        <v>#DIV/0!</v>
      </c>
      <c r="Z47" s="8" t="e">
        <f t="shared" si="54"/>
        <v>#DIV/0!</v>
      </c>
      <c r="AA47" s="139" t="e">
        <f>2*SUM(O35:INDEX(O35:Z35,$B$3))/(SUM(O23:INDEX(O23:Z23,$B$3))*2+N23-INDEX(O23:Z23,$B$3))</f>
        <v>#DIV/0!</v>
      </c>
      <c r="AB47" s="8" t="e">
        <f t="shared" si="66"/>
        <v>#DIV/0!</v>
      </c>
      <c r="AC47" s="8" t="e">
        <f>2*SUM(R35:INDEX(R35:T35,$C$3))/(Q23+SUM(R23:INDEX(R23:T23,$C$3))*2-INDEX(R23:T23,$C$3))</f>
        <v>#DIV/0!</v>
      </c>
      <c r="AD47" s="8" t="str">
        <f t="shared" si="56"/>
        <v/>
      </c>
      <c r="AE47" s="8" t="str">
        <f t="shared" si="57"/>
        <v/>
      </c>
      <c r="AF47" s="8" t="e">
        <f>AVERAGE(C47:INDEX(C47:N47,$B$3))</f>
        <v>#DIV/0!</v>
      </c>
      <c r="AG47" s="8" t="e">
        <f t="shared" si="67"/>
        <v>#DIV/0!</v>
      </c>
      <c r="AH47" s="8" t="e">
        <f t="shared" si="68"/>
        <v>#DIV/0!</v>
      </c>
      <c r="AI47" s="8" t="e">
        <f t="shared" si="69"/>
        <v>#DIV/0!</v>
      </c>
      <c r="AJ47" s="8" t="e">
        <f t="shared" si="70"/>
        <v>#DIV/0!</v>
      </c>
      <c r="AK47" s="31" t="e">
        <f t="shared" si="71"/>
        <v>#DIV/0!</v>
      </c>
      <c r="AL47" s="31" t="e">
        <f t="shared" si="58"/>
        <v>#DIV/0!</v>
      </c>
      <c r="AM47" s="31" t="e">
        <f t="shared" si="58"/>
        <v>#DIV/0!</v>
      </c>
      <c r="AN47" s="31" t="e">
        <f t="shared" si="58"/>
        <v>#VALUE!</v>
      </c>
      <c r="AO47" s="31" t="e">
        <f t="shared" si="58"/>
        <v>#VALUE!</v>
      </c>
      <c r="AP47" s="8">
        <f t="shared" si="59"/>
        <v>4.2938931297709926E-2</v>
      </c>
      <c r="AQ47" s="8">
        <f t="shared" si="72"/>
        <v>8.8111044055522031E-2</v>
      </c>
      <c r="AR47" s="8">
        <f t="shared" si="72"/>
        <v>0.16530156366344007</v>
      </c>
      <c r="AS47" s="8">
        <f t="shared" si="72"/>
        <v>0.12947658402203857</v>
      </c>
      <c r="AT47" s="8">
        <f t="shared" si="72"/>
        <v>8.3386786401539445E-2</v>
      </c>
      <c r="AU47" s="8">
        <f t="shared" si="72"/>
        <v>7.2599531615925056E-2</v>
      </c>
      <c r="AV47" s="8">
        <f t="shared" si="73"/>
        <v>6.6508313539192399E-2</v>
      </c>
      <c r="AW47" s="18"/>
      <c r="AX47" s="18"/>
      <c r="AY47" s="18"/>
      <c r="AZ47" s="18"/>
      <c r="BA47" s="18"/>
      <c r="BB47" s="8">
        <f t="shared" si="75"/>
        <v>8.9874411302982737E-2</v>
      </c>
      <c r="BC47" s="8">
        <f>IFERROR(BC35*2/(AR23+2*SUM(AS23:INDEX(AS23:AU23,$C$3))-INDEX(AS23:AU23,$C$3)),"")</f>
        <v>0.30440771349862261</v>
      </c>
      <c r="BD47" s="8">
        <f>IFERROR(BD35*2/(AU23+2*SUM(AV23:INDEX(AV23:AX23,$C$3))-INDEX(AV23:AX23,$C$3)),"")</f>
        <v>6.6508313539192399E-2</v>
      </c>
      <c r="BE47" s="18"/>
      <c r="BF47" s="8">
        <f>2*SUM(AP35:INDEX(AP35:BA35,$B$3))/(SUM(AP23:INDEX(AP23:BA23,$B$3))*2+Z23-INDEX(AP23:BA23,$B$3))</f>
        <v>9.6832838962778681E-2</v>
      </c>
      <c r="BG47" s="122" t="e">
        <f t="shared" si="62"/>
        <v>#DIV/0!</v>
      </c>
      <c r="BH47" s="111" t="e">
        <f t="shared" si="62"/>
        <v>#DIV/0!</v>
      </c>
      <c r="BI47" s="111" t="e">
        <f t="shared" si="62"/>
        <v>#DIV/0!</v>
      </c>
      <c r="BJ47" s="111" t="e">
        <f t="shared" si="62"/>
        <v>#DIV/0!</v>
      </c>
      <c r="BK47" s="111" t="e">
        <f t="shared" si="62"/>
        <v>#DIV/0!</v>
      </c>
      <c r="BL47" s="111" t="e">
        <f t="shared" si="62"/>
        <v>#DIV/0!</v>
      </c>
      <c r="BM47" s="111"/>
      <c r="BN47" s="111"/>
      <c r="BO47" s="111"/>
      <c r="BP47" s="111"/>
      <c r="BQ47" s="111"/>
      <c r="BR47" s="111"/>
      <c r="BS47" s="111" t="e">
        <f t="shared" si="74"/>
        <v>#DIV/0!</v>
      </c>
      <c r="BT47" s="111" t="e">
        <f t="shared" si="63"/>
        <v>#DIV/0!</v>
      </c>
      <c r="BU47" s="111" t="e">
        <f t="shared" si="63"/>
        <v>#VALUE!</v>
      </c>
      <c r="BV47" s="111" t="e">
        <f t="shared" si="63"/>
        <v>#VALUE!</v>
      </c>
      <c r="BW47" s="111" t="e">
        <f t="shared" si="64"/>
        <v>#DIV/0!</v>
      </c>
    </row>
    <row r="48" spans="1:75" x14ac:dyDescent="0.25">
      <c r="A48" s="20" t="str">
        <f t="shared" si="65"/>
        <v>Activity Ratio_by_rookie_GENLION:13+mth</v>
      </c>
      <c r="B48" t="s">
        <v>2</v>
      </c>
      <c r="C48" s="8" t="str">
        <f t="shared" si="53"/>
        <v/>
      </c>
      <c r="D48" s="8" t="str">
        <f t="shared" si="53"/>
        <v/>
      </c>
      <c r="E48" s="8" t="str">
        <f t="shared" si="53"/>
        <v/>
      </c>
      <c r="F48" s="8" t="str">
        <f t="shared" si="53"/>
        <v/>
      </c>
      <c r="G48" s="8" t="str">
        <f t="shared" si="53"/>
        <v/>
      </c>
      <c r="H48" s="8" t="str">
        <f t="shared" si="53"/>
        <v/>
      </c>
      <c r="I48" s="8" t="str">
        <f t="shared" si="53"/>
        <v/>
      </c>
      <c r="J48" s="8" t="str">
        <f t="shared" si="53"/>
        <v/>
      </c>
      <c r="K48" s="8" t="str">
        <f t="shared" si="53"/>
        <v/>
      </c>
      <c r="L48" s="8" t="str">
        <f t="shared" si="53"/>
        <v/>
      </c>
      <c r="M48" s="8" t="str">
        <f t="shared" si="53"/>
        <v/>
      </c>
      <c r="N48" s="8" t="str">
        <f t="shared" si="53"/>
        <v/>
      </c>
      <c r="O48" s="8" t="e">
        <f t="shared" si="54"/>
        <v>#DIV/0!</v>
      </c>
      <c r="P48" s="8" t="e">
        <f t="shared" si="54"/>
        <v>#DIV/0!</v>
      </c>
      <c r="Q48" s="8" t="e">
        <f t="shared" si="54"/>
        <v>#DIV/0!</v>
      </c>
      <c r="R48" s="8" t="e">
        <f t="shared" si="54"/>
        <v>#DIV/0!</v>
      </c>
      <c r="S48" s="8" t="e">
        <f t="shared" si="54"/>
        <v>#DIV/0!</v>
      </c>
      <c r="T48" s="8" t="e">
        <f t="shared" si="54"/>
        <v>#DIV/0!</v>
      </c>
      <c r="U48" s="8" t="e">
        <f t="shared" si="54"/>
        <v>#DIV/0!</v>
      </c>
      <c r="V48" s="8" t="e">
        <f t="shared" si="54"/>
        <v>#DIV/0!</v>
      </c>
      <c r="W48" s="8" t="e">
        <f t="shared" si="54"/>
        <v>#DIV/0!</v>
      </c>
      <c r="X48" s="8" t="e">
        <f t="shared" si="54"/>
        <v>#DIV/0!</v>
      </c>
      <c r="Y48" s="8" t="e">
        <f t="shared" si="54"/>
        <v>#DIV/0!</v>
      </c>
      <c r="Z48" s="8" t="e">
        <f t="shared" si="54"/>
        <v>#DIV/0!</v>
      </c>
      <c r="AA48" s="139" t="e">
        <f>2*SUM(O36:INDEX(O36:Z36,$B$3))/(SUM(O24:INDEX(O24:Z24,$B$3))*2+N24-INDEX(O24:Z24,$B$3))</f>
        <v>#DIV/0!</v>
      </c>
      <c r="AB48" s="8" t="e">
        <f t="shared" si="66"/>
        <v>#DIV/0!</v>
      </c>
      <c r="AC48" s="8" t="e">
        <f>2*SUM(R36:INDEX(R36:T36,$C$3))/(Q24+SUM(R24:INDEX(R24:T24,$C$3))*2-INDEX(R24:T24,$C$3))</f>
        <v>#DIV/0!</v>
      </c>
      <c r="AD48" s="8" t="str">
        <f t="shared" si="56"/>
        <v/>
      </c>
      <c r="AE48" s="8" t="str">
        <f t="shared" si="57"/>
        <v/>
      </c>
      <c r="AF48" s="8" t="e">
        <f>AVERAGE(C48:INDEX(C48:N48,$B$3))</f>
        <v>#DIV/0!</v>
      </c>
      <c r="AG48" s="8" t="e">
        <f t="shared" si="67"/>
        <v>#DIV/0!</v>
      </c>
      <c r="AH48" s="8" t="e">
        <f t="shared" si="68"/>
        <v>#DIV/0!</v>
      </c>
      <c r="AI48" s="8" t="e">
        <f t="shared" si="69"/>
        <v>#DIV/0!</v>
      </c>
      <c r="AJ48" s="8" t="e">
        <f t="shared" si="70"/>
        <v>#DIV/0!</v>
      </c>
      <c r="AK48" s="31" t="e">
        <f t="shared" si="71"/>
        <v>#DIV/0!</v>
      </c>
      <c r="AL48" s="31" t="e">
        <f t="shared" si="58"/>
        <v>#DIV/0!</v>
      </c>
      <c r="AM48" s="31" t="e">
        <f t="shared" si="58"/>
        <v>#DIV/0!</v>
      </c>
      <c r="AN48" s="31" t="e">
        <f t="shared" si="58"/>
        <v>#VALUE!</v>
      </c>
      <c r="AO48" s="31" t="e">
        <f t="shared" si="58"/>
        <v>#VALUE!</v>
      </c>
      <c r="AP48" s="8">
        <f t="shared" si="59"/>
        <v>7.1151358344113846E-2</v>
      </c>
      <c r="AQ48" s="8">
        <f t="shared" si="72"/>
        <v>0.11507293354943274</v>
      </c>
      <c r="AR48" s="8">
        <f t="shared" si="72"/>
        <v>0.14955357142857142</v>
      </c>
      <c r="AS48" s="8">
        <f t="shared" si="72"/>
        <v>0.17016317016317017</v>
      </c>
      <c r="AT48" s="8">
        <f t="shared" si="72"/>
        <v>0.14169570267131243</v>
      </c>
      <c r="AU48" s="8">
        <f t="shared" si="72"/>
        <v>0.11855104281009879</v>
      </c>
      <c r="AV48" s="8">
        <f t="shared" si="73"/>
        <v>9.9902056807051914E-2</v>
      </c>
      <c r="AW48" s="18"/>
      <c r="AX48" s="18"/>
      <c r="AY48" s="18"/>
      <c r="AZ48" s="18"/>
      <c r="BA48" s="18"/>
      <c r="BB48" s="8">
        <f t="shared" si="75"/>
        <v>0.10500544069640914</v>
      </c>
      <c r="BC48" s="8">
        <f>IFERROR(BC36*2/(AR24+2*SUM(AS24:INDEX(AS24:AU24,$C$3))-INDEX(AS24:AU24,$C$3)),"")</f>
        <v>0.43822843822843821</v>
      </c>
      <c r="BD48" s="8">
        <f>IFERROR(BD36*2/(AU24+2*SUM(AV24:INDEX(AV24:AX24,$C$3))-INDEX(AV24:AX24,$C$3)),"")</f>
        <v>9.9902056807051914E-2</v>
      </c>
      <c r="BE48" s="18"/>
      <c r="BF48" s="8">
        <f>2*SUM(AP36:INDEX(AP36:BA36,$B$3))/(SUM(AP24:INDEX(AP24:BA24,$B$3))*2+Z24-INDEX(AP24:BA24,$B$3))</f>
        <v>0.13182789136405249</v>
      </c>
      <c r="BG48" s="122" t="e">
        <f t="shared" si="62"/>
        <v>#DIV/0!</v>
      </c>
      <c r="BH48" s="111" t="e">
        <f t="shared" si="62"/>
        <v>#DIV/0!</v>
      </c>
      <c r="BI48" s="111" t="e">
        <f t="shared" si="62"/>
        <v>#DIV/0!</v>
      </c>
      <c r="BJ48" s="111" t="e">
        <f t="shared" si="62"/>
        <v>#DIV/0!</v>
      </c>
      <c r="BK48" s="111" t="e">
        <f t="shared" si="62"/>
        <v>#DIV/0!</v>
      </c>
      <c r="BL48" s="111" t="e">
        <f t="shared" si="62"/>
        <v>#DIV/0!</v>
      </c>
      <c r="BM48" s="111"/>
      <c r="BN48" s="111"/>
      <c r="BO48" s="111"/>
      <c r="BP48" s="111"/>
      <c r="BQ48" s="111"/>
      <c r="BR48" s="111"/>
      <c r="BS48" s="111" t="e">
        <f t="shared" si="74"/>
        <v>#DIV/0!</v>
      </c>
      <c r="BT48" s="111" t="e">
        <f t="shared" si="63"/>
        <v>#DIV/0!</v>
      </c>
      <c r="BU48" s="111" t="e">
        <f t="shared" si="63"/>
        <v>#VALUE!</v>
      </c>
      <c r="BV48" s="111" t="e">
        <f t="shared" si="63"/>
        <v>#VALUE!</v>
      </c>
      <c r="BW48" s="111" t="e">
        <f t="shared" si="64"/>
        <v>#DIV/0!</v>
      </c>
    </row>
    <row r="49" spans="1:75" x14ac:dyDescent="0.25">
      <c r="A49" s="20" t="str">
        <f t="shared" si="65"/>
        <v>Activity Ratio_by_rookie_GENLION:SA</v>
      </c>
      <c r="B49" s="135" t="s">
        <v>136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31"/>
      <c r="AL49" s="31"/>
      <c r="AM49" s="31"/>
      <c r="AN49" s="31"/>
      <c r="AO49" s="31"/>
      <c r="AP49" s="8"/>
      <c r="AQ49" s="8">
        <f>IFERROR(AQ37/(SUM(AP25,AQ25)/2),"")</f>
        <v>8.6173633440514472E-2</v>
      </c>
      <c r="AR49" s="8">
        <f t="shared" si="72"/>
        <v>2.7573529411764705E-2</v>
      </c>
      <c r="AS49" s="8">
        <f t="shared" si="72"/>
        <v>5.6441717791411043E-2</v>
      </c>
      <c r="AT49" s="8">
        <f t="shared" si="72"/>
        <v>1.7234625930278104E-2</v>
      </c>
      <c r="AU49" s="8">
        <f t="shared" si="72"/>
        <v>1.3909587680079483E-2</v>
      </c>
      <c r="AV49" s="8">
        <f t="shared" si="73"/>
        <v>8.658008658008658E-3</v>
      </c>
      <c r="AW49" s="18"/>
      <c r="AX49" s="18"/>
      <c r="AY49" s="18"/>
      <c r="AZ49" s="18"/>
      <c r="BA49" s="18"/>
      <c r="BB49" s="8">
        <f>IFERROR(BB37/(SUM(AP25,AQ25,AQ25,AR25)/2),"")</f>
        <v>4.6482672753683334E-2</v>
      </c>
      <c r="BC49" s="8">
        <f>IFERROR(BC37*2/(AR25+2*SUM(AS25:INDEX(AS25:AU25,$C$3))-INDEX(AS25:AU25,$C$3)),"")</f>
        <v>9.8650306748466254E-2</v>
      </c>
      <c r="BD49" s="8">
        <f>IFERROR(BD37*2/(AU25+2*SUM(AV25:INDEX(AV25:AX25,$C$3))-INDEX(AV25:AX25,$C$3)),"")</f>
        <v>8.658008658008658E-3</v>
      </c>
      <c r="BE49" s="18"/>
      <c r="BF49" s="8">
        <f>2*SUM(AP37:INDEX(AP37:BA37,$B$3))/(SUM(AP25:INDEX(AP25:BA25,$B$3))*2+Z25-INDEX(AP25:BA25,$B$3))</f>
        <v>2.5154022820896068E-2</v>
      </c>
      <c r="BG49" s="122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</row>
    <row r="50" spans="1:75" s="19" customFormat="1" x14ac:dyDescent="0.25">
      <c r="A50" s="20" t="str">
        <f t="shared" si="65"/>
        <v>Activity Ratio_by_rookie_GENLION:Total</v>
      </c>
      <c r="B50" s="1" t="s">
        <v>3</v>
      </c>
      <c r="C50" s="9" t="str">
        <f t="shared" ref="C50:N50" si="76">IFERROR(C38/C26,"")</f>
        <v/>
      </c>
      <c r="D50" s="9" t="str">
        <f t="shared" si="76"/>
        <v/>
      </c>
      <c r="E50" s="9" t="str">
        <f t="shared" si="76"/>
        <v/>
      </c>
      <c r="F50" s="9" t="str">
        <f t="shared" si="76"/>
        <v/>
      </c>
      <c r="G50" s="9" t="str">
        <f t="shared" si="76"/>
        <v/>
      </c>
      <c r="H50" s="9" t="str">
        <f t="shared" si="76"/>
        <v/>
      </c>
      <c r="I50" s="9" t="str">
        <f t="shared" si="76"/>
        <v/>
      </c>
      <c r="J50" s="9" t="str">
        <f t="shared" si="76"/>
        <v/>
      </c>
      <c r="K50" s="9" t="str">
        <f t="shared" si="76"/>
        <v/>
      </c>
      <c r="L50" s="9" t="str">
        <f t="shared" si="76"/>
        <v/>
      </c>
      <c r="M50" s="9" t="str">
        <f t="shared" si="76"/>
        <v/>
      </c>
      <c r="N50" s="9" t="str">
        <f t="shared" si="76"/>
        <v/>
      </c>
      <c r="O50" s="9" t="e">
        <f t="shared" ref="O50:Z50" si="77">O38*2/SUM(N26:O26)</f>
        <v>#DIV/0!</v>
      </c>
      <c r="P50" s="9" t="e">
        <f t="shared" si="77"/>
        <v>#DIV/0!</v>
      </c>
      <c r="Q50" s="9" t="e">
        <f t="shared" si="77"/>
        <v>#DIV/0!</v>
      </c>
      <c r="R50" s="9" t="e">
        <f t="shared" si="77"/>
        <v>#DIV/0!</v>
      </c>
      <c r="S50" s="9" t="e">
        <f t="shared" si="77"/>
        <v>#DIV/0!</v>
      </c>
      <c r="T50" s="9" t="e">
        <f t="shared" si="77"/>
        <v>#DIV/0!</v>
      </c>
      <c r="U50" s="9" t="e">
        <f t="shared" si="77"/>
        <v>#DIV/0!</v>
      </c>
      <c r="V50" s="9" t="e">
        <f t="shared" si="77"/>
        <v>#DIV/0!</v>
      </c>
      <c r="W50" s="9" t="e">
        <f t="shared" si="77"/>
        <v>#DIV/0!</v>
      </c>
      <c r="X50" s="9" t="e">
        <f t="shared" si="77"/>
        <v>#DIV/0!</v>
      </c>
      <c r="Y50" s="9" t="e">
        <f t="shared" si="77"/>
        <v>#DIV/0!</v>
      </c>
      <c r="Z50" s="9" t="e">
        <f t="shared" si="77"/>
        <v>#DIV/0!</v>
      </c>
      <c r="AA50" s="9" t="e">
        <f>2*SUM(O38:INDEX(O38:Z38,$B$3))/(SUM(O26:INDEX(O26:Z26,$B$3))*2+N26-INDEX(O26:Z26,$B$3))</f>
        <v>#DIV/0!</v>
      </c>
      <c r="AB50" s="9" t="e">
        <f t="shared" si="66"/>
        <v>#DIV/0!</v>
      </c>
      <c r="AC50" s="9" t="e">
        <f>2*SUM(R38:INDEX(R38:T38,$C$3))/(Q26+SUM(R26:INDEX(R26:T26,$C$3))*2-INDEX(R26:T26,$C$3))</f>
        <v>#DIV/0!</v>
      </c>
      <c r="AD50" s="9" t="str">
        <f t="shared" si="56"/>
        <v/>
      </c>
      <c r="AE50" s="9" t="str">
        <f t="shared" si="57"/>
        <v/>
      </c>
      <c r="AF50" s="28" t="e">
        <f>AVERAGE(C50:INDEX(C50:N50,$B$3))</f>
        <v>#DIV/0!</v>
      </c>
      <c r="AG50" s="28" t="e">
        <f t="shared" si="67"/>
        <v>#DIV/0!</v>
      </c>
      <c r="AH50" s="28" t="e">
        <f t="shared" si="68"/>
        <v>#DIV/0!</v>
      </c>
      <c r="AI50" s="28" t="e">
        <f t="shared" si="69"/>
        <v>#DIV/0!</v>
      </c>
      <c r="AJ50" s="28" t="e">
        <f t="shared" si="70"/>
        <v>#DIV/0!</v>
      </c>
      <c r="AK50" s="32" t="e">
        <f t="shared" si="71"/>
        <v>#DIV/0!</v>
      </c>
      <c r="AL50" s="32" t="e">
        <f t="shared" si="58"/>
        <v>#DIV/0!</v>
      </c>
      <c r="AM50" s="32" t="e">
        <f t="shared" si="58"/>
        <v>#DIV/0!</v>
      </c>
      <c r="AN50" s="32" t="e">
        <f t="shared" si="58"/>
        <v>#VALUE!</v>
      </c>
      <c r="AO50" s="32" t="e">
        <f t="shared" si="58"/>
        <v>#VALUE!</v>
      </c>
      <c r="AP50" s="28">
        <f t="shared" ref="AP50" si="78">IFERROR(AP38/AVERAGE(Z26,AP26),"")</f>
        <v>0.19412628487518355</v>
      </c>
      <c r="AQ50" s="28">
        <f>IFERROR(AQ38/AVERAGE(AP26,AQ26),"")</f>
        <v>0.1365289010907472</v>
      </c>
      <c r="AR50" s="28">
        <f>IFERROR(AR38/AVERAGE(AQ26,AR26),"")</f>
        <v>0.20923593618807726</v>
      </c>
      <c r="AS50" s="28">
        <f>IFERROR(AS38/AVERAGE(AR26,AS26),"")</f>
        <v>0.22019452521808883</v>
      </c>
      <c r="AT50" s="28">
        <f>IFERROR(AT38/AVERAGE(AS26,AT26),"")</f>
        <v>0.17862311350010338</v>
      </c>
      <c r="AU50" s="28">
        <f>IFERROR(AU38/AVERAGE(AT26,AU26),"")</f>
        <v>0.23423767672907911</v>
      </c>
      <c r="AV50" s="28">
        <f t="shared" si="73"/>
        <v>0.16233943700464606</v>
      </c>
      <c r="AW50" s="110">
        <f t="shared" si="73"/>
        <v>0</v>
      </c>
      <c r="AX50" s="28" t="str">
        <f t="shared" si="73"/>
        <v/>
      </c>
      <c r="AY50" s="28" t="str">
        <f t="shared" si="73"/>
        <v/>
      </c>
      <c r="AZ50" s="28" t="str">
        <f t="shared" si="73"/>
        <v/>
      </c>
      <c r="BA50" s="28" t="str">
        <f t="shared" si="73"/>
        <v/>
      </c>
      <c r="BB50" s="28">
        <f t="shared" si="75"/>
        <v>0.17560642295866075</v>
      </c>
      <c r="BC50" s="28">
        <f>IFERROR(BC38*2/(AR26+2*SUM(AS26:INDEX(AS26:AU26,$C$3))-INDEX(AS26:AU26,$C$3)),"")</f>
        <v>0.63932618068785718</v>
      </c>
      <c r="BD50" s="28">
        <f>IFERROR(BD38*2/(AU26+2*SUM(AV26:INDEX(AV26:AX26,$C$3))-INDEX(AV26:AX26,$C$3)),"")</f>
        <v>0.16233943700464606</v>
      </c>
      <c r="BE50" s="37"/>
      <c r="BF50" s="28">
        <f>2*SUM(AP38:INDEX(AP38:BA38,$B$3))/(SUM(AP26:INDEX(AP26:BA26,$B$3))*2+Z26-INDEX(AP26:BA26,$B$3))</f>
        <v>0.18845938681111762</v>
      </c>
      <c r="BG50" s="123" t="e">
        <f t="shared" si="62"/>
        <v>#DIV/0!</v>
      </c>
      <c r="BH50" s="118" t="e">
        <f t="shared" si="62"/>
        <v>#DIV/0!</v>
      </c>
      <c r="BI50" s="118" t="e">
        <f t="shared" si="62"/>
        <v>#DIV/0!</v>
      </c>
      <c r="BJ50" s="118" t="e">
        <f t="shared" si="62"/>
        <v>#DIV/0!</v>
      </c>
      <c r="BK50" s="118" t="e">
        <f t="shared" si="62"/>
        <v>#DIV/0!</v>
      </c>
      <c r="BL50" s="118" t="e">
        <f t="shared" si="62"/>
        <v>#DIV/0!</v>
      </c>
      <c r="BM50" s="118"/>
      <c r="BN50" s="118"/>
      <c r="BO50" s="118"/>
      <c r="BP50" s="118"/>
      <c r="BQ50" s="118"/>
      <c r="BR50" s="118"/>
      <c r="BS50" s="118" t="e">
        <f>BB50/((O38+P38+Q38)/(SUM(N26,O26,O26,P26,P26,Q26)/2))</f>
        <v>#DIV/0!</v>
      </c>
      <c r="BT50" s="118" t="e">
        <f t="shared" si="63"/>
        <v>#DIV/0!</v>
      </c>
      <c r="BU50" s="118" t="e">
        <f t="shared" si="63"/>
        <v>#VALUE!</v>
      </c>
      <c r="BV50" s="118" t="e">
        <f t="shared" si="63"/>
        <v>#VALUE!</v>
      </c>
      <c r="BW50" s="118" t="e">
        <f t="shared" si="64"/>
        <v>#DIV/0!</v>
      </c>
    </row>
    <row r="51" spans="1:75" x14ac:dyDescent="0.25">
      <c r="AA51" s="31" t="e">
        <f>2*SUM(O38:INDEX(O38:Z38,$B$3))/(SUM(O26:INDEX(O26:Z26,$B$3))*2+N26-INDEX(O26:Z26,$B$3))</f>
        <v>#DIV/0!</v>
      </c>
      <c r="AB51" s="18"/>
      <c r="AC51" s="31"/>
      <c r="AD51" s="18"/>
      <c r="AE51" s="18"/>
      <c r="AF51" s="31" t="e">
        <f>2*SUM(C38:INDEX(C38:N38,$B$3))/(SUM(C26:INDEX(C26:N26,$B$3))*2+C26-INDEX(C26:N26,$B$3))</f>
        <v>#DIV/0!</v>
      </c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32">
        <f>2*SUM(AP38:INDEX(AP38:BA38,B3))/(SUM(AP26:INDEX(AP26:BA26,B3))*2+Z26-INDEX(AP26:BA26,B3))</f>
        <v>0.18845938681111762</v>
      </c>
      <c r="BG51" s="124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</row>
    <row r="52" spans="1:75" x14ac:dyDescent="0.25"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24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</row>
    <row r="53" spans="1:75" s="19" customFormat="1" x14ac:dyDescent="0.25">
      <c r="A53" s="17"/>
      <c r="B53" s="2" t="s">
        <v>12</v>
      </c>
      <c r="C53" s="3">
        <f t="shared" ref="C53:Z53" si="79">C17</f>
        <v>42005</v>
      </c>
      <c r="D53" s="3">
        <f t="shared" si="79"/>
        <v>42036</v>
      </c>
      <c r="E53" s="3">
        <f t="shared" si="79"/>
        <v>42064</v>
      </c>
      <c r="F53" s="3">
        <f t="shared" si="79"/>
        <v>42095</v>
      </c>
      <c r="G53" s="3">
        <f t="shared" si="79"/>
        <v>42125</v>
      </c>
      <c r="H53" s="3">
        <f t="shared" si="79"/>
        <v>42156</v>
      </c>
      <c r="I53" s="3">
        <f t="shared" si="79"/>
        <v>42186</v>
      </c>
      <c r="J53" s="3">
        <f t="shared" si="79"/>
        <v>42217</v>
      </c>
      <c r="K53" s="3">
        <f t="shared" si="79"/>
        <v>42248</v>
      </c>
      <c r="L53" s="3">
        <f t="shared" si="79"/>
        <v>42278</v>
      </c>
      <c r="M53" s="3">
        <f t="shared" si="79"/>
        <v>42309</v>
      </c>
      <c r="N53" s="3">
        <f t="shared" si="79"/>
        <v>42339</v>
      </c>
      <c r="O53" s="3">
        <f t="shared" si="79"/>
        <v>42370</v>
      </c>
      <c r="P53" s="3">
        <f t="shared" si="79"/>
        <v>42401</v>
      </c>
      <c r="Q53" s="3">
        <f t="shared" si="79"/>
        <v>42430</v>
      </c>
      <c r="R53" s="3">
        <f t="shared" si="79"/>
        <v>42461</v>
      </c>
      <c r="S53" s="3">
        <f t="shared" si="79"/>
        <v>42491</v>
      </c>
      <c r="T53" s="3">
        <f t="shared" si="79"/>
        <v>42522</v>
      </c>
      <c r="U53" s="3">
        <f t="shared" si="79"/>
        <v>42552</v>
      </c>
      <c r="V53" s="3">
        <f t="shared" si="79"/>
        <v>42583</v>
      </c>
      <c r="W53" s="3">
        <f t="shared" si="79"/>
        <v>42614</v>
      </c>
      <c r="X53" s="3">
        <f t="shared" si="79"/>
        <v>42644</v>
      </c>
      <c r="Y53" s="3">
        <f t="shared" si="79"/>
        <v>42675</v>
      </c>
      <c r="Z53" s="3">
        <f t="shared" si="79"/>
        <v>42705</v>
      </c>
      <c r="AA53" s="29" t="str">
        <f>AA41</f>
        <v>YTD 7/16</v>
      </c>
      <c r="AB53" s="29" t="s">
        <v>19</v>
      </c>
      <c r="AC53" s="29" t="s">
        <v>20</v>
      </c>
      <c r="AD53" s="29" t="s">
        <v>21</v>
      </c>
      <c r="AE53" s="29" t="s">
        <v>22</v>
      </c>
      <c r="AF53" s="26" t="str">
        <f t="shared" ref="AF53:AJ53" si="80">AF29</f>
        <v>YTD 7/15</v>
      </c>
      <c r="AG53" s="26" t="str">
        <f t="shared" si="80"/>
        <v>Q1 '15</v>
      </c>
      <c r="AH53" s="26" t="str">
        <f t="shared" si="80"/>
        <v>Q2 '15</v>
      </c>
      <c r="AI53" s="26" t="str">
        <f t="shared" si="80"/>
        <v>Q3 '15</v>
      </c>
      <c r="AJ53" s="26" t="str">
        <f t="shared" si="80"/>
        <v>Q4 '15</v>
      </c>
      <c r="AK53" s="30" t="s">
        <v>27</v>
      </c>
      <c r="AL53" s="30" t="s">
        <v>29</v>
      </c>
      <c r="AM53" s="30" t="s">
        <v>30</v>
      </c>
      <c r="AN53" s="30" t="s">
        <v>31</v>
      </c>
      <c r="AO53" s="30" t="s">
        <v>32</v>
      </c>
      <c r="AP53" s="108">
        <v>42736</v>
      </c>
      <c r="AQ53" s="108">
        <v>42767</v>
      </c>
      <c r="AR53" s="108">
        <v>42795</v>
      </c>
      <c r="AS53" s="108">
        <v>42826</v>
      </c>
      <c r="AT53" s="108">
        <v>42856</v>
      </c>
      <c r="AU53" s="108">
        <v>42887</v>
      </c>
      <c r="AV53" s="108">
        <v>42917</v>
      </c>
      <c r="AW53" s="108">
        <v>42948</v>
      </c>
      <c r="AX53" s="108">
        <v>42979</v>
      </c>
      <c r="AY53" s="108">
        <v>43009</v>
      </c>
      <c r="AZ53" s="108">
        <v>43040</v>
      </c>
      <c r="BA53" s="108">
        <v>43070</v>
      </c>
      <c r="BB53" s="29" t="s">
        <v>123</v>
      </c>
      <c r="BC53" s="29" t="s">
        <v>124</v>
      </c>
      <c r="BD53" s="29" t="s">
        <v>125</v>
      </c>
      <c r="BE53" s="29" t="s">
        <v>126</v>
      </c>
      <c r="BF53" s="29" t="str">
        <f>$BF$4</f>
        <v>YTD 7/17</v>
      </c>
      <c r="BG53" s="121">
        <v>42736</v>
      </c>
      <c r="BH53" s="108">
        <v>42767</v>
      </c>
      <c r="BI53" s="108">
        <v>42795</v>
      </c>
      <c r="BJ53" s="108">
        <v>42826</v>
      </c>
      <c r="BK53" s="108">
        <v>42856</v>
      </c>
      <c r="BL53" s="108">
        <v>42887</v>
      </c>
      <c r="BM53" s="108">
        <v>42917</v>
      </c>
      <c r="BN53" s="108">
        <v>42948</v>
      </c>
      <c r="BO53" s="108">
        <v>42979</v>
      </c>
      <c r="BP53" s="108">
        <v>43009</v>
      </c>
      <c r="BQ53" s="108">
        <v>43040</v>
      </c>
      <c r="BR53" s="108">
        <v>43070</v>
      </c>
      <c r="BS53" s="29" t="s">
        <v>127</v>
      </c>
      <c r="BT53" s="29" t="s">
        <v>128</v>
      </c>
      <c r="BU53" s="29" t="s">
        <v>96</v>
      </c>
      <c r="BV53" s="29" t="s">
        <v>129</v>
      </c>
      <c r="BW53" s="112" t="s">
        <v>130</v>
      </c>
    </row>
    <row r="54" spans="1:75" x14ac:dyDescent="0.25">
      <c r="A54" s="20" t="str">
        <f>$B$53&amp;"_by_rookie_GENLION:"&amp;TRIM(B54)</f>
        <v># Case_by_rookie_GENLION:MDRT/ GEN Lion (from Apr '17)</v>
      </c>
      <c r="B54" t="s">
        <v>157</v>
      </c>
      <c r="Z54" s="6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31"/>
      <c r="AL54" s="31"/>
      <c r="AM54" s="31"/>
      <c r="AN54" s="31"/>
      <c r="AO54" s="31"/>
      <c r="AP54" s="113">
        <f>[16]cc!J34</f>
        <v>51.5</v>
      </c>
      <c r="AQ54" s="113">
        <f>[17]cc!J34</f>
        <v>92.5</v>
      </c>
      <c r="AR54" s="113">
        <f>[18]cc!J34</f>
        <v>102.5</v>
      </c>
      <c r="AS54" s="113">
        <f>[19]cc!J54</f>
        <v>332</v>
      </c>
      <c r="AT54" s="113">
        <f>[20]cc!J54</f>
        <v>241</v>
      </c>
      <c r="AU54" s="113">
        <f>[21]cc!J54</f>
        <v>156.5</v>
      </c>
      <c r="AV54" s="113">
        <f>[22]cc!J54</f>
        <v>181</v>
      </c>
      <c r="AW54" s="113"/>
      <c r="AX54" s="113"/>
      <c r="AY54" s="113"/>
      <c r="AZ54" s="113"/>
      <c r="BA54" s="113"/>
      <c r="BB54" s="110">
        <f>SUM(AP54:INDEX(AP54:AR54,IF($B$3&lt;3,$B$3,3)))</f>
        <v>246.5</v>
      </c>
      <c r="BC54" s="21">
        <f>SUM(AS54:INDEX(AS54:AU54,IF(AND($B$3&gt;3,B53&lt;7),$B$3-3,0)))</f>
        <v>729.5</v>
      </c>
      <c r="BD54" s="110">
        <f>SUM(AV54:INDEX(AV54:AX54,IF(AND($B$3&gt;6,$B$3&lt;10),$B$3-6,0)))</f>
        <v>181</v>
      </c>
      <c r="BE54" s="110">
        <f>SUM(AY54:INDEX(AY54:BA54,IF($B$3&gt;9,$B$3-9,0)))</f>
        <v>0</v>
      </c>
      <c r="BF54" s="110">
        <f>SUM($AP54:INDEX(AP54:BA54,$B$3))</f>
        <v>1157</v>
      </c>
      <c r="BG54" s="122" t="e">
        <f t="shared" ref="BG54:BR62" si="81">AP54/O54</f>
        <v>#DIV/0!</v>
      </c>
      <c r="BH54" s="111" t="e">
        <f t="shared" si="81"/>
        <v>#DIV/0!</v>
      </c>
      <c r="BI54" s="111" t="e">
        <f t="shared" si="81"/>
        <v>#DIV/0!</v>
      </c>
      <c r="BJ54" s="111" t="e">
        <f t="shared" si="81"/>
        <v>#DIV/0!</v>
      </c>
      <c r="BK54" s="111" t="e">
        <f t="shared" si="81"/>
        <v>#DIV/0!</v>
      </c>
      <c r="BL54" s="111" t="e">
        <f t="shared" si="81"/>
        <v>#DIV/0!</v>
      </c>
      <c r="BM54" s="111" t="e">
        <f t="shared" si="81"/>
        <v>#DIV/0!</v>
      </c>
      <c r="BN54" s="111" t="e">
        <f t="shared" si="81"/>
        <v>#DIV/0!</v>
      </c>
      <c r="BO54" s="111" t="e">
        <f t="shared" si="81"/>
        <v>#DIV/0!</v>
      </c>
      <c r="BP54" s="111" t="e">
        <f t="shared" si="81"/>
        <v>#DIV/0!</v>
      </c>
      <c r="BQ54" s="111" t="e">
        <f t="shared" si="81"/>
        <v>#DIV/0!</v>
      </c>
      <c r="BR54" s="111" t="e">
        <f t="shared" si="81"/>
        <v>#DIV/0!</v>
      </c>
      <c r="BS54" s="111" t="e">
        <f>BB54/SUM(O54:INDEX(O54:Q54,IF($B$3&lt;3,$B$3,3)))</f>
        <v>#DIV/0!</v>
      </c>
      <c r="BT54" s="111" t="e">
        <f>BC54/SUM(R54:INDEX(R54:T54,IF($B$3&lt;7,$B$3-3,3)))</f>
        <v>#DIV/0!</v>
      </c>
      <c r="BU54" s="111" t="e">
        <f t="shared" ref="BU54:BV62" si="82">BD54/AD54</f>
        <v>#DIV/0!</v>
      </c>
      <c r="BV54" s="111" t="e">
        <f t="shared" si="82"/>
        <v>#DIV/0!</v>
      </c>
      <c r="BW54" s="111" t="e">
        <f t="shared" ref="BW54:BW62" si="83">BF54/AA54</f>
        <v>#DIV/0!</v>
      </c>
    </row>
    <row r="55" spans="1:75" x14ac:dyDescent="0.25">
      <c r="A55" s="20" t="str">
        <f t="shared" ref="A55:A62" si="84">$B$53&amp;"_by_rookie_GENLION:"&amp;TRIM(B55)</f>
        <v># Case_by_rookie_GENLION:Rookie in month</v>
      </c>
      <c r="B55" t="s">
        <v>5</v>
      </c>
      <c r="Z55" s="6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31"/>
      <c r="AL55" s="31"/>
      <c r="AM55" s="31"/>
      <c r="AN55" s="31"/>
      <c r="AO55" s="31"/>
      <c r="AP55" s="113">
        <f>[16]cc!J35</f>
        <v>195</v>
      </c>
      <c r="AQ55" s="113">
        <f>[17]cc!J35</f>
        <v>268</v>
      </c>
      <c r="AR55" s="113">
        <f>[18]cc!J35</f>
        <v>726</v>
      </c>
      <c r="AS55" s="113">
        <f>[19]cc!J55</f>
        <v>470</v>
      </c>
      <c r="AT55" s="113">
        <f>[20]cc!J55</f>
        <v>458</v>
      </c>
      <c r="AU55" s="113">
        <f>[21]cc!J55</f>
        <v>1053</v>
      </c>
      <c r="AV55" s="113">
        <f>[22]cc!J55</f>
        <v>568</v>
      </c>
      <c r="AW55" s="113"/>
      <c r="AX55" s="113"/>
      <c r="AY55" s="113"/>
      <c r="AZ55" s="113"/>
      <c r="BA55" s="113"/>
      <c r="BB55" s="110">
        <f>SUM(AP55:INDEX(AP55:AR55,IF($B$3&lt;3,$B$3,3)))</f>
        <v>1189</v>
      </c>
      <c r="BC55" s="110">
        <f>SUM(AS55:INDEX(AS55:AU55,IF(AND($B$3&gt;3,B53&lt;7),$B$3-3,0)))</f>
        <v>1981</v>
      </c>
      <c r="BD55" s="110">
        <f>SUM(AV55:INDEX(AV55:AX55,IF(AND($B$3&gt;6,$B$3&lt;10),$B$3-6,0)))</f>
        <v>568</v>
      </c>
      <c r="BE55" s="110">
        <f>SUM(AY55:INDEX(AY55:BA55,IF($B$3&gt;9,$B$3-9,0)))</f>
        <v>0</v>
      </c>
      <c r="BF55" s="110">
        <f>SUM($AP55:INDEX(AP55:BA55,$B$3))</f>
        <v>3738</v>
      </c>
      <c r="BG55" s="122" t="e">
        <f t="shared" si="81"/>
        <v>#DIV/0!</v>
      </c>
      <c r="BH55" s="111" t="e">
        <f t="shared" si="81"/>
        <v>#DIV/0!</v>
      </c>
      <c r="BI55" s="111" t="e">
        <f t="shared" si="81"/>
        <v>#DIV/0!</v>
      </c>
      <c r="BJ55" s="111" t="e">
        <f t="shared" si="81"/>
        <v>#DIV/0!</v>
      </c>
      <c r="BK55" s="111" t="e">
        <f t="shared" si="81"/>
        <v>#DIV/0!</v>
      </c>
      <c r="BL55" s="111" t="e">
        <f t="shared" si="81"/>
        <v>#DIV/0!</v>
      </c>
      <c r="BM55" s="111" t="e">
        <f t="shared" si="81"/>
        <v>#DIV/0!</v>
      </c>
      <c r="BN55" s="111" t="e">
        <f t="shared" si="81"/>
        <v>#DIV/0!</v>
      </c>
      <c r="BO55" s="111" t="e">
        <f t="shared" si="81"/>
        <v>#DIV/0!</v>
      </c>
      <c r="BP55" s="111" t="e">
        <f t="shared" si="81"/>
        <v>#DIV/0!</v>
      </c>
      <c r="BQ55" s="111" t="e">
        <f t="shared" si="81"/>
        <v>#DIV/0!</v>
      </c>
      <c r="BR55" s="111" t="e">
        <f t="shared" si="81"/>
        <v>#DIV/0!</v>
      </c>
      <c r="BS55" s="111" t="e">
        <f>BB55/SUM(O55:INDEX(O55:Q55,IF($B$3&lt;3,$B$3,3)))</f>
        <v>#DIV/0!</v>
      </c>
      <c r="BT55" s="111" t="e">
        <f>BC55/SUM(R55:INDEX(R55:T55,IF($B$3&lt;7,$B$3-3,3)))</f>
        <v>#DIV/0!</v>
      </c>
      <c r="BU55" s="111" t="e">
        <f t="shared" si="82"/>
        <v>#DIV/0!</v>
      </c>
      <c r="BV55" s="111" t="e">
        <f t="shared" si="82"/>
        <v>#DIV/0!</v>
      </c>
      <c r="BW55" s="111" t="e">
        <f t="shared" si="83"/>
        <v>#DIV/0!</v>
      </c>
    </row>
    <row r="56" spans="1:75" x14ac:dyDescent="0.25">
      <c r="A56" s="20" t="str">
        <f t="shared" si="84"/>
        <v># Case_by_rookie_GENLION:Rookie last month</v>
      </c>
      <c r="B56" t="s">
        <v>6</v>
      </c>
      <c r="Z56" s="6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31"/>
      <c r="AL56" s="31"/>
      <c r="AM56" s="31"/>
      <c r="AN56" s="31"/>
      <c r="AO56" s="31"/>
      <c r="AP56" s="113">
        <f>[16]cc!J36</f>
        <v>189</v>
      </c>
      <c r="AQ56" s="113">
        <f>[17]cc!J36</f>
        <v>116</v>
      </c>
      <c r="AR56" s="113">
        <f>[18]cc!J36</f>
        <v>281</v>
      </c>
      <c r="AS56" s="113">
        <f>[19]cc!J56</f>
        <v>292</v>
      </c>
      <c r="AT56" s="113">
        <f>[20]cc!J56</f>
        <v>199</v>
      </c>
      <c r="AU56" s="113">
        <f>[21]cc!J56</f>
        <v>154.5</v>
      </c>
      <c r="AV56" s="113">
        <f>[22]cc!J56</f>
        <v>228</v>
      </c>
      <c r="AW56" s="113"/>
      <c r="AX56" s="113"/>
      <c r="AY56" s="113"/>
      <c r="AZ56" s="113"/>
      <c r="BA56" s="113"/>
      <c r="BB56" s="110">
        <f>SUM(AP56:INDEX(AP56:AR56,IF($B$3&lt;3,$B$3,3)))</f>
        <v>586</v>
      </c>
      <c r="BC56" s="110">
        <f>SUM(AS56:INDEX(AS56:AU56,IF(AND($B$3&gt;3,B54&lt;7),$B$3-3,0)))</f>
        <v>645.5</v>
      </c>
      <c r="BD56" s="110">
        <f>SUM(AV56:INDEX(AV56:AX56,IF(AND($B$3&gt;6,$B$3&lt;10),$B$3-6,0)))</f>
        <v>228</v>
      </c>
      <c r="BE56" s="110">
        <f>SUM(AY56:INDEX(AY56:BA56,IF($B$3&gt;9,$B$3-9,0)))</f>
        <v>0</v>
      </c>
      <c r="BF56" s="110">
        <f>SUM($AP56:INDEX(AP56:BA56,$B$3))</f>
        <v>1459.5</v>
      </c>
      <c r="BG56" s="122" t="e">
        <f t="shared" si="81"/>
        <v>#DIV/0!</v>
      </c>
      <c r="BH56" s="111" t="e">
        <f t="shared" si="81"/>
        <v>#DIV/0!</v>
      </c>
      <c r="BI56" s="111" t="e">
        <f t="shared" si="81"/>
        <v>#DIV/0!</v>
      </c>
      <c r="BJ56" s="111" t="e">
        <f t="shared" si="81"/>
        <v>#DIV/0!</v>
      </c>
      <c r="BK56" s="111" t="e">
        <f t="shared" si="81"/>
        <v>#DIV/0!</v>
      </c>
      <c r="BL56" s="111" t="e">
        <f t="shared" si="81"/>
        <v>#DIV/0!</v>
      </c>
      <c r="BM56" s="111" t="e">
        <f t="shared" si="81"/>
        <v>#DIV/0!</v>
      </c>
      <c r="BN56" s="111" t="e">
        <f t="shared" si="81"/>
        <v>#DIV/0!</v>
      </c>
      <c r="BO56" s="111" t="e">
        <f t="shared" si="81"/>
        <v>#DIV/0!</v>
      </c>
      <c r="BP56" s="111" t="e">
        <f t="shared" si="81"/>
        <v>#DIV/0!</v>
      </c>
      <c r="BQ56" s="111" t="e">
        <f t="shared" si="81"/>
        <v>#DIV/0!</v>
      </c>
      <c r="BR56" s="111" t="e">
        <f t="shared" si="81"/>
        <v>#DIV/0!</v>
      </c>
      <c r="BS56" s="111" t="e">
        <f>BB56/SUM(O56:INDEX(O56:Q56,IF($B$3&lt;3,$B$3,3)))</f>
        <v>#DIV/0!</v>
      </c>
      <c r="BT56" s="111" t="e">
        <f>BC56/SUM(R56:INDEX(R56:T56,IF($B$3&lt;7,$B$3-3,3)))</f>
        <v>#DIV/0!</v>
      </c>
      <c r="BU56" s="111" t="e">
        <f t="shared" si="82"/>
        <v>#DIV/0!</v>
      </c>
      <c r="BV56" s="111" t="e">
        <f t="shared" si="82"/>
        <v>#DIV/0!</v>
      </c>
      <c r="BW56" s="111" t="e">
        <f t="shared" si="83"/>
        <v>#DIV/0!</v>
      </c>
    </row>
    <row r="57" spans="1:75" x14ac:dyDescent="0.25">
      <c r="A57" s="20" t="str">
        <f t="shared" si="84"/>
        <v># Case_by_rookie_GENLION:2-3 months</v>
      </c>
      <c r="B57" t="s">
        <v>7</v>
      </c>
      <c r="Z57" s="6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31"/>
      <c r="AL57" s="31"/>
      <c r="AM57" s="31"/>
      <c r="AN57" s="31"/>
      <c r="AO57" s="31"/>
      <c r="AP57" s="113">
        <f>[16]cc!J37</f>
        <v>239.5</v>
      </c>
      <c r="AQ57" s="113">
        <f>[17]cc!J37</f>
        <v>417</v>
      </c>
      <c r="AR57" s="113">
        <f>[18]cc!J37</f>
        <v>326</v>
      </c>
      <c r="AS57" s="113">
        <f>[19]cc!J57</f>
        <v>205</v>
      </c>
      <c r="AT57" s="113">
        <f>[20]cc!J57</f>
        <v>226</v>
      </c>
      <c r="AU57" s="113">
        <f>[21]cc!J57</f>
        <v>203.5</v>
      </c>
      <c r="AV57" s="113">
        <f>[22]cc!J57</f>
        <v>203.5</v>
      </c>
      <c r="AW57" s="113"/>
      <c r="AX57" s="113"/>
      <c r="AY57" s="113"/>
      <c r="AZ57" s="113"/>
      <c r="BA57" s="113"/>
      <c r="BB57" s="110">
        <f>SUM(AP57:INDEX(AP57:AR57,IF($B$3&lt;3,$B$3,3)))</f>
        <v>982.5</v>
      </c>
      <c r="BC57" s="110">
        <f>SUM(AS57:INDEX(AS57:AU57,IF(AND($B$3&gt;3,B55&lt;7),$B$3-3,0)))</f>
        <v>634.5</v>
      </c>
      <c r="BD57" s="110">
        <f>SUM(AV57:INDEX(AV57:AX57,IF(AND($B$3&gt;6,$B$3&lt;10),$B$3-6,0)))</f>
        <v>203.5</v>
      </c>
      <c r="BE57" s="110">
        <f>SUM(AY57:INDEX(AY57:BA57,IF($B$3&gt;9,$B$3-9,0)))</f>
        <v>0</v>
      </c>
      <c r="BF57" s="110">
        <f>SUM($AP57:INDEX(AP57:BA57,$B$3))</f>
        <v>1820.5</v>
      </c>
      <c r="BG57" s="122" t="e">
        <f t="shared" si="81"/>
        <v>#DIV/0!</v>
      </c>
      <c r="BH57" s="111" t="e">
        <f t="shared" si="81"/>
        <v>#DIV/0!</v>
      </c>
      <c r="BI57" s="111" t="e">
        <f t="shared" si="81"/>
        <v>#DIV/0!</v>
      </c>
      <c r="BJ57" s="111" t="e">
        <f t="shared" si="81"/>
        <v>#DIV/0!</v>
      </c>
      <c r="BK57" s="111" t="e">
        <f t="shared" si="81"/>
        <v>#DIV/0!</v>
      </c>
      <c r="BL57" s="111" t="e">
        <f t="shared" si="81"/>
        <v>#DIV/0!</v>
      </c>
      <c r="BM57" s="111" t="e">
        <f t="shared" si="81"/>
        <v>#DIV/0!</v>
      </c>
      <c r="BN57" s="111" t="e">
        <f t="shared" si="81"/>
        <v>#DIV/0!</v>
      </c>
      <c r="BO57" s="111" t="e">
        <f t="shared" si="81"/>
        <v>#DIV/0!</v>
      </c>
      <c r="BP57" s="111" t="e">
        <f t="shared" si="81"/>
        <v>#DIV/0!</v>
      </c>
      <c r="BQ57" s="111" t="e">
        <f t="shared" si="81"/>
        <v>#DIV/0!</v>
      </c>
      <c r="BR57" s="111" t="e">
        <f t="shared" si="81"/>
        <v>#DIV/0!</v>
      </c>
      <c r="BS57" s="111" t="e">
        <f>BB57/SUM(O57:INDEX(O57:Q57,IF($B$3&lt;3,$B$3,3)))</f>
        <v>#DIV/0!</v>
      </c>
      <c r="BT57" s="111" t="e">
        <f>BC57/SUM(R57:INDEX(R57:T57,IF($B$3&lt;7,$B$3-3,3)))</f>
        <v>#DIV/0!</v>
      </c>
      <c r="BU57" s="111" t="e">
        <f t="shared" si="82"/>
        <v>#DIV/0!</v>
      </c>
      <c r="BV57" s="111" t="e">
        <f t="shared" si="82"/>
        <v>#DIV/0!</v>
      </c>
      <c r="BW57" s="111" t="e">
        <f t="shared" si="83"/>
        <v>#DIV/0!</v>
      </c>
    </row>
    <row r="58" spans="1:75" x14ac:dyDescent="0.25">
      <c r="A58" s="20" t="str">
        <f t="shared" si="84"/>
        <v># Case_by_rookie_GENLION:4 - 6 mths</v>
      </c>
      <c r="B58" t="s">
        <v>8</v>
      </c>
      <c r="Z58" s="6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31"/>
      <c r="AL58" s="31"/>
      <c r="AM58" s="31"/>
      <c r="AN58" s="31"/>
      <c r="AO58" s="31"/>
      <c r="AP58" s="113">
        <f>[16]cc!J38</f>
        <v>124.5</v>
      </c>
      <c r="AQ58" s="113">
        <f>[17]cc!J38</f>
        <v>238</v>
      </c>
      <c r="AR58" s="113">
        <f>[18]cc!J38</f>
        <v>352.5</v>
      </c>
      <c r="AS58" s="113">
        <f>[19]cc!J58</f>
        <v>145</v>
      </c>
      <c r="AT58" s="113">
        <f>[20]cc!J58</f>
        <v>100</v>
      </c>
      <c r="AU58" s="113">
        <f>[21]cc!J58</f>
        <v>99</v>
      </c>
      <c r="AV58" s="113">
        <f>[22]cc!J58</f>
        <v>118</v>
      </c>
      <c r="AW58" s="113"/>
      <c r="AX58" s="113"/>
      <c r="AY58" s="113"/>
      <c r="AZ58" s="113"/>
      <c r="BA58" s="113"/>
      <c r="BB58" s="110">
        <f>SUM(AP58:INDEX(AP58:AR58,IF($B$3&lt;3,$B$3,3)))</f>
        <v>715</v>
      </c>
      <c r="BC58" s="110">
        <f>SUM(AS58:INDEX(AS58:AU58,IF(AND($B$3&gt;3,B56&lt;7),$B$3-3,0)))</f>
        <v>344</v>
      </c>
      <c r="BD58" s="110">
        <f>SUM(AV58:INDEX(AV58:AX58,IF(AND($B$3&gt;6,$B$3&lt;10),$B$3-6,0)))</f>
        <v>118</v>
      </c>
      <c r="BE58" s="110">
        <f>SUM(AY58:INDEX(AY58:BA58,IF($B$3&gt;9,$B$3-9,0)))</f>
        <v>0</v>
      </c>
      <c r="BF58" s="110">
        <f>SUM($AP58:INDEX(AP58:BA58,$B$3))</f>
        <v>1177</v>
      </c>
      <c r="BG58" s="122" t="e">
        <f t="shared" si="81"/>
        <v>#DIV/0!</v>
      </c>
      <c r="BH58" s="111" t="e">
        <f t="shared" si="81"/>
        <v>#DIV/0!</v>
      </c>
      <c r="BI58" s="111" t="e">
        <f t="shared" si="81"/>
        <v>#DIV/0!</v>
      </c>
      <c r="BJ58" s="111" t="e">
        <f t="shared" si="81"/>
        <v>#DIV/0!</v>
      </c>
      <c r="BK58" s="111" t="e">
        <f t="shared" si="81"/>
        <v>#DIV/0!</v>
      </c>
      <c r="BL58" s="111" t="e">
        <f t="shared" si="81"/>
        <v>#DIV/0!</v>
      </c>
      <c r="BM58" s="111" t="e">
        <f t="shared" si="81"/>
        <v>#DIV/0!</v>
      </c>
      <c r="BN58" s="111" t="e">
        <f t="shared" si="81"/>
        <v>#DIV/0!</v>
      </c>
      <c r="BO58" s="111" t="e">
        <f t="shared" si="81"/>
        <v>#DIV/0!</v>
      </c>
      <c r="BP58" s="111" t="e">
        <f t="shared" si="81"/>
        <v>#DIV/0!</v>
      </c>
      <c r="BQ58" s="111" t="e">
        <f t="shared" si="81"/>
        <v>#DIV/0!</v>
      </c>
      <c r="BR58" s="111" t="e">
        <f t="shared" si="81"/>
        <v>#DIV/0!</v>
      </c>
      <c r="BS58" s="111" t="e">
        <f>BB58/SUM(O58:INDEX(O58:Q58,IF($B$3&lt;3,$B$3,3)))</f>
        <v>#DIV/0!</v>
      </c>
      <c r="BT58" s="111" t="e">
        <f>BC58/SUM(R58:INDEX(R58:T58,IF($B$3&lt;7,$B$3-3,3)))</f>
        <v>#DIV/0!</v>
      </c>
      <c r="BU58" s="111" t="e">
        <f t="shared" si="82"/>
        <v>#DIV/0!</v>
      </c>
      <c r="BV58" s="111" t="e">
        <f t="shared" si="82"/>
        <v>#DIV/0!</v>
      </c>
      <c r="BW58" s="111" t="e">
        <f t="shared" si="83"/>
        <v>#DIV/0!</v>
      </c>
    </row>
    <row r="59" spans="1:75" x14ac:dyDescent="0.25">
      <c r="A59" s="20" t="str">
        <f t="shared" si="84"/>
        <v># Case_by_rookie_GENLION:7-12mth</v>
      </c>
      <c r="B59" t="s">
        <v>1</v>
      </c>
      <c r="Z59" s="6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31"/>
      <c r="AL59" s="31"/>
      <c r="AM59" s="31"/>
      <c r="AN59" s="31"/>
      <c r="AO59" s="31"/>
      <c r="AP59" s="113">
        <f>[16]cc!J39</f>
        <v>41</v>
      </c>
      <c r="AQ59" s="113">
        <f>[17]cc!J39</f>
        <v>88</v>
      </c>
      <c r="AR59" s="113">
        <f>[18]cc!J39</f>
        <v>148.5</v>
      </c>
      <c r="AS59" s="113">
        <f>[19]cc!J59</f>
        <v>132</v>
      </c>
      <c r="AT59" s="113">
        <f>[20]cc!J59</f>
        <v>97</v>
      </c>
      <c r="AU59" s="113">
        <f>[21]cc!J59</f>
        <v>76.5</v>
      </c>
      <c r="AV59" s="113">
        <f>[22]cc!J59</f>
        <v>69</v>
      </c>
      <c r="AW59" s="113"/>
      <c r="AX59" s="113"/>
      <c r="AY59" s="113"/>
      <c r="AZ59" s="113"/>
      <c r="BA59" s="113"/>
      <c r="BB59" s="110">
        <f>SUM(AP59:INDEX(AP59:AR59,IF($B$3&lt;3,$B$3,3)))</f>
        <v>277.5</v>
      </c>
      <c r="BC59" s="110">
        <f>SUM(AS59:INDEX(AS59:AU59,IF(AND($B$3&gt;3,B57&lt;7),$B$3-3,0)))</f>
        <v>305.5</v>
      </c>
      <c r="BD59" s="110">
        <f>SUM(AV59:INDEX(AV59:AX59,IF(AND($B$3&gt;6,$B$3&lt;10),$B$3-6,0)))</f>
        <v>69</v>
      </c>
      <c r="BE59" s="110">
        <f>SUM(AY59:INDEX(AY59:BA59,IF($B$3&gt;9,$B$3-9,0)))</f>
        <v>0</v>
      </c>
      <c r="BF59" s="110">
        <f>SUM($AP59:INDEX(AP59:BA59,$B$3))</f>
        <v>652</v>
      </c>
      <c r="BG59" s="122" t="e">
        <f t="shared" si="81"/>
        <v>#DIV/0!</v>
      </c>
      <c r="BH59" s="111" t="e">
        <f t="shared" si="81"/>
        <v>#DIV/0!</v>
      </c>
      <c r="BI59" s="111" t="e">
        <f t="shared" si="81"/>
        <v>#DIV/0!</v>
      </c>
      <c r="BJ59" s="111" t="e">
        <f t="shared" si="81"/>
        <v>#DIV/0!</v>
      </c>
      <c r="BK59" s="111" t="e">
        <f t="shared" si="81"/>
        <v>#DIV/0!</v>
      </c>
      <c r="BL59" s="111" t="e">
        <f t="shared" si="81"/>
        <v>#DIV/0!</v>
      </c>
      <c r="BM59" s="111" t="e">
        <f t="shared" si="81"/>
        <v>#DIV/0!</v>
      </c>
      <c r="BN59" s="111" t="e">
        <f t="shared" si="81"/>
        <v>#DIV/0!</v>
      </c>
      <c r="BO59" s="111" t="e">
        <f t="shared" si="81"/>
        <v>#DIV/0!</v>
      </c>
      <c r="BP59" s="111" t="e">
        <f t="shared" si="81"/>
        <v>#DIV/0!</v>
      </c>
      <c r="BQ59" s="111" t="e">
        <f t="shared" si="81"/>
        <v>#DIV/0!</v>
      </c>
      <c r="BR59" s="111" t="e">
        <f t="shared" si="81"/>
        <v>#DIV/0!</v>
      </c>
      <c r="BS59" s="111" t="e">
        <f>BB59/SUM(O59:INDEX(O59:Q59,IF($B$3&lt;3,$B$3,3)))</f>
        <v>#DIV/0!</v>
      </c>
      <c r="BT59" s="111" t="e">
        <f>BC59/SUM(R59:INDEX(R59:T59,IF($B$3&lt;7,$B$3-3,3)))</f>
        <v>#DIV/0!</v>
      </c>
      <c r="BU59" s="111" t="e">
        <f t="shared" si="82"/>
        <v>#DIV/0!</v>
      </c>
      <c r="BV59" s="111" t="e">
        <f t="shared" si="82"/>
        <v>#DIV/0!</v>
      </c>
      <c r="BW59" s="111" t="e">
        <f t="shared" si="83"/>
        <v>#DIV/0!</v>
      </c>
    </row>
    <row r="60" spans="1:75" x14ac:dyDescent="0.25">
      <c r="A60" s="20" t="str">
        <f t="shared" si="84"/>
        <v># Case_by_rookie_GENLION:13+mth</v>
      </c>
      <c r="B60" t="s">
        <v>2</v>
      </c>
      <c r="Z60" s="6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31"/>
      <c r="AL60" s="31"/>
      <c r="AM60" s="31"/>
      <c r="AN60" s="31"/>
      <c r="AO60" s="31"/>
      <c r="AP60" s="113">
        <f>[16]cc!J40</f>
        <v>71.5</v>
      </c>
      <c r="AQ60" s="113">
        <f>[17]cc!J40</f>
        <v>104.5</v>
      </c>
      <c r="AR60" s="113">
        <f>[18]cc!J40</f>
        <v>94.5</v>
      </c>
      <c r="AS60" s="113">
        <f>[19]cc!J60</f>
        <v>140</v>
      </c>
      <c r="AT60" s="113">
        <f>[20]cc!J60</f>
        <v>115</v>
      </c>
      <c r="AU60" s="113">
        <f>[21]cc!J60</f>
        <v>109</v>
      </c>
      <c r="AV60" s="113">
        <f>[22]cc!J60</f>
        <v>80.5</v>
      </c>
      <c r="AW60" s="113"/>
      <c r="AX60" s="113"/>
      <c r="AY60" s="113"/>
      <c r="AZ60" s="113"/>
      <c r="BA60" s="113"/>
      <c r="BB60" s="110">
        <f>SUM(AP60:INDEX(AP60:AR60,IF($B$3&lt;3,$B$3,3)))</f>
        <v>270.5</v>
      </c>
      <c r="BC60" s="110">
        <f>SUM(AS60:INDEX(AS60:AU60,IF(AND($B$3&gt;3,B58&lt;7),$B$3-3,0)))</f>
        <v>364</v>
      </c>
      <c r="BD60" s="110">
        <f>SUM(AV60:INDEX(AV60:AX60,IF(AND($B$3&gt;6,$B$3&lt;10),$B$3-6,0)))</f>
        <v>80.5</v>
      </c>
      <c r="BE60" s="110">
        <f>SUM(AY60:INDEX(AY60:BA60,IF($B$3&gt;9,$B$3-9,0)))</f>
        <v>0</v>
      </c>
      <c r="BF60" s="110">
        <f>SUM($AP60:INDEX(AP60:BA60,$B$3))</f>
        <v>715</v>
      </c>
      <c r="BG60" s="122" t="e">
        <f t="shared" si="81"/>
        <v>#DIV/0!</v>
      </c>
      <c r="BH60" s="111" t="e">
        <f t="shared" si="81"/>
        <v>#DIV/0!</v>
      </c>
      <c r="BI60" s="111" t="e">
        <f t="shared" si="81"/>
        <v>#DIV/0!</v>
      </c>
      <c r="BJ60" s="111" t="e">
        <f t="shared" si="81"/>
        <v>#DIV/0!</v>
      </c>
      <c r="BK60" s="111" t="e">
        <f t="shared" si="81"/>
        <v>#DIV/0!</v>
      </c>
      <c r="BL60" s="111" t="e">
        <f t="shared" si="81"/>
        <v>#DIV/0!</v>
      </c>
      <c r="BM60" s="111" t="e">
        <f t="shared" si="81"/>
        <v>#DIV/0!</v>
      </c>
      <c r="BN60" s="111" t="e">
        <f t="shared" si="81"/>
        <v>#DIV/0!</v>
      </c>
      <c r="BO60" s="111" t="e">
        <f t="shared" si="81"/>
        <v>#DIV/0!</v>
      </c>
      <c r="BP60" s="111" t="e">
        <f t="shared" si="81"/>
        <v>#DIV/0!</v>
      </c>
      <c r="BQ60" s="111" t="e">
        <f t="shared" si="81"/>
        <v>#DIV/0!</v>
      </c>
      <c r="BR60" s="111" t="e">
        <f t="shared" si="81"/>
        <v>#DIV/0!</v>
      </c>
      <c r="BS60" s="111" t="e">
        <f>BB60/SUM(O60:INDEX(O60:Q60,IF($B$3&lt;3,$B$3,3)))</f>
        <v>#DIV/0!</v>
      </c>
      <c r="BT60" s="111" t="e">
        <f>BC60/SUM(R60:INDEX(R60:T60,IF($B$3&lt;7,$B$3-3,3)))</f>
        <v>#DIV/0!</v>
      </c>
      <c r="BU60" s="111" t="e">
        <f t="shared" si="82"/>
        <v>#DIV/0!</v>
      </c>
      <c r="BV60" s="111" t="e">
        <f t="shared" si="82"/>
        <v>#DIV/0!</v>
      </c>
      <c r="BW60" s="111" t="e">
        <f t="shared" si="83"/>
        <v>#DIV/0!</v>
      </c>
    </row>
    <row r="61" spans="1:75" x14ac:dyDescent="0.25">
      <c r="A61" s="20" t="str">
        <f t="shared" si="84"/>
        <v># Case_by_rookie_GENLION:SA</v>
      </c>
      <c r="B61" s="135" t="s">
        <v>136</v>
      </c>
      <c r="Z61" s="6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31"/>
      <c r="AL61" s="31"/>
      <c r="AM61" s="31"/>
      <c r="AN61" s="31"/>
      <c r="AO61" s="31"/>
      <c r="AP61" s="113"/>
      <c r="AQ61" s="113">
        <f>[17]cc!J41</f>
        <v>81</v>
      </c>
      <c r="AR61" s="113">
        <f>[18]cc!J41</f>
        <v>64</v>
      </c>
      <c r="AS61" s="113">
        <f>[19]cc!J61</f>
        <v>159</v>
      </c>
      <c r="AT61" s="113">
        <f>[20]cc!J61</f>
        <v>57</v>
      </c>
      <c r="AU61" s="113">
        <f>[21]cc!J61</f>
        <v>47</v>
      </c>
      <c r="AV61" s="113">
        <f>[22]cc!J61</f>
        <v>49</v>
      </c>
      <c r="AW61" s="113"/>
      <c r="AX61" s="113"/>
      <c r="AY61" s="113"/>
      <c r="AZ61" s="113"/>
      <c r="BA61" s="113"/>
      <c r="BB61" s="110">
        <f>SUM(AP61:INDEX(AP61:AR61,IF($B$3&lt;3,$B$3,3)))</f>
        <v>145</v>
      </c>
      <c r="BC61" s="110">
        <f>SUM(AS61:INDEX(AS61:AU61,IF(AND($B$3&gt;3,B59&lt;7),$B$3-3,0)))</f>
        <v>263</v>
      </c>
      <c r="BD61" s="110">
        <f>SUM(AV61:INDEX(AV61:AX61,IF(AND($B$3&gt;6,$B$3&lt;10),$B$3-6,0)))</f>
        <v>49</v>
      </c>
      <c r="BE61" s="110"/>
      <c r="BF61" s="110">
        <f>SUM($AP61:INDEX(AP61:BA61,$B$3))</f>
        <v>457</v>
      </c>
      <c r="BG61" s="122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</row>
    <row r="62" spans="1:75" s="19" customFormat="1" x14ac:dyDescent="0.25">
      <c r="A62" s="20" t="str">
        <f t="shared" si="84"/>
        <v># Case_by_rookie_GENLION:Total</v>
      </c>
      <c r="B62" s="1" t="s">
        <v>3</v>
      </c>
      <c r="C62" s="7">
        <f t="shared" ref="C62:S62" si="85">SUM(C54:C60)</f>
        <v>0</v>
      </c>
      <c r="D62" s="7">
        <f t="shared" si="85"/>
        <v>0</v>
      </c>
      <c r="E62" s="7">
        <f t="shared" si="85"/>
        <v>0</v>
      </c>
      <c r="F62" s="7">
        <f t="shared" si="85"/>
        <v>0</v>
      </c>
      <c r="G62" s="7">
        <f t="shared" si="85"/>
        <v>0</v>
      </c>
      <c r="H62" s="7">
        <f t="shared" si="85"/>
        <v>0</v>
      </c>
      <c r="I62" s="7">
        <f t="shared" si="85"/>
        <v>0</v>
      </c>
      <c r="J62" s="7">
        <f t="shared" si="85"/>
        <v>0</v>
      </c>
      <c r="K62" s="7">
        <f t="shared" si="85"/>
        <v>0</v>
      </c>
      <c r="L62" s="7">
        <f t="shared" si="85"/>
        <v>0</v>
      </c>
      <c r="M62" s="7">
        <f t="shared" si="85"/>
        <v>0</v>
      </c>
      <c r="N62" s="7">
        <f t="shared" si="85"/>
        <v>0</v>
      </c>
      <c r="O62" s="7">
        <f t="shared" si="85"/>
        <v>0</v>
      </c>
      <c r="P62" s="7">
        <f t="shared" si="85"/>
        <v>0</v>
      </c>
      <c r="Q62" s="7">
        <f t="shared" si="85"/>
        <v>0</v>
      </c>
      <c r="R62" s="7">
        <f t="shared" si="85"/>
        <v>0</v>
      </c>
      <c r="S62" s="7">
        <f t="shared" si="85"/>
        <v>0</v>
      </c>
      <c r="T62" s="7">
        <f>SUM(T54:T60)</f>
        <v>0</v>
      </c>
      <c r="U62" s="7">
        <f>SUM(U54:U60)</f>
        <v>0</v>
      </c>
      <c r="V62" s="7">
        <f t="shared" ref="V62:Z62" si="86">SUM(V54:V60)</f>
        <v>0</v>
      </c>
      <c r="W62" s="7">
        <f t="shared" si="86"/>
        <v>0</v>
      </c>
      <c r="X62" s="7">
        <f t="shared" si="86"/>
        <v>0</v>
      </c>
      <c r="Y62" s="7">
        <f t="shared" si="86"/>
        <v>0</v>
      </c>
      <c r="Z62" s="7">
        <f t="shared" si="86"/>
        <v>0</v>
      </c>
      <c r="AA62" s="1">
        <f>SUM(O62:INDEX(O62:Z62,$B$3))</f>
        <v>0</v>
      </c>
      <c r="AB62" s="1">
        <f t="shared" ref="AB62:AJ62" si="87">SUM(AB54:AB60)</f>
        <v>0</v>
      </c>
      <c r="AC62" s="1">
        <f t="shared" si="87"/>
        <v>0</v>
      </c>
      <c r="AD62" s="1">
        <f t="shared" si="87"/>
        <v>0</v>
      </c>
      <c r="AE62" s="1">
        <f t="shared" si="87"/>
        <v>0</v>
      </c>
      <c r="AF62" s="7">
        <f t="shared" si="87"/>
        <v>0</v>
      </c>
      <c r="AG62" s="7">
        <f t="shared" si="87"/>
        <v>0</v>
      </c>
      <c r="AH62" s="7">
        <f t="shared" si="87"/>
        <v>0</v>
      </c>
      <c r="AI62" s="7">
        <f t="shared" si="87"/>
        <v>0</v>
      </c>
      <c r="AJ62" s="7">
        <f t="shared" si="87"/>
        <v>0</v>
      </c>
      <c r="AK62" s="32" t="e">
        <f t="shared" ref="AK62" si="88">AA62/AF62-1</f>
        <v>#DIV/0!</v>
      </c>
      <c r="AL62" s="32" t="e">
        <f t="shared" ref="AL62:AN62" si="89">AB62/AG62-1</f>
        <v>#DIV/0!</v>
      </c>
      <c r="AM62" s="32" t="e">
        <f t="shared" si="89"/>
        <v>#DIV/0!</v>
      </c>
      <c r="AN62" s="32" t="e">
        <f t="shared" si="89"/>
        <v>#DIV/0!</v>
      </c>
      <c r="AO62" s="31" t="e">
        <f>AE62/SUM(L62:INDEX(L62:N62,MOD($B$3,3)))-1</f>
        <v>#DIV/0!</v>
      </c>
      <c r="AP62" s="114">
        <f t="shared" ref="AP62" si="90">SUM(AP54:AP60)</f>
        <v>912</v>
      </c>
      <c r="AQ62" s="114">
        <f t="shared" ref="AQ62:AV62" si="91">SUM(AQ54:AQ61)</f>
        <v>1405</v>
      </c>
      <c r="AR62" s="114">
        <f t="shared" si="91"/>
        <v>2095</v>
      </c>
      <c r="AS62" s="114">
        <f t="shared" si="91"/>
        <v>1875</v>
      </c>
      <c r="AT62" s="114">
        <f t="shared" si="91"/>
        <v>1493</v>
      </c>
      <c r="AU62" s="114">
        <f t="shared" si="91"/>
        <v>1899</v>
      </c>
      <c r="AV62" s="114">
        <f t="shared" si="91"/>
        <v>1497</v>
      </c>
      <c r="AW62" s="114"/>
      <c r="AX62" s="114"/>
      <c r="AY62" s="114"/>
      <c r="AZ62" s="114"/>
      <c r="BA62" s="114"/>
      <c r="BB62" s="116">
        <f>SUM(AP62:INDEX(AP62:AR62,IF($B$3&lt;3,$B$3,3)))</f>
        <v>4412</v>
      </c>
      <c r="BC62" s="116">
        <f>SUM(AS62:INDEX(AS62:AU62,IF(AND($B$3&gt;3,B59&lt;7),$B$3-3,0)))</f>
        <v>5267</v>
      </c>
      <c r="BD62" s="116">
        <f>SUM(AV62:INDEX(AV62:AX62,IF(AND($B$3&gt;6,$B$3&lt;10),$B$3-6,0)))</f>
        <v>1497</v>
      </c>
      <c r="BE62" s="116">
        <f>SUM(AY62:INDEX(AY62:BA62,IF($B$3&gt;9,$B$3-9,0)))</f>
        <v>0</v>
      </c>
      <c r="BF62" s="116">
        <f>SUM($AP62:INDEX(AP62:BA62,$B$3))</f>
        <v>11176</v>
      </c>
      <c r="BG62" s="123" t="e">
        <f t="shared" si="81"/>
        <v>#DIV/0!</v>
      </c>
      <c r="BH62" s="118" t="e">
        <f t="shared" si="81"/>
        <v>#DIV/0!</v>
      </c>
      <c r="BI62" s="118" t="e">
        <f t="shared" si="81"/>
        <v>#DIV/0!</v>
      </c>
      <c r="BJ62" s="118" t="e">
        <f t="shared" si="81"/>
        <v>#DIV/0!</v>
      </c>
      <c r="BK62" s="118" t="e">
        <f t="shared" si="81"/>
        <v>#DIV/0!</v>
      </c>
      <c r="BL62" s="118" t="e">
        <f t="shared" si="81"/>
        <v>#DIV/0!</v>
      </c>
      <c r="BM62" s="118" t="e">
        <f t="shared" si="81"/>
        <v>#DIV/0!</v>
      </c>
      <c r="BN62" s="118" t="e">
        <f t="shared" si="81"/>
        <v>#DIV/0!</v>
      </c>
      <c r="BO62" s="118" t="e">
        <f t="shared" si="81"/>
        <v>#DIV/0!</v>
      </c>
      <c r="BP62" s="118" t="e">
        <f t="shared" si="81"/>
        <v>#DIV/0!</v>
      </c>
      <c r="BQ62" s="118" t="e">
        <f t="shared" si="81"/>
        <v>#DIV/0!</v>
      </c>
      <c r="BR62" s="118" t="e">
        <f t="shared" si="81"/>
        <v>#DIV/0!</v>
      </c>
      <c r="BS62" s="118" t="e">
        <f>BB62/SUM(O62:INDEX(O62:Q62,IF($B$3&lt;3,$B$3,3)))</f>
        <v>#DIV/0!</v>
      </c>
      <c r="BT62" s="118" t="e">
        <f>BC62/SUM(R62:INDEX(R62:T62,IF($B$3&lt;7,$B$3-3,3)))</f>
        <v>#DIV/0!</v>
      </c>
      <c r="BU62" s="118" t="e">
        <f t="shared" si="82"/>
        <v>#DIV/0!</v>
      </c>
      <c r="BV62" s="118" t="e">
        <f t="shared" si="82"/>
        <v>#DIV/0!</v>
      </c>
      <c r="BW62" s="118" t="e">
        <f t="shared" si="83"/>
        <v>#DIV/0!</v>
      </c>
    </row>
    <row r="63" spans="1:75" x14ac:dyDescent="0.25"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24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</row>
    <row r="64" spans="1:75" x14ac:dyDescent="0.25"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24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</row>
    <row r="65" spans="1:75" s="19" customFormat="1" x14ac:dyDescent="0.25">
      <c r="A65" s="17"/>
      <c r="B65" s="2" t="s">
        <v>13</v>
      </c>
      <c r="C65" s="3">
        <f t="shared" ref="C65:Z65" si="92">C17</f>
        <v>42005</v>
      </c>
      <c r="D65" s="3">
        <f t="shared" si="92"/>
        <v>42036</v>
      </c>
      <c r="E65" s="3">
        <f t="shared" si="92"/>
        <v>42064</v>
      </c>
      <c r="F65" s="3">
        <f t="shared" si="92"/>
        <v>42095</v>
      </c>
      <c r="G65" s="3">
        <f t="shared" si="92"/>
        <v>42125</v>
      </c>
      <c r="H65" s="3">
        <f t="shared" si="92"/>
        <v>42156</v>
      </c>
      <c r="I65" s="3">
        <f t="shared" si="92"/>
        <v>42186</v>
      </c>
      <c r="J65" s="3">
        <f t="shared" si="92"/>
        <v>42217</v>
      </c>
      <c r="K65" s="3">
        <f t="shared" si="92"/>
        <v>42248</v>
      </c>
      <c r="L65" s="3">
        <f t="shared" si="92"/>
        <v>42278</v>
      </c>
      <c r="M65" s="3">
        <f t="shared" si="92"/>
        <v>42309</v>
      </c>
      <c r="N65" s="3">
        <f t="shared" si="92"/>
        <v>42339</v>
      </c>
      <c r="O65" s="3">
        <f t="shared" si="92"/>
        <v>42370</v>
      </c>
      <c r="P65" s="3">
        <f t="shared" si="92"/>
        <v>42401</v>
      </c>
      <c r="Q65" s="3">
        <f t="shared" si="92"/>
        <v>42430</v>
      </c>
      <c r="R65" s="3">
        <f t="shared" si="92"/>
        <v>42461</v>
      </c>
      <c r="S65" s="3">
        <f t="shared" si="92"/>
        <v>42491</v>
      </c>
      <c r="T65" s="3">
        <f t="shared" si="92"/>
        <v>42522</v>
      </c>
      <c r="U65" s="3">
        <f t="shared" si="92"/>
        <v>42552</v>
      </c>
      <c r="V65" s="3">
        <f t="shared" si="92"/>
        <v>42583</v>
      </c>
      <c r="W65" s="3">
        <f t="shared" si="92"/>
        <v>42614</v>
      </c>
      <c r="X65" s="3">
        <f t="shared" si="92"/>
        <v>42644</v>
      </c>
      <c r="Y65" s="3">
        <f t="shared" si="92"/>
        <v>42675</v>
      </c>
      <c r="Z65" s="3">
        <f t="shared" si="92"/>
        <v>42705</v>
      </c>
      <c r="AA65" s="29" t="str">
        <f>AA53</f>
        <v>YTD 7/16</v>
      </c>
      <c r="AB65" s="29" t="s">
        <v>19</v>
      </c>
      <c r="AC65" s="29" t="s">
        <v>20</v>
      </c>
      <c r="AD65" s="29" t="s">
        <v>21</v>
      </c>
      <c r="AE65" s="29" t="s">
        <v>22</v>
      </c>
      <c r="AF65" s="26" t="str">
        <f t="shared" ref="AF65:AJ65" si="93">AF41</f>
        <v>YTD 7/15</v>
      </c>
      <c r="AG65" s="26" t="str">
        <f t="shared" si="93"/>
        <v>Q1 '15</v>
      </c>
      <c r="AH65" s="26" t="str">
        <f t="shared" si="93"/>
        <v>Q2 '15</v>
      </c>
      <c r="AI65" s="26" t="str">
        <f t="shared" si="93"/>
        <v>Q3 '15</v>
      </c>
      <c r="AJ65" s="26" t="str">
        <f t="shared" si="93"/>
        <v>Q4 '15</v>
      </c>
      <c r="AK65" s="30" t="s">
        <v>27</v>
      </c>
      <c r="AL65" s="30" t="s">
        <v>29</v>
      </c>
      <c r="AM65" s="30" t="s">
        <v>30</v>
      </c>
      <c r="AN65" s="30" t="s">
        <v>31</v>
      </c>
      <c r="AO65" s="30" t="s">
        <v>32</v>
      </c>
      <c r="AP65" s="108">
        <v>42736</v>
      </c>
      <c r="AQ65" s="108">
        <v>42767</v>
      </c>
      <c r="AR65" s="108">
        <v>42795</v>
      </c>
      <c r="AS65" s="108">
        <v>42826</v>
      </c>
      <c r="AT65" s="108">
        <v>42856</v>
      </c>
      <c r="AU65" s="108">
        <v>42887</v>
      </c>
      <c r="AV65" s="108">
        <v>42917</v>
      </c>
      <c r="AW65" s="108">
        <v>42948</v>
      </c>
      <c r="AX65" s="108">
        <v>42979</v>
      </c>
      <c r="AY65" s="108">
        <v>43009</v>
      </c>
      <c r="AZ65" s="108">
        <v>43040</v>
      </c>
      <c r="BA65" s="108">
        <v>43070</v>
      </c>
      <c r="BB65" s="29" t="s">
        <v>123</v>
      </c>
      <c r="BC65" s="29" t="s">
        <v>124</v>
      </c>
      <c r="BD65" s="29" t="s">
        <v>125</v>
      </c>
      <c r="BE65" s="29" t="s">
        <v>126</v>
      </c>
      <c r="BF65" s="29" t="str">
        <f>$BF$4</f>
        <v>YTD 7/17</v>
      </c>
      <c r="BG65" s="121">
        <v>42736</v>
      </c>
      <c r="BH65" s="108">
        <v>42767</v>
      </c>
      <c r="BI65" s="108">
        <v>42795</v>
      </c>
      <c r="BJ65" s="108">
        <v>42826</v>
      </c>
      <c r="BK65" s="108">
        <v>42856</v>
      </c>
      <c r="BL65" s="108">
        <v>42887</v>
      </c>
      <c r="BM65" s="108">
        <v>42917</v>
      </c>
      <c r="BN65" s="108">
        <v>42948</v>
      </c>
      <c r="BO65" s="108">
        <v>42979</v>
      </c>
      <c r="BP65" s="108">
        <v>43009</v>
      </c>
      <c r="BQ65" s="108">
        <v>43040</v>
      </c>
      <c r="BR65" s="108">
        <v>43070</v>
      </c>
      <c r="BS65" s="29" t="s">
        <v>127</v>
      </c>
      <c r="BT65" s="29" t="s">
        <v>128</v>
      </c>
      <c r="BU65" s="29" t="s">
        <v>96</v>
      </c>
      <c r="BV65" s="29" t="s">
        <v>129</v>
      </c>
      <c r="BW65" s="112" t="s">
        <v>130</v>
      </c>
    </row>
    <row r="66" spans="1:75" x14ac:dyDescent="0.25">
      <c r="A66" s="20" t="str">
        <f>$B$65&amp;"_by_rookie_GENLION:"&amp;TRIM(B66)</f>
        <v># Case/Active_by_rookie_GENLION:MDRT/ GEN Lion (from Apr '17)</v>
      </c>
      <c r="B66" t="s">
        <v>157</v>
      </c>
      <c r="C66" s="12" t="str">
        <f t="shared" ref="C66:AJ72" si="94">IFERROR(C54/C30,"")</f>
        <v/>
      </c>
      <c r="D66" s="12" t="str">
        <f t="shared" si="94"/>
        <v/>
      </c>
      <c r="E66" s="12" t="str">
        <f t="shared" si="94"/>
        <v/>
      </c>
      <c r="F66" s="12" t="str">
        <f t="shared" si="94"/>
        <v/>
      </c>
      <c r="G66" s="12" t="str">
        <f t="shared" si="94"/>
        <v/>
      </c>
      <c r="H66" s="12" t="str">
        <f t="shared" si="94"/>
        <v/>
      </c>
      <c r="I66" s="12" t="str">
        <f t="shared" si="94"/>
        <v/>
      </c>
      <c r="J66" s="12" t="str">
        <f t="shared" si="94"/>
        <v/>
      </c>
      <c r="K66" s="12" t="str">
        <f t="shared" si="94"/>
        <v/>
      </c>
      <c r="L66" s="12" t="str">
        <f t="shared" si="94"/>
        <v/>
      </c>
      <c r="M66" s="12" t="str">
        <f t="shared" si="94"/>
        <v/>
      </c>
      <c r="N66" s="12" t="str">
        <f t="shared" si="94"/>
        <v/>
      </c>
      <c r="O66" s="12" t="str">
        <f t="shared" si="94"/>
        <v/>
      </c>
      <c r="P66" s="12" t="str">
        <f t="shared" si="94"/>
        <v/>
      </c>
      <c r="Q66" s="12" t="str">
        <f t="shared" si="94"/>
        <v/>
      </c>
      <c r="R66" s="12" t="str">
        <f t="shared" si="94"/>
        <v/>
      </c>
      <c r="S66" s="12" t="str">
        <f t="shared" si="94"/>
        <v/>
      </c>
      <c r="T66" s="12" t="str">
        <f t="shared" si="94"/>
        <v/>
      </c>
      <c r="U66" s="12" t="str">
        <f t="shared" si="94"/>
        <v/>
      </c>
      <c r="V66" s="12" t="str">
        <f t="shared" si="94"/>
        <v/>
      </c>
      <c r="W66" s="12" t="str">
        <f t="shared" si="94"/>
        <v/>
      </c>
      <c r="X66" s="12" t="str">
        <f t="shared" si="94"/>
        <v/>
      </c>
      <c r="Y66" s="12" t="str">
        <f t="shared" si="94"/>
        <v/>
      </c>
      <c r="Z66" s="12" t="str">
        <f t="shared" si="94"/>
        <v/>
      </c>
      <c r="AA66" s="21" t="str">
        <f t="shared" si="94"/>
        <v/>
      </c>
      <c r="AB66" s="21" t="str">
        <f t="shared" si="94"/>
        <v/>
      </c>
      <c r="AC66" s="21" t="str">
        <f t="shared" si="94"/>
        <v/>
      </c>
      <c r="AD66" s="21" t="str">
        <f t="shared" si="94"/>
        <v/>
      </c>
      <c r="AE66" s="21" t="str">
        <f t="shared" si="94"/>
        <v/>
      </c>
      <c r="AF66" s="21" t="str">
        <f t="shared" si="94"/>
        <v/>
      </c>
      <c r="AG66" s="21" t="str">
        <f t="shared" si="94"/>
        <v/>
      </c>
      <c r="AH66" s="21" t="str">
        <f t="shared" si="94"/>
        <v/>
      </c>
      <c r="AI66" s="21" t="str">
        <f t="shared" si="94"/>
        <v/>
      </c>
      <c r="AJ66" s="21" t="str">
        <f t="shared" si="94"/>
        <v/>
      </c>
      <c r="AK66" s="31" t="e">
        <f>AA66/AF66-1</f>
        <v>#VALUE!</v>
      </c>
      <c r="AL66" s="31" t="e">
        <f t="shared" ref="AL66:AO74" si="95">AB66/AG66-1</f>
        <v>#VALUE!</v>
      </c>
      <c r="AM66" s="31" t="e">
        <f t="shared" si="95"/>
        <v>#VALUE!</v>
      </c>
      <c r="AN66" s="31" t="e">
        <f t="shared" si="95"/>
        <v>#VALUE!</v>
      </c>
      <c r="AO66" s="31" t="e">
        <f t="shared" si="95"/>
        <v>#VALUE!</v>
      </c>
      <c r="AP66" s="10">
        <f t="shared" ref="AP66:AV72" si="96">IFERROR(AP54/AP30,"")</f>
        <v>1.9807692307692308</v>
      </c>
      <c r="AQ66" s="10">
        <f t="shared" si="96"/>
        <v>2.6428571428571428</v>
      </c>
      <c r="AR66" s="10">
        <f t="shared" si="96"/>
        <v>3.106060606060606</v>
      </c>
      <c r="AS66" s="10">
        <f t="shared" si="96"/>
        <v>2.1146496815286624</v>
      </c>
      <c r="AT66" s="10">
        <f t="shared" si="96"/>
        <v>2.3627450980392157</v>
      </c>
      <c r="AU66" s="10">
        <f t="shared" si="96"/>
        <v>1.701086956521739</v>
      </c>
      <c r="AV66" s="10">
        <f t="shared" si="96"/>
        <v>2.828125</v>
      </c>
      <c r="AW66" s="18"/>
      <c r="AX66" s="18"/>
      <c r="AY66" s="18"/>
      <c r="AZ66" s="18"/>
      <c r="BA66" s="18"/>
      <c r="BB66" s="10">
        <f t="shared" ref="BB66:BF73" si="97">IFERROR(BB54/BB30,"")</f>
        <v>2.6223404255319149</v>
      </c>
      <c r="BC66" s="10">
        <f t="shared" si="97"/>
        <v>2.0783475783475782</v>
      </c>
      <c r="BD66" s="10">
        <f t="shared" si="97"/>
        <v>2.828125</v>
      </c>
      <c r="BE66" s="10" t="str">
        <f t="shared" si="97"/>
        <v/>
      </c>
      <c r="BF66" s="10">
        <f t="shared" si="97"/>
        <v>2.2730844793713163</v>
      </c>
      <c r="BG66" s="122" t="e">
        <f t="shared" ref="BG66:BR74" si="98">AP66/O66</f>
        <v>#VALUE!</v>
      </c>
      <c r="BH66" s="111" t="e">
        <f t="shared" si="98"/>
        <v>#VALUE!</v>
      </c>
      <c r="BI66" s="111" t="e">
        <f t="shared" si="98"/>
        <v>#VALUE!</v>
      </c>
      <c r="BJ66" s="111" t="e">
        <f t="shared" si="98"/>
        <v>#VALUE!</v>
      </c>
      <c r="BK66" s="111" t="e">
        <f t="shared" si="98"/>
        <v>#VALUE!</v>
      </c>
      <c r="BL66" s="111" t="e">
        <f t="shared" si="98"/>
        <v>#VALUE!</v>
      </c>
      <c r="BM66" s="111" t="e">
        <f t="shared" si="98"/>
        <v>#VALUE!</v>
      </c>
      <c r="BN66" s="111" t="e">
        <f t="shared" si="98"/>
        <v>#VALUE!</v>
      </c>
      <c r="BO66" s="111" t="e">
        <f t="shared" si="98"/>
        <v>#VALUE!</v>
      </c>
      <c r="BP66" s="111" t="e">
        <f t="shared" si="98"/>
        <v>#VALUE!</v>
      </c>
      <c r="BQ66" s="111" t="e">
        <f t="shared" si="98"/>
        <v>#VALUE!</v>
      </c>
      <c r="BR66" s="111" t="e">
        <f t="shared" si="98"/>
        <v>#VALUE!</v>
      </c>
      <c r="BS66" s="111" t="e">
        <f>BB66/(SUM(O54:INDEX(O54:Q54,IF($B$3&lt;3,$B$3,3)))/SUM(O30:INDEX(O30:Q30,IF($B$3&lt;3,$B$3,3))))</f>
        <v>#DIV/0!</v>
      </c>
      <c r="BT66" s="111" t="e">
        <f>BC66/(SUM(R54:INDEX(R54:T54,$C$3))/SUM(R30:INDEX(R30:T30,$C$3)))</f>
        <v>#DIV/0!</v>
      </c>
      <c r="BU66" s="18"/>
      <c r="BV66" s="18"/>
      <c r="BW66" s="31" t="e">
        <f>BF66/AA66</f>
        <v>#VALUE!</v>
      </c>
    </row>
    <row r="67" spans="1:75" x14ac:dyDescent="0.25">
      <c r="A67" s="20" t="str">
        <f t="shared" ref="A67:A74" si="99">$B$65&amp;"_by_rookie_GENLION:"&amp;TRIM(B67)</f>
        <v># Case/Active_by_rookie_GENLION:Rookie in month</v>
      </c>
      <c r="B67" t="s">
        <v>5</v>
      </c>
      <c r="C67" s="12" t="str">
        <f t="shared" si="94"/>
        <v/>
      </c>
      <c r="D67" s="12" t="str">
        <f t="shared" si="94"/>
        <v/>
      </c>
      <c r="E67" s="12" t="str">
        <f t="shared" si="94"/>
        <v/>
      </c>
      <c r="F67" s="12" t="str">
        <f t="shared" si="94"/>
        <v/>
      </c>
      <c r="G67" s="12" t="str">
        <f t="shared" si="94"/>
        <v/>
      </c>
      <c r="H67" s="12" t="str">
        <f t="shared" si="94"/>
        <v/>
      </c>
      <c r="I67" s="12" t="str">
        <f t="shared" si="94"/>
        <v/>
      </c>
      <c r="J67" s="12" t="str">
        <f t="shared" si="94"/>
        <v/>
      </c>
      <c r="K67" s="12" t="str">
        <f t="shared" si="94"/>
        <v/>
      </c>
      <c r="L67" s="12" t="str">
        <f t="shared" si="94"/>
        <v/>
      </c>
      <c r="M67" s="12" t="str">
        <f t="shared" si="94"/>
        <v/>
      </c>
      <c r="N67" s="12" t="str">
        <f t="shared" si="94"/>
        <v/>
      </c>
      <c r="O67" s="12" t="str">
        <f t="shared" si="94"/>
        <v/>
      </c>
      <c r="P67" s="12" t="str">
        <f t="shared" si="94"/>
        <v/>
      </c>
      <c r="Q67" s="12" t="str">
        <f t="shared" si="94"/>
        <v/>
      </c>
      <c r="R67" s="12" t="str">
        <f t="shared" si="94"/>
        <v/>
      </c>
      <c r="S67" s="12" t="str">
        <f t="shared" si="94"/>
        <v/>
      </c>
      <c r="T67" s="12" t="str">
        <f t="shared" si="94"/>
        <v/>
      </c>
      <c r="U67" s="12" t="str">
        <f t="shared" si="94"/>
        <v/>
      </c>
      <c r="V67" s="12" t="str">
        <f t="shared" si="94"/>
        <v/>
      </c>
      <c r="W67" s="12" t="str">
        <f t="shared" si="94"/>
        <v/>
      </c>
      <c r="X67" s="12" t="str">
        <f t="shared" si="94"/>
        <v/>
      </c>
      <c r="Y67" s="12" t="str">
        <f t="shared" si="94"/>
        <v/>
      </c>
      <c r="Z67" s="12" t="str">
        <f t="shared" si="94"/>
        <v/>
      </c>
      <c r="AA67" s="21" t="str">
        <f t="shared" si="94"/>
        <v/>
      </c>
      <c r="AB67" s="21" t="str">
        <f t="shared" si="94"/>
        <v/>
      </c>
      <c r="AC67" s="21" t="str">
        <f t="shared" si="94"/>
        <v/>
      </c>
      <c r="AD67" s="21" t="str">
        <f t="shared" si="94"/>
        <v/>
      </c>
      <c r="AE67" s="21" t="str">
        <f t="shared" si="94"/>
        <v/>
      </c>
      <c r="AF67" s="21" t="str">
        <f t="shared" si="94"/>
        <v/>
      </c>
      <c r="AG67" s="21" t="str">
        <f t="shared" si="94"/>
        <v/>
      </c>
      <c r="AH67" s="21" t="str">
        <f t="shared" si="94"/>
        <v/>
      </c>
      <c r="AI67" s="21" t="str">
        <f t="shared" si="94"/>
        <v/>
      </c>
      <c r="AJ67" s="21" t="str">
        <f t="shared" si="94"/>
        <v/>
      </c>
      <c r="AK67" s="31" t="e">
        <f t="shared" ref="AK67:AK74" si="100">AA67/AF67-1</f>
        <v>#VALUE!</v>
      </c>
      <c r="AL67" s="31" t="e">
        <f t="shared" si="95"/>
        <v>#VALUE!</v>
      </c>
      <c r="AM67" s="31" t="e">
        <f t="shared" si="95"/>
        <v>#VALUE!</v>
      </c>
      <c r="AN67" s="31" t="e">
        <f t="shared" si="95"/>
        <v>#VALUE!</v>
      </c>
      <c r="AO67" s="31" t="e">
        <f t="shared" si="95"/>
        <v>#VALUE!</v>
      </c>
      <c r="AP67" s="10">
        <f t="shared" si="96"/>
        <v>1.7256637168141593</v>
      </c>
      <c r="AQ67" s="10">
        <f t="shared" si="96"/>
        <v>1.3201970443349753</v>
      </c>
      <c r="AR67" s="10">
        <f t="shared" si="96"/>
        <v>1.6205357142857142</v>
      </c>
      <c r="AS67" s="10">
        <f t="shared" si="96"/>
        <v>1.4826498422712935</v>
      </c>
      <c r="AT67" s="10">
        <f t="shared" si="96"/>
        <v>1.6654545454545455</v>
      </c>
      <c r="AU67" s="10">
        <f t="shared" si="96"/>
        <v>1.4915014164305949</v>
      </c>
      <c r="AV67" s="10">
        <f t="shared" ref="AV67" si="101">IFERROR(AV55/AV31,"")</f>
        <v>1.5777777777777777</v>
      </c>
      <c r="AW67" s="18"/>
      <c r="AX67" s="18"/>
      <c r="AY67" s="18"/>
      <c r="AZ67" s="18"/>
      <c r="BA67" s="18"/>
      <c r="BB67" s="10">
        <f t="shared" si="97"/>
        <v>1.5562827225130891</v>
      </c>
      <c r="BC67" s="10">
        <f t="shared" si="97"/>
        <v>1.5261941448382126</v>
      </c>
      <c r="BD67" s="10">
        <f t="shared" si="97"/>
        <v>1.5777777777777777</v>
      </c>
      <c r="BE67" s="10" t="str">
        <f t="shared" si="97"/>
        <v/>
      </c>
      <c r="BF67" s="10">
        <f t="shared" si="97"/>
        <v>1.5433526011560694</v>
      </c>
      <c r="BG67" s="122" t="e">
        <f t="shared" si="98"/>
        <v>#VALUE!</v>
      </c>
      <c r="BH67" s="111" t="e">
        <f t="shared" si="98"/>
        <v>#VALUE!</v>
      </c>
      <c r="BI67" s="111" t="e">
        <f t="shared" si="98"/>
        <v>#VALUE!</v>
      </c>
      <c r="BJ67" s="111" t="e">
        <f t="shared" si="98"/>
        <v>#VALUE!</v>
      </c>
      <c r="BK67" s="111" t="e">
        <f t="shared" si="98"/>
        <v>#VALUE!</v>
      </c>
      <c r="BL67" s="111" t="e">
        <f t="shared" si="98"/>
        <v>#VALUE!</v>
      </c>
      <c r="BM67" s="111" t="e">
        <f t="shared" si="98"/>
        <v>#VALUE!</v>
      </c>
      <c r="BN67" s="111" t="e">
        <f t="shared" si="98"/>
        <v>#VALUE!</v>
      </c>
      <c r="BO67" s="111" t="e">
        <f t="shared" si="98"/>
        <v>#VALUE!</v>
      </c>
      <c r="BP67" s="111" t="e">
        <f t="shared" si="98"/>
        <v>#VALUE!</v>
      </c>
      <c r="BQ67" s="111" t="e">
        <f t="shared" si="98"/>
        <v>#VALUE!</v>
      </c>
      <c r="BR67" s="111" t="e">
        <f t="shared" si="98"/>
        <v>#VALUE!</v>
      </c>
      <c r="BS67" s="111" t="e">
        <f>BB67/(SUM(O55:INDEX(O55:Q55,IF($B$3&lt;3,$B$3,3)))/SUM(O31:INDEX(O31:Q31,IF($B$3&lt;3,$B$3,3))))</f>
        <v>#DIV/0!</v>
      </c>
      <c r="BT67" s="111" t="e">
        <f>BC67/(SUM(R55:INDEX(R55:T55,$C$3))/SUM(R31:INDEX(R31:T31,$C$3)))</f>
        <v>#DIV/0!</v>
      </c>
      <c r="BU67" s="18"/>
      <c r="BV67" s="18"/>
      <c r="BW67" s="31" t="e">
        <f t="shared" ref="BW67:BW74" si="102">BF67/AA67</f>
        <v>#VALUE!</v>
      </c>
    </row>
    <row r="68" spans="1:75" x14ac:dyDescent="0.25">
      <c r="A68" s="20" t="str">
        <f t="shared" si="99"/>
        <v># Case/Active_by_rookie_GENLION:Rookie last month</v>
      </c>
      <c r="B68" t="s">
        <v>6</v>
      </c>
      <c r="C68" s="12" t="str">
        <f t="shared" si="94"/>
        <v/>
      </c>
      <c r="D68" s="12" t="str">
        <f t="shared" si="94"/>
        <v/>
      </c>
      <c r="E68" s="12" t="str">
        <f t="shared" si="94"/>
        <v/>
      </c>
      <c r="F68" s="12" t="str">
        <f t="shared" si="94"/>
        <v/>
      </c>
      <c r="G68" s="12" t="str">
        <f t="shared" si="94"/>
        <v/>
      </c>
      <c r="H68" s="12" t="str">
        <f t="shared" si="94"/>
        <v/>
      </c>
      <c r="I68" s="12" t="str">
        <f t="shared" si="94"/>
        <v/>
      </c>
      <c r="J68" s="12" t="str">
        <f t="shared" si="94"/>
        <v/>
      </c>
      <c r="K68" s="12" t="str">
        <f t="shared" si="94"/>
        <v/>
      </c>
      <c r="L68" s="12" t="str">
        <f t="shared" si="94"/>
        <v/>
      </c>
      <c r="M68" s="12" t="str">
        <f t="shared" si="94"/>
        <v/>
      </c>
      <c r="N68" s="12" t="str">
        <f t="shared" si="94"/>
        <v/>
      </c>
      <c r="O68" s="12" t="str">
        <f t="shared" si="94"/>
        <v/>
      </c>
      <c r="P68" s="12" t="str">
        <f t="shared" si="94"/>
        <v/>
      </c>
      <c r="Q68" s="12" t="str">
        <f t="shared" si="94"/>
        <v/>
      </c>
      <c r="R68" s="12" t="str">
        <f t="shared" si="94"/>
        <v/>
      </c>
      <c r="S68" s="12" t="str">
        <f t="shared" si="94"/>
        <v/>
      </c>
      <c r="T68" s="12" t="str">
        <f t="shared" si="94"/>
        <v/>
      </c>
      <c r="U68" s="12" t="str">
        <f t="shared" si="94"/>
        <v/>
      </c>
      <c r="V68" s="12" t="str">
        <f t="shared" si="94"/>
        <v/>
      </c>
      <c r="W68" s="12" t="str">
        <f t="shared" si="94"/>
        <v/>
      </c>
      <c r="X68" s="12" t="str">
        <f t="shared" si="94"/>
        <v/>
      </c>
      <c r="Y68" s="12" t="str">
        <f t="shared" si="94"/>
        <v/>
      </c>
      <c r="Z68" s="12" t="str">
        <f t="shared" si="94"/>
        <v/>
      </c>
      <c r="AA68" s="21" t="str">
        <f t="shared" si="94"/>
        <v/>
      </c>
      <c r="AB68" s="21" t="str">
        <f t="shared" si="94"/>
        <v/>
      </c>
      <c r="AC68" s="21" t="str">
        <f t="shared" si="94"/>
        <v/>
      </c>
      <c r="AD68" s="21" t="str">
        <f t="shared" si="94"/>
        <v/>
      </c>
      <c r="AE68" s="21" t="str">
        <f t="shared" si="94"/>
        <v/>
      </c>
      <c r="AF68" s="21" t="str">
        <f t="shared" si="94"/>
        <v/>
      </c>
      <c r="AG68" s="21" t="str">
        <f t="shared" si="94"/>
        <v/>
      </c>
      <c r="AH68" s="21" t="str">
        <f t="shared" si="94"/>
        <v/>
      </c>
      <c r="AI68" s="21" t="str">
        <f t="shared" si="94"/>
        <v/>
      </c>
      <c r="AJ68" s="21" t="str">
        <f t="shared" si="94"/>
        <v/>
      </c>
      <c r="AK68" s="31" t="e">
        <f t="shared" si="100"/>
        <v>#VALUE!</v>
      </c>
      <c r="AL68" s="31" t="e">
        <f t="shared" si="95"/>
        <v>#VALUE!</v>
      </c>
      <c r="AM68" s="31" t="e">
        <f t="shared" si="95"/>
        <v>#VALUE!</v>
      </c>
      <c r="AN68" s="31" t="e">
        <f t="shared" si="95"/>
        <v>#VALUE!</v>
      </c>
      <c r="AO68" s="31" t="e">
        <f t="shared" si="95"/>
        <v>#VALUE!</v>
      </c>
      <c r="AP68" s="10">
        <f t="shared" si="96"/>
        <v>1.1595092024539877</v>
      </c>
      <c r="AQ68" s="10">
        <f t="shared" si="96"/>
        <v>1.6338028169014085</v>
      </c>
      <c r="AR68" s="10">
        <f t="shared" si="96"/>
        <v>1.5698324022346368</v>
      </c>
      <c r="AS68" s="10">
        <f t="shared" si="96"/>
        <v>1.553191489361702</v>
      </c>
      <c r="AT68" s="10">
        <f t="shared" si="96"/>
        <v>1.4525547445255473</v>
      </c>
      <c r="AU68" s="10">
        <f t="shared" si="96"/>
        <v>1.4305555555555556</v>
      </c>
      <c r="AV68" s="10">
        <f t="shared" ref="AV68" si="103">IFERROR(AV56/AV32,"")</f>
        <v>1.2666666666666666</v>
      </c>
      <c r="AW68" s="18"/>
      <c r="AX68" s="18"/>
      <c r="AY68" s="18"/>
      <c r="AZ68" s="18"/>
      <c r="BA68" s="18"/>
      <c r="BB68" s="10">
        <f t="shared" si="97"/>
        <v>1.4188861985472154</v>
      </c>
      <c r="BC68" s="10">
        <f t="shared" si="97"/>
        <v>1.4907621247113163</v>
      </c>
      <c r="BD68" s="10">
        <f t="shared" si="97"/>
        <v>1.2666666666666666</v>
      </c>
      <c r="BE68" s="10" t="str">
        <f t="shared" si="97"/>
        <v/>
      </c>
      <c r="BF68" s="10">
        <f t="shared" si="97"/>
        <v>1.422514619883041</v>
      </c>
      <c r="BG68" s="122" t="e">
        <f t="shared" si="98"/>
        <v>#VALUE!</v>
      </c>
      <c r="BH68" s="111" t="e">
        <f t="shared" si="98"/>
        <v>#VALUE!</v>
      </c>
      <c r="BI68" s="111" t="e">
        <f t="shared" si="98"/>
        <v>#VALUE!</v>
      </c>
      <c r="BJ68" s="111" t="e">
        <f t="shared" si="98"/>
        <v>#VALUE!</v>
      </c>
      <c r="BK68" s="111" t="e">
        <f t="shared" si="98"/>
        <v>#VALUE!</v>
      </c>
      <c r="BL68" s="111" t="e">
        <f t="shared" si="98"/>
        <v>#VALUE!</v>
      </c>
      <c r="BM68" s="111" t="e">
        <f t="shared" si="98"/>
        <v>#VALUE!</v>
      </c>
      <c r="BN68" s="111" t="e">
        <f t="shared" si="98"/>
        <v>#VALUE!</v>
      </c>
      <c r="BO68" s="111" t="e">
        <f t="shared" si="98"/>
        <v>#VALUE!</v>
      </c>
      <c r="BP68" s="111" t="e">
        <f t="shared" si="98"/>
        <v>#VALUE!</v>
      </c>
      <c r="BQ68" s="111" t="e">
        <f t="shared" si="98"/>
        <v>#VALUE!</v>
      </c>
      <c r="BR68" s="111" t="e">
        <f t="shared" si="98"/>
        <v>#VALUE!</v>
      </c>
      <c r="BS68" s="111" t="e">
        <f>BB68/(SUM(O56:INDEX(O56:Q56,IF($B$3&lt;3,$B$3,3)))/SUM(O32:INDEX(O32:Q32,IF($B$3&lt;3,$B$3,3))))</f>
        <v>#DIV/0!</v>
      </c>
      <c r="BT68" s="111" t="e">
        <f>BC68/(SUM(R56:INDEX(R56:T56,$C$3))/SUM(R32:INDEX(R32:T32,$C$3)))</f>
        <v>#DIV/0!</v>
      </c>
      <c r="BU68" s="18"/>
      <c r="BV68" s="18"/>
      <c r="BW68" s="31" t="e">
        <f t="shared" si="102"/>
        <v>#VALUE!</v>
      </c>
    </row>
    <row r="69" spans="1:75" x14ac:dyDescent="0.25">
      <c r="A69" s="20" t="str">
        <f t="shared" si="99"/>
        <v># Case/Active_by_rookie_GENLION:2-3 months</v>
      </c>
      <c r="B69" t="s">
        <v>7</v>
      </c>
      <c r="C69" s="12" t="str">
        <f t="shared" si="94"/>
        <v/>
      </c>
      <c r="D69" s="12" t="str">
        <f t="shared" si="94"/>
        <v/>
      </c>
      <c r="E69" s="12" t="str">
        <f t="shared" si="94"/>
        <v/>
      </c>
      <c r="F69" s="12" t="str">
        <f t="shared" si="94"/>
        <v/>
      </c>
      <c r="G69" s="12" t="str">
        <f t="shared" si="94"/>
        <v/>
      </c>
      <c r="H69" s="12" t="str">
        <f t="shared" si="94"/>
        <v/>
      </c>
      <c r="I69" s="12" t="str">
        <f t="shared" si="94"/>
        <v/>
      </c>
      <c r="J69" s="12" t="str">
        <f t="shared" si="94"/>
        <v/>
      </c>
      <c r="K69" s="12" t="str">
        <f t="shared" si="94"/>
        <v/>
      </c>
      <c r="L69" s="12" t="str">
        <f t="shared" si="94"/>
        <v/>
      </c>
      <c r="M69" s="12" t="str">
        <f t="shared" si="94"/>
        <v/>
      </c>
      <c r="N69" s="12" t="str">
        <f t="shared" si="94"/>
        <v/>
      </c>
      <c r="O69" s="12" t="str">
        <f t="shared" si="94"/>
        <v/>
      </c>
      <c r="P69" s="12" t="str">
        <f t="shared" si="94"/>
        <v/>
      </c>
      <c r="Q69" s="12" t="str">
        <f t="shared" si="94"/>
        <v/>
      </c>
      <c r="R69" s="12" t="str">
        <f t="shared" si="94"/>
        <v/>
      </c>
      <c r="S69" s="12" t="str">
        <f t="shared" si="94"/>
        <v/>
      </c>
      <c r="T69" s="12" t="str">
        <f t="shared" si="94"/>
        <v/>
      </c>
      <c r="U69" s="12" t="str">
        <f t="shared" si="94"/>
        <v/>
      </c>
      <c r="V69" s="12" t="str">
        <f t="shared" si="94"/>
        <v/>
      </c>
      <c r="W69" s="12" t="str">
        <f t="shared" si="94"/>
        <v/>
      </c>
      <c r="X69" s="12" t="str">
        <f t="shared" si="94"/>
        <v/>
      </c>
      <c r="Y69" s="12" t="str">
        <f t="shared" si="94"/>
        <v/>
      </c>
      <c r="Z69" s="12" t="str">
        <f t="shared" si="94"/>
        <v/>
      </c>
      <c r="AA69" s="21" t="str">
        <f t="shared" si="94"/>
        <v/>
      </c>
      <c r="AB69" s="21" t="str">
        <f t="shared" si="94"/>
        <v/>
      </c>
      <c r="AC69" s="21" t="str">
        <f t="shared" si="94"/>
        <v/>
      </c>
      <c r="AD69" s="21" t="str">
        <f t="shared" si="94"/>
        <v/>
      </c>
      <c r="AE69" s="21" t="str">
        <f t="shared" si="94"/>
        <v/>
      </c>
      <c r="AF69" s="21" t="str">
        <f t="shared" si="94"/>
        <v/>
      </c>
      <c r="AG69" s="21" t="str">
        <f t="shared" si="94"/>
        <v/>
      </c>
      <c r="AH69" s="21" t="str">
        <f t="shared" si="94"/>
        <v/>
      </c>
      <c r="AI69" s="21" t="str">
        <f t="shared" si="94"/>
        <v/>
      </c>
      <c r="AJ69" s="21" t="str">
        <f t="shared" si="94"/>
        <v/>
      </c>
      <c r="AK69" s="31" t="e">
        <f t="shared" si="100"/>
        <v>#VALUE!</v>
      </c>
      <c r="AL69" s="31" t="e">
        <f t="shared" si="95"/>
        <v>#VALUE!</v>
      </c>
      <c r="AM69" s="31" t="e">
        <f t="shared" si="95"/>
        <v>#VALUE!</v>
      </c>
      <c r="AN69" s="31" t="e">
        <f t="shared" si="95"/>
        <v>#VALUE!</v>
      </c>
      <c r="AO69" s="31" t="e">
        <f t="shared" si="95"/>
        <v>#VALUE!</v>
      </c>
      <c r="AP69" s="10">
        <f t="shared" si="96"/>
        <v>1.5551948051948052</v>
      </c>
      <c r="AQ69" s="10">
        <f t="shared" si="96"/>
        <v>1.3946488294314381</v>
      </c>
      <c r="AR69" s="10">
        <f t="shared" si="96"/>
        <v>1.6804123711340206</v>
      </c>
      <c r="AS69" s="10">
        <f t="shared" si="96"/>
        <v>1.474820143884892</v>
      </c>
      <c r="AT69" s="10">
        <f t="shared" si="96"/>
        <v>1.4675324675324675</v>
      </c>
      <c r="AU69" s="10">
        <f t="shared" si="96"/>
        <v>1.4963235294117647</v>
      </c>
      <c r="AV69" s="10">
        <f t="shared" ref="AV69" si="104">IFERROR(AV57/AV33,"")</f>
        <v>1.7695652173913043</v>
      </c>
      <c r="AW69" s="18"/>
      <c r="AX69" s="18"/>
      <c r="AY69" s="18"/>
      <c r="AZ69" s="18"/>
      <c r="BA69" s="18"/>
      <c r="BB69" s="10">
        <f t="shared" si="97"/>
        <v>1.51854714064915</v>
      </c>
      <c r="BC69" s="10">
        <f t="shared" si="97"/>
        <v>1.479020979020979</v>
      </c>
      <c r="BD69" s="10">
        <f t="shared" si="97"/>
        <v>1.7695652173913043</v>
      </c>
      <c r="BE69" s="10" t="str">
        <f t="shared" si="97"/>
        <v/>
      </c>
      <c r="BF69" s="10">
        <f t="shared" si="97"/>
        <v>1.5285474391267841</v>
      </c>
      <c r="BG69" s="122" t="e">
        <f t="shared" si="98"/>
        <v>#VALUE!</v>
      </c>
      <c r="BH69" s="111" t="e">
        <f t="shared" si="98"/>
        <v>#VALUE!</v>
      </c>
      <c r="BI69" s="111" t="e">
        <f t="shared" si="98"/>
        <v>#VALUE!</v>
      </c>
      <c r="BJ69" s="111" t="e">
        <f t="shared" si="98"/>
        <v>#VALUE!</v>
      </c>
      <c r="BK69" s="111" t="e">
        <f t="shared" si="98"/>
        <v>#VALUE!</v>
      </c>
      <c r="BL69" s="111" t="e">
        <f t="shared" si="98"/>
        <v>#VALUE!</v>
      </c>
      <c r="BM69" s="111" t="e">
        <f t="shared" si="98"/>
        <v>#VALUE!</v>
      </c>
      <c r="BN69" s="111" t="e">
        <f t="shared" si="98"/>
        <v>#VALUE!</v>
      </c>
      <c r="BO69" s="111" t="e">
        <f t="shared" si="98"/>
        <v>#VALUE!</v>
      </c>
      <c r="BP69" s="111" t="e">
        <f t="shared" si="98"/>
        <v>#VALUE!</v>
      </c>
      <c r="BQ69" s="111" t="e">
        <f t="shared" si="98"/>
        <v>#VALUE!</v>
      </c>
      <c r="BR69" s="111" t="e">
        <f t="shared" si="98"/>
        <v>#VALUE!</v>
      </c>
      <c r="BS69" s="111" t="e">
        <f>BB69/(SUM(O57:INDEX(O57:Q57,IF($B$3&lt;3,$B$3,3)))/SUM(O33:INDEX(O33:Q33,IF($B$3&lt;3,$B$3,3))))</f>
        <v>#DIV/0!</v>
      </c>
      <c r="BT69" s="111" t="e">
        <f>BC69/(SUM(R57:INDEX(R57:T57,$C$3))/SUM(R33:INDEX(R33:T33,$C$3)))</f>
        <v>#DIV/0!</v>
      </c>
      <c r="BU69" s="18"/>
      <c r="BV69" s="18"/>
      <c r="BW69" s="31" t="e">
        <f t="shared" si="102"/>
        <v>#VALUE!</v>
      </c>
    </row>
    <row r="70" spans="1:75" x14ac:dyDescent="0.25">
      <c r="A70" s="20" t="str">
        <f t="shared" si="99"/>
        <v># Case/Active_by_rookie_GENLION:4 - 6 mths</v>
      </c>
      <c r="B70" t="s">
        <v>8</v>
      </c>
      <c r="C70" s="12" t="str">
        <f t="shared" si="94"/>
        <v/>
      </c>
      <c r="D70" s="12" t="str">
        <f t="shared" si="94"/>
        <v/>
      </c>
      <c r="E70" s="12" t="str">
        <f t="shared" si="94"/>
        <v/>
      </c>
      <c r="F70" s="12" t="str">
        <f t="shared" si="94"/>
        <v/>
      </c>
      <c r="G70" s="12" t="str">
        <f t="shared" si="94"/>
        <v/>
      </c>
      <c r="H70" s="12" t="str">
        <f t="shared" si="94"/>
        <v/>
      </c>
      <c r="I70" s="12" t="str">
        <f t="shared" si="94"/>
        <v/>
      </c>
      <c r="J70" s="12" t="str">
        <f t="shared" si="94"/>
        <v/>
      </c>
      <c r="K70" s="12" t="str">
        <f t="shared" si="94"/>
        <v/>
      </c>
      <c r="L70" s="12" t="str">
        <f t="shared" si="94"/>
        <v/>
      </c>
      <c r="M70" s="12" t="str">
        <f t="shared" si="94"/>
        <v/>
      </c>
      <c r="N70" s="12" t="str">
        <f t="shared" si="94"/>
        <v/>
      </c>
      <c r="O70" s="12" t="str">
        <f t="shared" si="94"/>
        <v/>
      </c>
      <c r="P70" s="12" t="str">
        <f t="shared" si="94"/>
        <v/>
      </c>
      <c r="Q70" s="12" t="str">
        <f t="shared" si="94"/>
        <v/>
      </c>
      <c r="R70" s="12" t="str">
        <f t="shared" si="94"/>
        <v/>
      </c>
      <c r="S70" s="12" t="str">
        <f t="shared" si="94"/>
        <v/>
      </c>
      <c r="T70" s="12" t="str">
        <f t="shared" si="94"/>
        <v/>
      </c>
      <c r="U70" s="12" t="str">
        <f t="shared" si="94"/>
        <v/>
      </c>
      <c r="V70" s="12" t="str">
        <f t="shared" si="94"/>
        <v/>
      </c>
      <c r="W70" s="12" t="str">
        <f t="shared" si="94"/>
        <v/>
      </c>
      <c r="X70" s="12" t="str">
        <f t="shared" si="94"/>
        <v/>
      </c>
      <c r="Y70" s="12" t="str">
        <f t="shared" si="94"/>
        <v/>
      </c>
      <c r="Z70" s="12" t="str">
        <f t="shared" si="94"/>
        <v/>
      </c>
      <c r="AA70" s="21" t="str">
        <f t="shared" si="94"/>
        <v/>
      </c>
      <c r="AB70" s="21" t="str">
        <f t="shared" si="94"/>
        <v/>
      </c>
      <c r="AC70" s="21" t="str">
        <f t="shared" si="94"/>
        <v/>
      </c>
      <c r="AD70" s="21" t="str">
        <f t="shared" si="94"/>
        <v/>
      </c>
      <c r="AE70" s="21" t="str">
        <f t="shared" si="94"/>
        <v/>
      </c>
      <c r="AF70" s="21" t="str">
        <f t="shared" si="94"/>
        <v/>
      </c>
      <c r="AG70" s="21" t="str">
        <f t="shared" si="94"/>
        <v/>
      </c>
      <c r="AH70" s="21" t="str">
        <f t="shared" si="94"/>
        <v/>
      </c>
      <c r="AI70" s="21" t="str">
        <f t="shared" si="94"/>
        <v/>
      </c>
      <c r="AJ70" s="21" t="str">
        <f t="shared" si="94"/>
        <v/>
      </c>
      <c r="AK70" s="31" t="e">
        <f t="shared" si="100"/>
        <v>#VALUE!</v>
      </c>
      <c r="AL70" s="31" t="e">
        <f t="shared" si="95"/>
        <v>#VALUE!</v>
      </c>
      <c r="AM70" s="31" t="e">
        <f t="shared" si="95"/>
        <v>#VALUE!</v>
      </c>
      <c r="AN70" s="31" t="e">
        <f t="shared" si="95"/>
        <v>#VALUE!</v>
      </c>
      <c r="AO70" s="31" t="e">
        <f t="shared" si="95"/>
        <v>#VALUE!</v>
      </c>
      <c r="AP70" s="10">
        <f t="shared" si="96"/>
        <v>1.1857142857142857</v>
      </c>
      <c r="AQ70" s="10">
        <f t="shared" si="96"/>
        <v>1.4166666666666667</v>
      </c>
      <c r="AR70" s="10">
        <f t="shared" si="96"/>
        <v>1.6471962616822431</v>
      </c>
      <c r="AS70" s="10">
        <f t="shared" si="96"/>
        <v>1.1153846153846154</v>
      </c>
      <c r="AT70" s="10">
        <f t="shared" si="96"/>
        <v>1.4285714285714286</v>
      </c>
      <c r="AU70" s="10">
        <f t="shared" si="96"/>
        <v>1.4558823529411764</v>
      </c>
      <c r="AV70" s="10">
        <f t="shared" ref="AV70" si="105">IFERROR(AV58/AV34,"")</f>
        <v>1.8153846153846154</v>
      </c>
      <c r="AW70" s="18"/>
      <c r="AX70" s="18"/>
      <c r="AY70" s="18"/>
      <c r="AZ70" s="18"/>
      <c r="BA70" s="18"/>
      <c r="BB70" s="10">
        <f t="shared" si="97"/>
        <v>1.4681724845995894</v>
      </c>
      <c r="BC70" s="10">
        <f t="shared" si="97"/>
        <v>1.2835820895522387</v>
      </c>
      <c r="BD70" s="10">
        <f t="shared" si="97"/>
        <v>1.8153846153846154</v>
      </c>
      <c r="BE70" s="10" t="str">
        <f t="shared" si="97"/>
        <v/>
      </c>
      <c r="BF70" s="10">
        <f t="shared" si="97"/>
        <v>1.4353658536585365</v>
      </c>
      <c r="BG70" s="122" t="e">
        <f t="shared" si="98"/>
        <v>#VALUE!</v>
      </c>
      <c r="BH70" s="111" t="e">
        <f t="shared" si="98"/>
        <v>#VALUE!</v>
      </c>
      <c r="BI70" s="111" t="e">
        <f t="shared" si="98"/>
        <v>#VALUE!</v>
      </c>
      <c r="BJ70" s="111" t="e">
        <f t="shared" si="98"/>
        <v>#VALUE!</v>
      </c>
      <c r="BK70" s="111" t="e">
        <f t="shared" si="98"/>
        <v>#VALUE!</v>
      </c>
      <c r="BL70" s="111" t="e">
        <f t="shared" si="98"/>
        <v>#VALUE!</v>
      </c>
      <c r="BM70" s="111" t="e">
        <f t="shared" si="98"/>
        <v>#VALUE!</v>
      </c>
      <c r="BN70" s="111" t="e">
        <f t="shared" si="98"/>
        <v>#VALUE!</v>
      </c>
      <c r="BO70" s="111" t="e">
        <f t="shared" si="98"/>
        <v>#VALUE!</v>
      </c>
      <c r="BP70" s="111" t="e">
        <f t="shared" si="98"/>
        <v>#VALUE!</v>
      </c>
      <c r="BQ70" s="111" t="e">
        <f t="shared" si="98"/>
        <v>#VALUE!</v>
      </c>
      <c r="BR70" s="111" t="e">
        <f t="shared" si="98"/>
        <v>#VALUE!</v>
      </c>
      <c r="BS70" s="111" t="e">
        <f>BB70/(SUM(O58:INDEX(O58:Q58,IF($B$3&lt;3,$B$3,3)))/SUM(O34:INDEX(O34:Q34,IF($B$3&lt;3,$B$3,3))))</f>
        <v>#DIV/0!</v>
      </c>
      <c r="BT70" s="111" t="e">
        <f>BC70/(SUM(R58:INDEX(R58:T58,$C$3))/SUM(R34:INDEX(R34:T34,$C$3)))</f>
        <v>#DIV/0!</v>
      </c>
      <c r="BU70" s="18"/>
      <c r="BV70" s="18"/>
      <c r="BW70" s="31" t="e">
        <f t="shared" si="102"/>
        <v>#VALUE!</v>
      </c>
    </row>
    <row r="71" spans="1:75" x14ac:dyDescent="0.25">
      <c r="A71" s="20" t="str">
        <f t="shared" si="99"/>
        <v># Case/Active_by_rookie_GENLION:7-12mth</v>
      </c>
      <c r="B71" t="s">
        <v>1</v>
      </c>
      <c r="C71" s="12" t="str">
        <f t="shared" si="94"/>
        <v/>
      </c>
      <c r="D71" s="12" t="str">
        <f t="shared" si="94"/>
        <v/>
      </c>
      <c r="E71" s="12" t="str">
        <f t="shared" si="94"/>
        <v/>
      </c>
      <c r="F71" s="12" t="str">
        <f t="shared" si="94"/>
        <v/>
      </c>
      <c r="G71" s="12" t="str">
        <f t="shared" si="94"/>
        <v/>
      </c>
      <c r="H71" s="12" t="str">
        <f t="shared" si="94"/>
        <v/>
      </c>
      <c r="I71" s="12" t="str">
        <f t="shared" si="94"/>
        <v/>
      </c>
      <c r="J71" s="12" t="str">
        <f t="shared" si="94"/>
        <v/>
      </c>
      <c r="K71" s="12" t="str">
        <f t="shared" si="94"/>
        <v/>
      </c>
      <c r="L71" s="12" t="str">
        <f t="shared" si="94"/>
        <v/>
      </c>
      <c r="M71" s="12" t="str">
        <f t="shared" si="94"/>
        <v/>
      </c>
      <c r="N71" s="12" t="str">
        <f t="shared" si="94"/>
        <v/>
      </c>
      <c r="O71" s="12" t="str">
        <f t="shared" si="94"/>
        <v/>
      </c>
      <c r="P71" s="12" t="str">
        <f t="shared" si="94"/>
        <v/>
      </c>
      <c r="Q71" s="12" t="str">
        <f t="shared" si="94"/>
        <v/>
      </c>
      <c r="R71" s="12" t="str">
        <f t="shared" si="94"/>
        <v/>
      </c>
      <c r="S71" s="12" t="str">
        <f t="shared" si="94"/>
        <v/>
      </c>
      <c r="T71" s="12" t="str">
        <f t="shared" si="94"/>
        <v/>
      </c>
      <c r="U71" s="12" t="str">
        <f t="shared" si="94"/>
        <v/>
      </c>
      <c r="V71" s="12" t="str">
        <f t="shared" si="94"/>
        <v/>
      </c>
      <c r="W71" s="12" t="str">
        <f t="shared" si="94"/>
        <v/>
      </c>
      <c r="X71" s="12" t="str">
        <f t="shared" si="94"/>
        <v/>
      </c>
      <c r="Y71" s="12" t="str">
        <f t="shared" si="94"/>
        <v/>
      </c>
      <c r="Z71" s="12" t="str">
        <f t="shared" si="94"/>
        <v/>
      </c>
      <c r="AA71" s="21" t="str">
        <f t="shared" si="94"/>
        <v/>
      </c>
      <c r="AB71" s="21" t="str">
        <f t="shared" si="94"/>
        <v/>
      </c>
      <c r="AC71" s="21" t="str">
        <f t="shared" si="94"/>
        <v/>
      </c>
      <c r="AD71" s="21" t="str">
        <f t="shared" si="94"/>
        <v/>
      </c>
      <c r="AE71" s="21" t="str">
        <f t="shared" si="94"/>
        <v/>
      </c>
      <c r="AF71" s="21" t="str">
        <f t="shared" si="94"/>
        <v/>
      </c>
      <c r="AG71" s="21" t="str">
        <f t="shared" si="94"/>
        <v/>
      </c>
      <c r="AH71" s="21" t="str">
        <f t="shared" si="94"/>
        <v/>
      </c>
      <c r="AI71" s="21" t="str">
        <f t="shared" si="94"/>
        <v/>
      </c>
      <c r="AJ71" s="21" t="str">
        <f t="shared" si="94"/>
        <v/>
      </c>
      <c r="AK71" s="31" t="e">
        <f t="shared" si="100"/>
        <v>#VALUE!</v>
      </c>
      <c r="AL71" s="31" t="e">
        <f t="shared" si="95"/>
        <v>#VALUE!</v>
      </c>
      <c r="AM71" s="31" t="e">
        <f t="shared" si="95"/>
        <v>#VALUE!</v>
      </c>
      <c r="AN71" s="31" t="e">
        <f t="shared" si="95"/>
        <v>#VALUE!</v>
      </c>
      <c r="AO71" s="31" t="e">
        <f t="shared" si="95"/>
        <v>#VALUE!</v>
      </c>
      <c r="AP71" s="10">
        <f t="shared" si="96"/>
        <v>0.91111111111111109</v>
      </c>
      <c r="AQ71" s="10">
        <f t="shared" si="96"/>
        <v>1.2054794520547945</v>
      </c>
      <c r="AR71" s="10">
        <f t="shared" si="96"/>
        <v>1.3378378378378379</v>
      </c>
      <c r="AS71" s="10">
        <f t="shared" si="96"/>
        <v>1.4042553191489362</v>
      </c>
      <c r="AT71" s="10">
        <f t="shared" si="96"/>
        <v>1.4923076923076923</v>
      </c>
      <c r="AU71" s="10">
        <f t="shared" si="96"/>
        <v>1.2338709677419355</v>
      </c>
      <c r="AV71" s="10">
        <f t="shared" ref="AV71" si="106">IFERROR(AV59/AV35,"")</f>
        <v>1.2321428571428572</v>
      </c>
      <c r="AW71" s="18"/>
      <c r="AX71" s="18"/>
      <c r="AY71" s="18"/>
      <c r="AZ71" s="18"/>
      <c r="BA71" s="18"/>
      <c r="BB71" s="10">
        <f t="shared" si="97"/>
        <v>1.2117903930131004</v>
      </c>
      <c r="BC71" s="10">
        <f t="shared" si="97"/>
        <v>1.3823529411764706</v>
      </c>
      <c r="BD71" s="10">
        <f t="shared" si="97"/>
        <v>1.2321428571428572</v>
      </c>
      <c r="BE71" s="10" t="str">
        <f t="shared" si="97"/>
        <v/>
      </c>
      <c r="BF71" s="10">
        <f t="shared" si="97"/>
        <v>1.2885375494071147</v>
      </c>
      <c r="BG71" s="122" t="e">
        <f t="shared" si="98"/>
        <v>#VALUE!</v>
      </c>
      <c r="BH71" s="111" t="e">
        <f t="shared" si="98"/>
        <v>#VALUE!</v>
      </c>
      <c r="BI71" s="111" t="e">
        <f t="shared" si="98"/>
        <v>#VALUE!</v>
      </c>
      <c r="BJ71" s="111" t="e">
        <f t="shared" si="98"/>
        <v>#VALUE!</v>
      </c>
      <c r="BK71" s="111" t="e">
        <f t="shared" si="98"/>
        <v>#VALUE!</v>
      </c>
      <c r="BL71" s="111" t="e">
        <f t="shared" si="98"/>
        <v>#VALUE!</v>
      </c>
      <c r="BM71" s="111" t="e">
        <f t="shared" si="98"/>
        <v>#VALUE!</v>
      </c>
      <c r="BN71" s="111" t="e">
        <f t="shared" si="98"/>
        <v>#VALUE!</v>
      </c>
      <c r="BO71" s="111" t="e">
        <f t="shared" si="98"/>
        <v>#VALUE!</v>
      </c>
      <c r="BP71" s="111" t="e">
        <f t="shared" si="98"/>
        <v>#VALUE!</v>
      </c>
      <c r="BQ71" s="111" t="e">
        <f t="shared" si="98"/>
        <v>#VALUE!</v>
      </c>
      <c r="BR71" s="111" t="e">
        <f t="shared" si="98"/>
        <v>#VALUE!</v>
      </c>
      <c r="BS71" s="111" t="e">
        <f>BB71/(SUM(O59:INDEX(O59:Q59,IF($B$3&lt;3,$B$3,3)))/SUM(O35:INDEX(O35:Q35,IF($B$3&lt;3,$B$3,3))))</f>
        <v>#DIV/0!</v>
      </c>
      <c r="BT71" s="111" t="e">
        <f>BC71/(SUM(R59:INDEX(R59:T59,$C$3))/SUM(R35:INDEX(R35:T35,$C$3)))</f>
        <v>#DIV/0!</v>
      </c>
      <c r="BU71" s="18"/>
      <c r="BV71" s="18"/>
      <c r="BW71" s="31" t="e">
        <f t="shared" si="102"/>
        <v>#VALUE!</v>
      </c>
    </row>
    <row r="72" spans="1:75" x14ac:dyDescent="0.25">
      <c r="A72" s="20" t="str">
        <f t="shared" si="99"/>
        <v># Case/Active_by_rookie_GENLION:13+mth</v>
      </c>
      <c r="B72" t="s">
        <v>2</v>
      </c>
      <c r="C72" s="12" t="str">
        <f t="shared" si="94"/>
        <v/>
      </c>
      <c r="D72" s="12" t="str">
        <f t="shared" si="94"/>
        <v/>
      </c>
      <c r="E72" s="12" t="str">
        <f t="shared" si="94"/>
        <v/>
      </c>
      <c r="F72" s="12" t="str">
        <f t="shared" si="94"/>
        <v/>
      </c>
      <c r="G72" s="12" t="str">
        <f t="shared" si="94"/>
        <v/>
      </c>
      <c r="H72" s="12" t="str">
        <f t="shared" si="94"/>
        <v/>
      </c>
      <c r="I72" s="12" t="str">
        <f t="shared" si="94"/>
        <v/>
      </c>
      <c r="J72" s="12" t="str">
        <f t="shared" si="94"/>
        <v/>
      </c>
      <c r="K72" s="12" t="str">
        <f t="shared" si="94"/>
        <v/>
      </c>
      <c r="L72" s="12" t="str">
        <f t="shared" si="94"/>
        <v/>
      </c>
      <c r="M72" s="12" t="str">
        <f t="shared" si="94"/>
        <v/>
      </c>
      <c r="N72" s="12" t="str">
        <f t="shared" si="94"/>
        <v/>
      </c>
      <c r="O72" s="12" t="str">
        <f t="shared" si="94"/>
        <v/>
      </c>
      <c r="P72" s="12" t="str">
        <f t="shared" si="94"/>
        <v/>
      </c>
      <c r="Q72" s="12" t="str">
        <f t="shared" si="94"/>
        <v/>
      </c>
      <c r="R72" s="12" t="str">
        <f t="shared" si="94"/>
        <v/>
      </c>
      <c r="S72" s="12" t="str">
        <f t="shared" si="94"/>
        <v/>
      </c>
      <c r="T72" s="12" t="str">
        <f t="shared" si="94"/>
        <v/>
      </c>
      <c r="U72" s="12" t="str">
        <f t="shared" si="94"/>
        <v/>
      </c>
      <c r="V72" s="12" t="str">
        <f t="shared" si="94"/>
        <v/>
      </c>
      <c r="W72" s="12" t="str">
        <f t="shared" si="94"/>
        <v/>
      </c>
      <c r="X72" s="12" t="str">
        <f t="shared" si="94"/>
        <v/>
      </c>
      <c r="Y72" s="12" t="str">
        <f t="shared" si="94"/>
        <v/>
      </c>
      <c r="Z72" s="12" t="str">
        <f t="shared" si="94"/>
        <v/>
      </c>
      <c r="AA72" s="21" t="str">
        <f t="shared" si="94"/>
        <v/>
      </c>
      <c r="AB72" s="21" t="str">
        <f t="shared" si="94"/>
        <v/>
      </c>
      <c r="AC72" s="21" t="str">
        <f t="shared" si="94"/>
        <v/>
      </c>
      <c r="AD72" s="21" t="str">
        <f t="shared" si="94"/>
        <v/>
      </c>
      <c r="AE72" s="21" t="str">
        <f t="shared" si="94"/>
        <v/>
      </c>
      <c r="AF72" s="21" t="str">
        <f t="shared" si="94"/>
        <v/>
      </c>
      <c r="AG72" s="21" t="str">
        <f t="shared" si="94"/>
        <v/>
      </c>
      <c r="AH72" s="21" t="str">
        <f t="shared" si="94"/>
        <v/>
      </c>
      <c r="AI72" s="21" t="str">
        <f t="shared" si="94"/>
        <v/>
      </c>
      <c r="AJ72" s="21" t="str">
        <f t="shared" si="94"/>
        <v/>
      </c>
      <c r="AK72" s="31" t="e">
        <f t="shared" si="100"/>
        <v>#VALUE!</v>
      </c>
      <c r="AL72" s="31" t="e">
        <f t="shared" si="95"/>
        <v>#VALUE!</v>
      </c>
      <c r="AM72" s="31" t="e">
        <f t="shared" si="95"/>
        <v>#VALUE!</v>
      </c>
      <c r="AN72" s="31" t="e">
        <f t="shared" si="95"/>
        <v>#VALUE!</v>
      </c>
      <c r="AO72" s="31" t="e">
        <f t="shared" si="95"/>
        <v>#VALUE!</v>
      </c>
      <c r="AP72" s="10">
        <f t="shared" si="96"/>
        <v>1.3</v>
      </c>
      <c r="AQ72" s="10">
        <f t="shared" si="96"/>
        <v>1.471830985915493</v>
      </c>
      <c r="AR72" s="10">
        <f t="shared" si="96"/>
        <v>1.4104477611940298</v>
      </c>
      <c r="AS72" s="10">
        <f t="shared" si="96"/>
        <v>1.9178082191780821</v>
      </c>
      <c r="AT72" s="10">
        <f t="shared" si="96"/>
        <v>1.8852459016393444</v>
      </c>
      <c r="AU72" s="10">
        <f t="shared" si="96"/>
        <v>2.0185185185185186</v>
      </c>
      <c r="AV72" s="10">
        <f t="shared" ref="AV72" si="107">IFERROR(AV60/AV36,"")</f>
        <v>1.5784313725490196</v>
      </c>
      <c r="AW72" s="18"/>
      <c r="AX72" s="18"/>
      <c r="AY72" s="18"/>
      <c r="AZ72" s="18"/>
      <c r="BA72" s="18"/>
      <c r="BB72" s="10">
        <f t="shared" si="97"/>
        <v>1.4015544041450778</v>
      </c>
      <c r="BC72" s="10">
        <f t="shared" si="97"/>
        <v>1.9361702127659575</v>
      </c>
      <c r="BD72" s="10">
        <f t="shared" si="97"/>
        <v>1.5784313725490196</v>
      </c>
      <c r="BE72" s="10" t="str">
        <f t="shared" si="97"/>
        <v/>
      </c>
      <c r="BF72" s="10">
        <f t="shared" si="97"/>
        <v>1.6550925925925926</v>
      </c>
      <c r="BG72" s="122" t="e">
        <f t="shared" si="98"/>
        <v>#VALUE!</v>
      </c>
      <c r="BH72" s="111" t="e">
        <f t="shared" si="98"/>
        <v>#VALUE!</v>
      </c>
      <c r="BI72" s="111" t="e">
        <f t="shared" si="98"/>
        <v>#VALUE!</v>
      </c>
      <c r="BJ72" s="111" t="e">
        <f t="shared" si="98"/>
        <v>#VALUE!</v>
      </c>
      <c r="BK72" s="111" t="e">
        <f t="shared" si="98"/>
        <v>#VALUE!</v>
      </c>
      <c r="BL72" s="111" t="e">
        <f t="shared" si="98"/>
        <v>#VALUE!</v>
      </c>
      <c r="BM72" s="111" t="e">
        <f t="shared" si="98"/>
        <v>#VALUE!</v>
      </c>
      <c r="BN72" s="111" t="e">
        <f t="shared" si="98"/>
        <v>#VALUE!</v>
      </c>
      <c r="BO72" s="111" t="e">
        <f t="shared" si="98"/>
        <v>#VALUE!</v>
      </c>
      <c r="BP72" s="111" t="e">
        <f t="shared" si="98"/>
        <v>#VALUE!</v>
      </c>
      <c r="BQ72" s="111" t="e">
        <f t="shared" si="98"/>
        <v>#VALUE!</v>
      </c>
      <c r="BR72" s="111" t="e">
        <f t="shared" si="98"/>
        <v>#VALUE!</v>
      </c>
      <c r="BS72" s="111" t="e">
        <f>BB72/(SUM(O60:INDEX(O60:Q60,IF($B$3&lt;3,$B$3,3)))/SUM(O36:INDEX(O36:Q36,IF($B$3&lt;3,$B$3,3))))</f>
        <v>#DIV/0!</v>
      </c>
      <c r="BT72" s="111" t="e">
        <f>BC72/(SUM(R60:INDEX(R60:T60,$C$3))/SUM(R36:INDEX(R36:T36,$C$3)))</f>
        <v>#DIV/0!</v>
      </c>
      <c r="BU72" s="18"/>
      <c r="BV72" s="18"/>
      <c r="BW72" s="31" t="e">
        <f t="shared" si="102"/>
        <v>#VALUE!</v>
      </c>
    </row>
    <row r="73" spans="1:75" x14ac:dyDescent="0.25">
      <c r="A73" s="20" t="str">
        <f t="shared" si="99"/>
        <v># Case/Active_by_rookie_GENLION:SA</v>
      </c>
      <c r="B73" s="135" t="s">
        <v>136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31"/>
      <c r="AL73" s="31"/>
      <c r="AM73" s="31"/>
      <c r="AN73" s="31"/>
      <c r="AO73" s="31"/>
      <c r="AP73" s="10"/>
      <c r="AQ73" s="10">
        <f>IFERROR(AQ61/AQ37,"")</f>
        <v>1.208955223880597</v>
      </c>
      <c r="AR73" s="10">
        <f>IFERROR(AR61/AR37,"")</f>
        <v>1.4222222222222223</v>
      </c>
      <c r="AS73" s="10">
        <f>IFERROR(AS61/AS37,"")</f>
        <v>1.3826086956521739</v>
      </c>
      <c r="AT73" s="10">
        <f>IFERROR(AT61/AT37,"")</f>
        <v>1.2954545454545454</v>
      </c>
      <c r="AU73" s="10">
        <f>IFERROR(AU61/AU37,"")</f>
        <v>1.1190476190476191</v>
      </c>
      <c r="AV73" s="10">
        <f t="shared" ref="AV73" si="108">IFERROR(AV61/AV37,"")</f>
        <v>1.53125</v>
      </c>
      <c r="AW73" s="18"/>
      <c r="AX73" s="18"/>
      <c r="AY73" s="18"/>
      <c r="AZ73" s="18"/>
      <c r="BA73" s="18"/>
      <c r="BB73" s="10">
        <f t="shared" si="97"/>
        <v>1.2946428571428572</v>
      </c>
      <c r="BC73" s="10">
        <f t="shared" si="97"/>
        <v>1.308457711442786</v>
      </c>
      <c r="BD73" s="10">
        <f t="shared" si="97"/>
        <v>1.53125</v>
      </c>
      <c r="BE73" s="10"/>
      <c r="BF73" s="10">
        <f t="shared" si="97"/>
        <v>1.3246376811594203</v>
      </c>
      <c r="BG73" s="122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8"/>
      <c r="BV73" s="18"/>
      <c r="BW73" s="31"/>
    </row>
    <row r="74" spans="1:75" s="19" customFormat="1" x14ac:dyDescent="0.25">
      <c r="A74" s="20" t="str">
        <f t="shared" si="99"/>
        <v># Case/Active_by_rookie_GENLION:Total</v>
      </c>
      <c r="B74" s="1" t="s">
        <v>3</v>
      </c>
      <c r="C74" s="13" t="str">
        <f t="shared" ref="C74:AJ74" si="109">IFERROR(C62/C38,"")</f>
        <v/>
      </c>
      <c r="D74" s="13" t="str">
        <f t="shared" si="109"/>
        <v/>
      </c>
      <c r="E74" s="13" t="str">
        <f t="shared" si="109"/>
        <v/>
      </c>
      <c r="F74" s="13" t="str">
        <f t="shared" si="109"/>
        <v/>
      </c>
      <c r="G74" s="13" t="str">
        <f t="shared" si="109"/>
        <v/>
      </c>
      <c r="H74" s="13" t="str">
        <f t="shared" si="109"/>
        <v/>
      </c>
      <c r="I74" s="13" t="str">
        <f t="shared" si="109"/>
        <v/>
      </c>
      <c r="J74" s="13" t="str">
        <f t="shared" si="109"/>
        <v/>
      </c>
      <c r="K74" s="13" t="str">
        <f t="shared" si="109"/>
        <v/>
      </c>
      <c r="L74" s="13" t="str">
        <f t="shared" si="109"/>
        <v/>
      </c>
      <c r="M74" s="13" t="str">
        <f t="shared" si="109"/>
        <v/>
      </c>
      <c r="N74" s="13" t="str">
        <f t="shared" si="109"/>
        <v/>
      </c>
      <c r="O74" s="13" t="str">
        <f t="shared" si="109"/>
        <v/>
      </c>
      <c r="P74" s="13" t="str">
        <f t="shared" si="109"/>
        <v/>
      </c>
      <c r="Q74" s="13" t="str">
        <f t="shared" si="109"/>
        <v/>
      </c>
      <c r="R74" s="13" t="str">
        <f t="shared" si="109"/>
        <v/>
      </c>
      <c r="S74" s="13" t="str">
        <f t="shared" si="109"/>
        <v/>
      </c>
      <c r="T74" s="13" t="str">
        <f t="shared" si="109"/>
        <v/>
      </c>
      <c r="U74" s="13" t="str">
        <f t="shared" si="109"/>
        <v/>
      </c>
      <c r="V74" s="13" t="str">
        <f t="shared" si="109"/>
        <v/>
      </c>
      <c r="W74" s="13" t="str">
        <f t="shared" si="109"/>
        <v/>
      </c>
      <c r="X74" s="13" t="str">
        <f t="shared" si="109"/>
        <v/>
      </c>
      <c r="Y74" s="13" t="str">
        <f t="shared" si="109"/>
        <v/>
      </c>
      <c r="Z74" s="13" t="str">
        <f t="shared" si="109"/>
        <v/>
      </c>
      <c r="AA74" s="23" t="str">
        <f t="shared" si="109"/>
        <v/>
      </c>
      <c r="AB74" s="23" t="str">
        <f t="shared" si="109"/>
        <v/>
      </c>
      <c r="AC74" s="23" t="str">
        <f t="shared" si="109"/>
        <v/>
      </c>
      <c r="AD74" s="23" t="str">
        <f t="shared" si="109"/>
        <v/>
      </c>
      <c r="AE74" s="23" t="str">
        <f t="shared" si="109"/>
        <v/>
      </c>
      <c r="AF74" s="23" t="str">
        <f t="shared" si="109"/>
        <v/>
      </c>
      <c r="AG74" s="23" t="str">
        <f t="shared" si="109"/>
        <v/>
      </c>
      <c r="AH74" s="23" t="str">
        <f t="shared" si="109"/>
        <v/>
      </c>
      <c r="AI74" s="23" t="str">
        <f t="shared" si="109"/>
        <v/>
      </c>
      <c r="AJ74" s="23" t="str">
        <f t="shared" si="109"/>
        <v/>
      </c>
      <c r="AK74" s="32" t="e">
        <f t="shared" si="100"/>
        <v>#VALUE!</v>
      </c>
      <c r="AL74" s="32" t="e">
        <f t="shared" si="95"/>
        <v>#VALUE!</v>
      </c>
      <c r="AM74" s="32" t="e">
        <f t="shared" si="95"/>
        <v>#VALUE!</v>
      </c>
      <c r="AN74" s="32" t="e">
        <f t="shared" si="95"/>
        <v>#VALUE!</v>
      </c>
      <c r="AO74" s="32" t="e">
        <f t="shared" si="95"/>
        <v>#VALUE!</v>
      </c>
      <c r="AP74" s="11">
        <f t="shared" ref="AP74:AV74" si="110">IFERROR(AP62/AP38,"")</f>
        <v>1.3797276853252647</v>
      </c>
      <c r="AQ74" s="11">
        <f t="shared" si="110"/>
        <v>1.5271739130434783</v>
      </c>
      <c r="AR74" s="11">
        <f t="shared" si="110"/>
        <v>1.6813804173354736</v>
      </c>
      <c r="AS74" s="11">
        <f t="shared" si="110"/>
        <v>1.7076502732240437</v>
      </c>
      <c r="AT74" s="11">
        <f t="shared" si="110"/>
        <v>1.7280092592592593</v>
      </c>
      <c r="AU74" s="11">
        <f t="shared" si="110"/>
        <v>1.5489396411092986</v>
      </c>
      <c r="AV74" s="183">
        <f t="shared" si="110"/>
        <v>1.6801346801346801</v>
      </c>
      <c r="AW74" s="17"/>
      <c r="AX74" s="17"/>
      <c r="AY74" s="17"/>
      <c r="AZ74" s="17"/>
      <c r="BA74" s="17"/>
      <c r="BB74" s="11">
        <f t="shared" ref="BB74:BF74" si="111">IFERROR(BB62/BB38,"")</f>
        <v>1.5606650159179343</v>
      </c>
      <c r="BC74" s="11">
        <f t="shared" si="111"/>
        <v>1.6521329987452948</v>
      </c>
      <c r="BD74" s="11">
        <f t="shared" si="111"/>
        <v>1.6801346801346801</v>
      </c>
      <c r="BE74" s="11" t="str">
        <f t="shared" si="111"/>
        <v/>
      </c>
      <c r="BF74" s="11">
        <f t="shared" si="111"/>
        <v>1.6183029249927599</v>
      </c>
      <c r="BG74" s="123" t="e">
        <f t="shared" si="98"/>
        <v>#VALUE!</v>
      </c>
      <c r="BH74" s="118" t="e">
        <f t="shared" si="98"/>
        <v>#VALUE!</v>
      </c>
      <c r="BI74" s="118" t="e">
        <f t="shared" si="98"/>
        <v>#VALUE!</v>
      </c>
      <c r="BJ74" s="118" t="e">
        <f t="shared" si="98"/>
        <v>#VALUE!</v>
      </c>
      <c r="BK74" s="118" t="e">
        <f t="shared" si="98"/>
        <v>#VALUE!</v>
      </c>
      <c r="BL74" s="118" t="e">
        <f t="shared" si="98"/>
        <v>#VALUE!</v>
      </c>
      <c r="BM74" s="118" t="e">
        <f t="shared" si="98"/>
        <v>#VALUE!</v>
      </c>
      <c r="BN74" s="118" t="e">
        <f t="shared" si="98"/>
        <v>#VALUE!</v>
      </c>
      <c r="BO74" s="118" t="e">
        <f t="shared" si="98"/>
        <v>#VALUE!</v>
      </c>
      <c r="BP74" s="118" t="e">
        <f t="shared" si="98"/>
        <v>#VALUE!</v>
      </c>
      <c r="BQ74" s="118" t="e">
        <f t="shared" si="98"/>
        <v>#VALUE!</v>
      </c>
      <c r="BR74" s="118" t="e">
        <f t="shared" si="98"/>
        <v>#VALUE!</v>
      </c>
      <c r="BS74" s="118" t="e">
        <f>BB74/(SUM(O62:INDEX(O62:Q62,IF($B$3&lt;3,$B$3,3)))/SUM(O38:INDEX(O38:Q38,IF($B$3&lt;3,$B$3,3))))</f>
        <v>#DIV/0!</v>
      </c>
      <c r="BT74" s="111" t="e">
        <f>BC74/(SUM(R62:INDEX(R62:T62,$C$3))/SUM(R38:INDEX(R38:T38,$C$3)))</f>
        <v>#DIV/0!</v>
      </c>
      <c r="BU74" s="17"/>
      <c r="BV74" s="17"/>
      <c r="BW74" s="32" t="e">
        <f t="shared" si="102"/>
        <v>#VALUE!</v>
      </c>
    </row>
    <row r="75" spans="1:75" x14ac:dyDescent="0.25"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24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</row>
    <row r="76" spans="1:75" x14ac:dyDescent="0.25"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24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</row>
    <row r="77" spans="1:75" s="19" customFormat="1" x14ac:dyDescent="0.25">
      <c r="A77" s="17"/>
      <c r="B77" s="2" t="s">
        <v>14</v>
      </c>
      <c r="C77" s="3">
        <f t="shared" ref="C77:Z77" si="112">C17</f>
        <v>42005</v>
      </c>
      <c r="D77" s="3">
        <f t="shared" si="112"/>
        <v>42036</v>
      </c>
      <c r="E77" s="3">
        <f t="shared" si="112"/>
        <v>42064</v>
      </c>
      <c r="F77" s="3">
        <f t="shared" si="112"/>
        <v>42095</v>
      </c>
      <c r="G77" s="3">
        <f t="shared" si="112"/>
        <v>42125</v>
      </c>
      <c r="H77" s="3">
        <f t="shared" si="112"/>
        <v>42156</v>
      </c>
      <c r="I77" s="3">
        <f t="shared" si="112"/>
        <v>42186</v>
      </c>
      <c r="J77" s="3">
        <f t="shared" si="112"/>
        <v>42217</v>
      </c>
      <c r="K77" s="3">
        <f t="shared" si="112"/>
        <v>42248</v>
      </c>
      <c r="L77" s="3">
        <f t="shared" si="112"/>
        <v>42278</v>
      </c>
      <c r="M77" s="3">
        <f t="shared" si="112"/>
        <v>42309</v>
      </c>
      <c r="N77" s="3">
        <f t="shared" si="112"/>
        <v>42339</v>
      </c>
      <c r="O77" s="3">
        <f t="shared" si="112"/>
        <v>42370</v>
      </c>
      <c r="P77" s="3">
        <f t="shared" si="112"/>
        <v>42401</v>
      </c>
      <c r="Q77" s="3">
        <f t="shared" si="112"/>
        <v>42430</v>
      </c>
      <c r="R77" s="3">
        <f t="shared" si="112"/>
        <v>42461</v>
      </c>
      <c r="S77" s="3">
        <f t="shared" si="112"/>
        <v>42491</v>
      </c>
      <c r="T77" s="3">
        <f t="shared" si="112"/>
        <v>42522</v>
      </c>
      <c r="U77" s="3">
        <f t="shared" si="112"/>
        <v>42552</v>
      </c>
      <c r="V77" s="3">
        <f t="shared" si="112"/>
        <v>42583</v>
      </c>
      <c r="W77" s="3">
        <f t="shared" si="112"/>
        <v>42614</v>
      </c>
      <c r="X77" s="3">
        <f t="shared" si="112"/>
        <v>42644</v>
      </c>
      <c r="Y77" s="3">
        <f t="shared" si="112"/>
        <v>42675</v>
      </c>
      <c r="Z77" s="3">
        <f t="shared" si="112"/>
        <v>42705</v>
      </c>
      <c r="AA77" s="29" t="str">
        <f>AA65</f>
        <v>YTD 7/16</v>
      </c>
      <c r="AB77" s="29" t="s">
        <v>19</v>
      </c>
      <c r="AC77" s="29" t="s">
        <v>20</v>
      </c>
      <c r="AD77" s="29" t="s">
        <v>21</v>
      </c>
      <c r="AE77" s="29" t="s">
        <v>22</v>
      </c>
      <c r="AF77" s="26" t="str">
        <f t="shared" ref="AF77:AJ77" si="113">AF53</f>
        <v>YTD 7/15</v>
      </c>
      <c r="AG77" s="26" t="str">
        <f t="shared" si="113"/>
        <v>Q1 '15</v>
      </c>
      <c r="AH77" s="26" t="str">
        <f t="shared" si="113"/>
        <v>Q2 '15</v>
      </c>
      <c r="AI77" s="26" t="str">
        <f t="shared" si="113"/>
        <v>Q3 '15</v>
      </c>
      <c r="AJ77" s="26" t="str">
        <f t="shared" si="113"/>
        <v>Q4 '15</v>
      </c>
      <c r="AK77" s="30" t="s">
        <v>27</v>
      </c>
      <c r="AL77" s="30" t="s">
        <v>29</v>
      </c>
      <c r="AM77" s="30" t="s">
        <v>30</v>
      </c>
      <c r="AN77" s="30" t="s">
        <v>31</v>
      </c>
      <c r="AO77" s="30" t="s">
        <v>32</v>
      </c>
      <c r="AP77" s="108">
        <v>42736</v>
      </c>
      <c r="AQ77" s="108">
        <v>42767</v>
      </c>
      <c r="AR77" s="108">
        <v>42795</v>
      </c>
      <c r="AS77" s="108">
        <v>42826</v>
      </c>
      <c r="AT77" s="108">
        <v>42856</v>
      </c>
      <c r="AU77" s="108">
        <v>42887</v>
      </c>
      <c r="AV77" s="108">
        <v>42917</v>
      </c>
      <c r="AW77" s="108">
        <v>42948</v>
      </c>
      <c r="AX77" s="108">
        <v>42979</v>
      </c>
      <c r="AY77" s="108">
        <v>43009</v>
      </c>
      <c r="AZ77" s="108">
        <v>43040</v>
      </c>
      <c r="BA77" s="108">
        <v>43070</v>
      </c>
      <c r="BB77" s="29" t="s">
        <v>123</v>
      </c>
      <c r="BC77" s="29" t="s">
        <v>124</v>
      </c>
      <c r="BD77" s="29" t="s">
        <v>125</v>
      </c>
      <c r="BE77" s="29" t="s">
        <v>126</v>
      </c>
      <c r="BF77" s="29" t="str">
        <f>$BF$4</f>
        <v>YTD 7/17</v>
      </c>
      <c r="BG77" s="121">
        <v>42736</v>
      </c>
      <c r="BH77" s="108">
        <v>42767</v>
      </c>
      <c r="BI77" s="108">
        <v>42795</v>
      </c>
      <c r="BJ77" s="108">
        <v>42826</v>
      </c>
      <c r="BK77" s="108">
        <v>42856</v>
      </c>
      <c r="BL77" s="108">
        <v>42887</v>
      </c>
      <c r="BM77" s="108">
        <v>42917</v>
      </c>
      <c r="BN77" s="108">
        <v>42948</v>
      </c>
      <c r="BO77" s="108">
        <v>42979</v>
      </c>
      <c r="BP77" s="108">
        <v>43009</v>
      </c>
      <c r="BQ77" s="108">
        <v>43040</v>
      </c>
      <c r="BR77" s="108">
        <v>43070</v>
      </c>
      <c r="BS77" s="29" t="s">
        <v>127</v>
      </c>
      <c r="BT77" s="29" t="s">
        <v>128</v>
      </c>
      <c r="BU77" s="29" t="s">
        <v>96</v>
      </c>
      <c r="BV77" s="29" t="s">
        <v>129</v>
      </c>
      <c r="BW77" s="112" t="s">
        <v>130</v>
      </c>
    </row>
    <row r="78" spans="1:75" x14ac:dyDescent="0.25">
      <c r="A78" s="20" t="str">
        <f>$B$77&amp;"_by_rookie_GENLION:"&amp;TRIM(B78)</f>
        <v>CaseSize_by_rookie_GENLION:MDRT/ GEN Lion (from Apr '17)</v>
      </c>
      <c r="B78" t="s">
        <v>157</v>
      </c>
      <c r="C78" s="4" t="str">
        <f t="shared" ref="C78:AJ78" si="114">IFERROR(C5/C54,"")</f>
        <v/>
      </c>
      <c r="D78" s="4" t="str">
        <f t="shared" si="114"/>
        <v/>
      </c>
      <c r="E78" s="4" t="str">
        <f t="shared" si="114"/>
        <v/>
      </c>
      <c r="F78" s="4" t="str">
        <f t="shared" si="114"/>
        <v/>
      </c>
      <c r="G78" s="4" t="str">
        <f t="shared" si="114"/>
        <v/>
      </c>
      <c r="H78" s="4" t="str">
        <f t="shared" si="114"/>
        <v/>
      </c>
      <c r="I78" s="4" t="str">
        <f t="shared" si="114"/>
        <v/>
      </c>
      <c r="J78" s="4" t="str">
        <f t="shared" si="114"/>
        <v/>
      </c>
      <c r="K78" s="4" t="str">
        <f t="shared" si="114"/>
        <v/>
      </c>
      <c r="L78" s="4" t="str">
        <f t="shared" si="114"/>
        <v/>
      </c>
      <c r="M78" s="4" t="str">
        <f t="shared" si="114"/>
        <v/>
      </c>
      <c r="N78" s="4" t="str">
        <f t="shared" si="114"/>
        <v/>
      </c>
      <c r="O78" s="4" t="str">
        <f t="shared" si="114"/>
        <v/>
      </c>
      <c r="P78" s="4" t="str">
        <f t="shared" si="114"/>
        <v/>
      </c>
      <c r="Q78" s="4" t="str">
        <f t="shared" si="114"/>
        <v/>
      </c>
      <c r="R78" s="4" t="str">
        <f t="shared" si="114"/>
        <v/>
      </c>
      <c r="S78" s="4" t="str">
        <f t="shared" si="114"/>
        <v/>
      </c>
      <c r="T78" s="4" t="str">
        <f t="shared" si="114"/>
        <v/>
      </c>
      <c r="U78" s="4" t="str">
        <f t="shared" si="114"/>
        <v/>
      </c>
      <c r="V78" s="4" t="str">
        <f t="shared" si="114"/>
        <v/>
      </c>
      <c r="W78" s="4" t="str">
        <f t="shared" si="114"/>
        <v/>
      </c>
      <c r="X78" s="4" t="str">
        <f t="shared" si="114"/>
        <v/>
      </c>
      <c r="Y78" s="4" t="str">
        <f t="shared" si="114"/>
        <v/>
      </c>
      <c r="Z78" s="4" t="str">
        <f t="shared" si="114"/>
        <v/>
      </c>
      <c r="AA78" s="4" t="str">
        <f t="shared" si="114"/>
        <v/>
      </c>
      <c r="AB78" s="4" t="str">
        <f t="shared" si="114"/>
        <v/>
      </c>
      <c r="AC78" s="4" t="str">
        <f t="shared" si="114"/>
        <v/>
      </c>
      <c r="AD78" s="4" t="str">
        <f t="shared" si="114"/>
        <v/>
      </c>
      <c r="AE78" s="4" t="str">
        <f t="shared" si="114"/>
        <v/>
      </c>
      <c r="AF78" s="4" t="str">
        <f t="shared" si="114"/>
        <v/>
      </c>
      <c r="AG78" s="4" t="str">
        <f t="shared" si="114"/>
        <v/>
      </c>
      <c r="AH78" s="4" t="str">
        <f t="shared" si="114"/>
        <v/>
      </c>
      <c r="AI78" s="4" t="str">
        <f t="shared" si="114"/>
        <v/>
      </c>
      <c r="AJ78" s="4" t="str">
        <f t="shared" si="114"/>
        <v/>
      </c>
      <c r="AK78" s="31" t="e">
        <f>AA78/AF78-1</f>
        <v>#VALUE!</v>
      </c>
      <c r="AL78" s="31" t="e">
        <f t="shared" ref="AL78:AO86" si="115">AB78/AG78-1</f>
        <v>#VALUE!</v>
      </c>
      <c r="AM78" s="31" t="e">
        <f t="shared" si="115"/>
        <v>#VALUE!</v>
      </c>
      <c r="AN78" s="31" t="e">
        <f t="shared" si="115"/>
        <v>#VALUE!</v>
      </c>
      <c r="AO78" s="31" t="e">
        <f t="shared" si="115"/>
        <v>#VALUE!</v>
      </c>
      <c r="AP78" s="4">
        <f t="shared" ref="AP78:BF78" si="116">IFERROR(AP5/AP54,"")</f>
        <v>21.312368932038833</v>
      </c>
      <c r="AQ78" s="4">
        <f t="shared" si="116"/>
        <v>22.881378378378379</v>
      </c>
      <c r="AR78" s="4">
        <f t="shared" si="116"/>
        <v>20.636195121951221</v>
      </c>
      <c r="AS78" s="4">
        <f t="shared" si="116"/>
        <v>15.044728915662652</v>
      </c>
      <c r="AT78" s="4">
        <f t="shared" si="116"/>
        <v>15.868008298755187</v>
      </c>
      <c r="AU78" s="4">
        <f t="shared" si="116"/>
        <v>19.978019169329073</v>
      </c>
      <c r="AV78" s="4">
        <f t="shared" si="116"/>
        <v>16.254143646408838</v>
      </c>
      <c r="AW78" s="4" t="str">
        <f t="shared" si="116"/>
        <v/>
      </c>
      <c r="AX78" s="4" t="str">
        <f t="shared" si="116"/>
        <v/>
      </c>
      <c r="AY78" s="4" t="str">
        <f t="shared" si="116"/>
        <v/>
      </c>
      <c r="AZ78" s="4" t="str">
        <f t="shared" si="116"/>
        <v/>
      </c>
      <c r="BA78" s="4" t="str">
        <f t="shared" si="116"/>
        <v/>
      </c>
      <c r="BB78" s="4">
        <f t="shared" si="116"/>
        <v>21.619977687626779</v>
      </c>
      <c r="BC78" s="4">
        <f t="shared" si="116"/>
        <v>16.375051405071968</v>
      </c>
      <c r="BD78" s="4">
        <f t="shared" si="116"/>
        <v>16.254143646408838</v>
      </c>
      <c r="BE78" s="4" t="str">
        <f t="shared" si="116"/>
        <v/>
      </c>
      <c r="BF78" s="4">
        <f t="shared" si="116"/>
        <v>17.473573465859985</v>
      </c>
      <c r="BG78" s="122" t="e">
        <f t="shared" ref="BG78:BR86" si="117">AP78/O78</f>
        <v>#VALUE!</v>
      </c>
      <c r="BH78" s="111" t="e">
        <f t="shared" si="117"/>
        <v>#VALUE!</v>
      </c>
      <c r="BI78" s="111" t="e">
        <f t="shared" si="117"/>
        <v>#VALUE!</v>
      </c>
      <c r="BJ78" s="111" t="e">
        <f t="shared" si="117"/>
        <v>#VALUE!</v>
      </c>
      <c r="BK78" s="111" t="e">
        <f t="shared" si="117"/>
        <v>#VALUE!</v>
      </c>
      <c r="BL78" s="111" t="e">
        <f t="shared" si="117"/>
        <v>#VALUE!</v>
      </c>
      <c r="BM78" s="111" t="e">
        <f t="shared" si="117"/>
        <v>#VALUE!</v>
      </c>
      <c r="BN78" s="111" t="e">
        <f t="shared" si="117"/>
        <v>#VALUE!</v>
      </c>
      <c r="BO78" s="111" t="e">
        <f t="shared" si="117"/>
        <v>#VALUE!</v>
      </c>
      <c r="BP78" s="111" t="e">
        <f t="shared" si="117"/>
        <v>#VALUE!</v>
      </c>
      <c r="BQ78" s="111" t="e">
        <f t="shared" si="117"/>
        <v>#VALUE!</v>
      </c>
      <c r="BR78" s="111" t="e">
        <f t="shared" si="117"/>
        <v>#VALUE!</v>
      </c>
      <c r="BS78" s="111">
        <f>IFERROR(BB78/(SUM(O5:INDEX(O5:Q5,IF($B$3&lt;3,$B$3,3)))/SUM(O54:INDEX(O54:Q54,IF($B$3&lt;3,$B$3,3)))),0)</f>
        <v>0</v>
      </c>
      <c r="BT78" s="111">
        <f>IFERROR(BC78/(SUM(R5:INDEX(R5:T5,IF($B$3&lt;7,$B$3-3,3)))/SUM(R54:INDEX(R54:T54,IF($B$3&lt;7,$B$3-3,3)))),0)</f>
        <v>0</v>
      </c>
      <c r="BU78" s="111"/>
      <c r="BV78" s="111"/>
      <c r="BW78" s="111">
        <f>IFERROR(BF78/AA78,0)</f>
        <v>0</v>
      </c>
    </row>
    <row r="79" spans="1:75" x14ac:dyDescent="0.25">
      <c r="A79" s="20" t="str">
        <f t="shared" ref="A79:A86" si="118">$B$77&amp;"_by_rookie_GENLION:"&amp;TRIM(B79)</f>
        <v>CaseSize_by_rookie_GENLION:Rookie in month</v>
      </c>
      <c r="B79" t="s">
        <v>5</v>
      </c>
      <c r="C79" s="4" t="str">
        <f t="shared" ref="C79:AJ79" si="119">IFERROR(C6/C55,"")</f>
        <v/>
      </c>
      <c r="D79" s="4" t="str">
        <f t="shared" si="119"/>
        <v/>
      </c>
      <c r="E79" s="4" t="str">
        <f t="shared" si="119"/>
        <v/>
      </c>
      <c r="F79" s="4" t="str">
        <f t="shared" si="119"/>
        <v/>
      </c>
      <c r="G79" s="4" t="str">
        <f t="shared" si="119"/>
        <v/>
      </c>
      <c r="H79" s="4" t="str">
        <f t="shared" si="119"/>
        <v/>
      </c>
      <c r="I79" s="4" t="str">
        <f t="shared" si="119"/>
        <v/>
      </c>
      <c r="J79" s="4" t="str">
        <f t="shared" si="119"/>
        <v/>
      </c>
      <c r="K79" s="4" t="str">
        <f t="shared" si="119"/>
        <v/>
      </c>
      <c r="L79" s="4" t="str">
        <f t="shared" si="119"/>
        <v/>
      </c>
      <c r="M79" s="4" t="str">
        <f t="shared" si="119"/>
        <v/>
      </c>
      <c r="N79" s="4" t="str">
        <f t="shared" si="119"/>
        <v/>
      </c>
      <c r="O79" s="4" t="str">
        <f t="shared" si="119"/>
        <v/>
      </c>
      <c r="P79" s="4" t="str">
        <f t="shared" si="119"/>
        <v/>
      </c>
      <c r="Q79" s="4" t="str">
        <f t="shared" si="119"/>
        <v/>
      </c>
      <c r="R79" s="4" t="str">
        <f t="shared" si="119"/>
        <v/>
      </c>
      <c r="S79" s="4" t="str">
        <f t="shared" si="119"/>
        <v/>
      </c>
      <c r="T79" s="4" t="str">
        <f t="shared" si="119"/>
        <v/>
      </c>
      <c r="U79" s="4" t="str">
        <f t="shared" si="119"/>
        <v/>
      </c>
      <c r="V79" s="4" t="str">
        <f t="shared" si="119"/>
        <v/>
      </c>
      <c r="W79" s="4" t="str">
        <f t="shared" si="119"/>
        <v/>
      </c>
      <c r="X79" s="4" t="str">
        <f t="shared" si="119"/>
        <v/>
      </c>
      <c r="Y79" s="4" t="str">
        <f t="shared" si="119"/>
        <v/>
      </c>
      <c r="Z79" s="4" t="str">
        <f t="shared" si="119"/>
        <v/>
      </c>
      <c r="AA79" s="4" t="str">
        <f t="shared" si="119"/>
        <v/>
      </c>
      <c r="AB79" s="4" t="str">
        <f t="shared" si="119"/>
        <v/>
      </c>
      <c r="AC79" s="4" t="str">
        <f t="shared" si="119"/>
        <v/>
      </c>
      <c r="AD79" s="4" t="str">
        <f t="shared" si="119"/>
        <v/>
      </c>
      <c r="AE79" s="4" t="str">
        <f t="shared" si="119"/>
        <v/>
      </c>
      <c r="AF79" s="4" t="str">
        <f t="shared" si="119"/>
        <v/>
      </c>
      <c r="AG79" s="4" t="str">
        <f t="shared" si="119"/>
        <v/>
      </c>
      <c r="AH79" s="4" t="str">
        <f t="shared" si="119"/>
        <v/>
      </c>
      <c r="AI79" s="4" t="str">
        <f t="shared" si="119"/>
        <v/>
      </c>
      <c r="AJ79" s="4" t="str">
        <f t="shared" si="119"/>
        <v/>
      </c>
      <c r="AK79" s="31" t="e">
        <f t="shared" ref="AK79:AK86" si="120">AA79/AF79-1</f>
        <v>#VALUE!</v>
      </c>
      <c r="AL79" s="31" t="e">
        <f t="shared" si="115"/>
        <v>#VALUE!</v>
      </c>
      <c r="AM79" s="31" t="e">
        <f t="shared" si="115"/>
        <v>#VALUE!</v>
      </c>
      <c r="AN79" s="31" t="e">
        <f t="shared" si="115"/>
        <v>#VALUE!</v>
      </c>
      <c r="AO79" s="31" t="e">
        <f t="shared" si="115"/>
        <v>#VALUE!</v>
      </c>
      <c r="AP79" s="4">
        <f t="shared" ref="AP79:AV79" si="121">IFERROR(AP6/AP55,"")</f>
        <v>14.136574358974359</v>
      </c>
      <c r="AQ79" s="4">
        <f t="shared" si="121"/>
        <v>13.929567164179142</v>
      </c>
      <c r="AR79" s="4">
        <f t="shared" si="121"/>
        <v>13.825523415977962</v>
      </c>
      <c r="AS79" s="4">
        <f t="shared" si="121"/>
        <v>14.331085106382979</v>
      </c>
      <c r="AT79" s="4">
        <f t="shared" si="121"/>
        <v>14.00349344978166</v>
      </c>
      <c r="AU79" s="4">
        <f t="shared" si="121"/>
        <v>13.448803418803418</v>
      </c>
      <c r="AV79" s="4">
        <f t="shared" si="121"/>
        <v>13.594348591549297</v>
      </c>
      <c r="AW79" s="18"/>
      <c r="AX79" s="18"/>
      <c r="AY79" s="18"/>
      <c r="AZ79" s="18"/>
      <c r="BA79" s="18"/>
      <c r="BB79" s="4">
        <f t="shared" ref="BB79:BF84" si="122">IFERROR(BB6/BB55,"")</f>
        <v>13.899988225399504</v>
      </c>
      <c r="BC79" s="4">
        <f t="shared" si="122"/>
        <v>13.786370519939425</v>
      </c>
      <c r="BD79" s="4">
        <f t="shared" si="122"/>
        <v>13.594348591549297</v>
      </c>
      <c r="BE79" s="4" t="str">
        <f t="shared" si="122"/>
        <v/>
      </c>
      <c r="BF79" s="4">
        <f t="shared" si="122"/>
        <v>13.793332263242378</v>
      </c>
      <c r="BG79" s="122" t="e">
        <f t="shared" si="117"/>
        <v>#VALUE!</v>
      </c>
      <c r="BH79" s="111" t="e">
        <f t="shared" si="117"/>
        <v>#VALUE!</v>
      </c>
      <c r="BI79" s="111" t="e">
        <f t="shared" si="117"/>
        <v>#VALUE!</v>
      </c>
      <c r="BJ79" s="111" t="e">
        <f t="shared" si="117"/>
        <v>#VALUE!</v>
      </c>
      <c r="BK79" s="111" t="e">
        <f t="shared" si="117"/>
        <v>#VALUE!</v>
      </c>
      <c r="BL79" s="111" t="e">
        <f t="shared" si="117"/>
        <v>#VALUE!</v>
      </c>
      <c r="BM79" s="111" t="e">
        <f t="shared" si="117"/>
        <v>#VALUE!</v>
      </c>
      <c r="BN79" s="111" t="e">
        <f t="shared" si="117"/>
        <v>#VALUE!</v>
      </c>
      <c r="BO79" s="111" t="e">
        <f t="shared" si="117"/>
        <v>#VALUE!</v>
      </c>
      <c r="BP79" s="111" t="e">
        <f t="shared" si="117"/>
        <v>#VALUE!</v>
      </c>
      <c r="BQ79" s="111" t="e">
        <f t="shared" si="117"/>
        <v>#VALUE!</v>
      </c>
      <c r="BR79" s="111" t="e">
        <f t="shared" si="117"/>
        <v>#VALUE!</v>
      </c>
      <c r="BS79" s="111">
        <f>IFERROR(BB79/(SUM(O6:INDEX(O6:Q6,IF($B$3&lt;3,$B$3,3)))/SUM(O55:INDEX(O55:Q55,IF($B$3&lt;3,$B$3,3)))),0)</f>
        <v>0</v>
      </c>
      <c r="BT79" s="111">
        <f>IFERROR(BC79/(SUM(R6:INDEX(R6:T6,IF($B$3&lt;7,$B$3-3,3)))/SUM(R55:INDEX(R55:T55,IF($B$3&lt;7,$B$3-3,3)))),0)</f>
        <v>0</v>
      </c>
      <c r="BU79" s="111"/>
      <c r="BV79" s="111"/>
      <c r="BW79" s="111">
        <f t="shared" ref="BW79:BW86" si="123">IFERROR(BF79/AA79,0)</f>
        <v>0</v>
      </c>
    </row>
    <row r="80" spans="1:75" x14ac:dyDescent="0.25">
      <c r="A80" s="20" t="str">
        <f t="shared" si="118"/>
        <v>CaseSize_by_rookie_GENLION:Rookie last month</v>
      </c>
      <c r="B80" t="s">
        <v>6</v>
      </c>
      <c r="C80" s="4" t="str">
        <f t="shared" ref="C80:AJ80" si="124">IFERROR(C7/C56,"")</f>
        <v/>
      </c>
      <c r="D80" s="4" t="str">
        <f t="shared" si="124"/>
        <v/>
      </c>
      <c r="E80" s="4" t="str">
        <f t="shared" si="124"/>
        <v/>
      </c>
      <c r="F80" s="4" t="str">
        <f t="shared" si="124"/>
        <v/>
      </c>
      <c r="G80" s="4" t="str">
        <f t="shared" si="124"/>
        <v/>
      </c>
      <c r="H80" s="4" t="str">
        <f t="shared" si="124"/>
        <v/>
      </c>
      <c r="I80" s="4" t="str">
        <f t="shared" si="124"/>
        <v/>
      </c>
      <c r="J80" s="4" t="str">
        <f t="shared" si="124"/>
        <v/>
      </c>
      <c r="K80" s="4" t="str">
        <f t="shared" si="124"/>
        <v/>
      </c>
      <c r="L80" s="4" t="str">
        <f t="shared" si="124"/>
        <v/>
      </c>
      <c r="M80" s="4" t="str">
        <f t="shared" si="124"/>
        <v/>
      </c>
      <c r="N80" s="4" t="str">
        <f t="shared" si="124"/>
        <v/>
      </c>
      <c r="O80" s="4" t="str">
        <f t="shared" si="124"/>
        <v/>
      </c>
      <c r="P80" s="4" t="str">
        <f t="shared" si="124"/>
        <v/>
      </c>
      <c r="Q80" s="4" t="str">
        <f t="shared" si="124"/>
        <v/>
      </c>
      <c r="R80" s="4" t="str">
        <f t="shared" si="124"/>
        <v/>
      </c>
      <c r="S80" s="4" t="str">
        <f t="shared" si="124"/>
        <v/>
      </c>
      <c r="T80" s="4" t="str">
        <f t="shared" si="124"/>
        <v/>
      </c>
      <c r="U80" s="4" t="str">
        <f t="shared" si="124"/>
        <v/>
      </c>
      <c r="V80" s="4" t="str">
        <f t="shared" si="124"/>
        <v/>
      </c>
      <c r="W80" s="4" t="str">
        <f t="shared" si="124"/>
        <v/>
      </c>
      <c r="X80" s="4" t="str">
        <f t="shared" si="124"/>
        <v/>
      </c>
      <c r="Y80" s="4" t="str">
        <f t="shared" si="124"/>
        <v/>
      </c>
      <c r="Z80" s="4" t="str">
        <f t="shared" si="124"/>
        <v/>
      </c>
      <c r="AA80" s="4" t="str">
        <f t="shared" si="124"/>
        <v/>
      </c>
      <c r="AB80" s="4" t="str">
        <f t="shared" si="124"/>
        <v/>
      </c>
      <c r="AC80" s="4" t="str">
        <f t="shared" si="124"/>
        <v/>
      </c>
      <c r="AD80" s="4" t="str">
        <f t="shared" si="124"/>
        <v/>
      </c>
      <c r="AE80" s="4" t="str">
        <f t="shared" si="124"/>
        <v/>
      </c>
      <c r="AF80" s="4" t="str">
        <f t="shared" si="124"/>
        <v/>
      </c>
      <c r="AG80" s="4" t="str">
        <f t="shared" si="124"/>
        <v/>
      </c>
      <c r="AH80" s="4" t="str">
        <f t="shared" si="124"/>
        <v/>
      </c>
      <c r="AI80" s="4" t="str">
        <f t="shared" si="124"/>
        <v/>
      </c>
      <c r="AJ80" s="4" t="str">
        <f t="shared" si="124"/>
        <v/>
      </c>
      <c r="AK80" s="31" t="e">
        <f t="shared" si="120"/>
        <v>#VALUE!</v>
      </c>
      <c r="AL80" s="31" t="e">
        <f t="shared" si="115"/>
        <v>#VALUE!</v>
      </c>
      <c r="AM80" s="31" t="e">
        <f t="shared" si="115"/>
        <v>#VALUE!</v>
      </c>
      <c r="AN80" s="31" t="e">
        <f t="shared" si="115"/>
        <v>#VALUE!</v>
      </c>
      <c r="AO80" s="31" t="e">
        <f t="shared" si="115"/>
        <v>#VALUE!</v>
      </c>
      <c r="AP80" s="4">
        <f t="shared" ref="AP80:AU84" si="125">IFERROR(AP7/AP56,"")</f>
        <v>12.063328042328042</v>
      </c>
      <c r="AQ80" s="4">
        <f t="shared" si="125"/>
        <v>13.648775862068966</v>
      </c>
      <c r="AR80" s="4">
        <f t="shared" si="125"/>
        <v>13.370249110320284</v>
      </c>
      <c r="AS80" s="4">
        <f t="shared" si="125"/>
        <v>13.084897260273973</v>
      </c>
      <c r="AT80" s="4">
        <f t="shared" si="125"/>
        <v>13.043015075376884</v>
      </c>
      <c r="AU80" s="4">
        <f t="shared" si="125"/>
        <v>13.72349514563107</v>
      </c>
      <c r="AV80" s="4">
        <f t="shared" ref="AV80" si="126">IFERROR(AV7/AV56,"")</f>
        <v>14.160219298245615</v>
      </c>
      <c r="AW80" s="18"/>
      <c r="AX80" s="18"/>
      <c r="AY80" s="18"/>
      <c r="AZ80" s="18"/>
      <c r="BA80" s="18"/>
      <c r="BB80" s="4">
        <f t="shared" si="122"/>
        <v>13.003868600682594</v>
      </c>
      <c r="BC80" s="4">
        <f t="shared" si="122"/>
        <v>13.224833462432224</v>
      </c>
      <c r="BD80" s="4">
        <f t="shared" si="122"/>
        <v>14.160219298245615</v>
      </c>
      <c r="BE80" s="4" t="str">
        <f t="shared" si="122"/>
        <v/>
      </c>
      <c r="BF80" s="4">
        <f t="shared" si="122"/>
        <v>13.282238437821171</v>
      </c>
      <c r="BG80" s="122" t="e">
        <f t="shared" si="117"/>
        <v>#VALUE!</v>
      </c>
      <c r="BH80" s="111" t="e">
        <f t="shared" si="117"/>
        <v>#VALUE!</v>
      </c>
      <c r="BI80" s="111" t="e">
        <f t="shared" si="117"/>
        <v>#VALUE!</v>
      </c>
      <c r="BJ80" s="111" t="e">
        <f t="shared" si="117"/>
        <v>#VALUE!</v>
      </c>
      <c r="BK80" s="111" t="e">
        <f t="shared" si="117"/>
        <v>#VALUE!</v>
      </c>
      <c r="BL80" s="111" t="e">
        <f t="shared" si="117"/>
        <v>#VALUE!</v>
      </c>
      <c r="BM80" s="111" t="e">
        <f t="shared" si="117"/>
        <v>#VALUE!</v>
      </c>
      <c r="BN80" s="111" t="e">
        <f t="shared" si="117"/>
        <v>#VALUE!</v>
      </c>
      <c r="BO80" s="111" t="e">
        <f t="shared" si="117"/>
        <v>#VALUE!</v>
      </c>
      <c r="BP80" s="111" t="e">
        <f t="shared" si="117"/>
        <v>#VALUE!</v>
      </c>
      <c r="BQ80" s="111" t="e">
        <f t="shared" si="117"/>
        <v>#VALUE!</v>
      </c>
      <c r="BR80" s="111" t="e">
        <f t="shared" si="117"/>
        <v>#VALUE!</v>
      </c>
      <c r="BS80" s="111">
        <f>IFERROR(BB80/(SUM(O7:INDEX(O7:Q7,IF($B$3&lt;3,$B$3,3)))/SUM(O56:INDEX(O56:Q56,IF($B$3&lt;3,$B$3,3)))),0)</f>
        <v>0</v>
      </c>
      <c r="BT80" s="111">
        <f>IFERROR(BC80/(SUM(R7:INDEX(R7:T7,IF($B$3&lt;7,$B$3-3,3)))/SUM(R56:INDEX(R56:T56,IF($B$3&lt;7,$B$3-3,3)))),0)</f>
        <v>0</v>
      </c>
      <c r="BU80" s="111"/>
      <c r="BV80" s="111"/>
      <c r="BW80" s="111">
        <f t="shared" si="123"/>
        <v>0</v>
      </c>
    </row>
    <row r="81" spans="1:75" x14ac:dyDescent="0.25">
      <c r="A81" s="20" t="str">
        <f t="shared" si="118"/>
        <v>CaseSize_by_rookie_GENLION:2-3 months</v>
      </c>
      <c r="B81" t="s">
        <v>7</v>
      </c>
      <c r="C81" s="4" t="str">
        <f t="shared" ref="C81:AJ81" si="127">IFERROR(C8/C57,"")</f>
        <v/>
      </c>
      <c r="D81" s="4" t="str">
        <f t="shared" si="127"/>
        <v/>
      </c>
      <c r="E81" s="4" t="str">
        <f t="shared" si="127"/>
        <v/>
      </c>
      <c r="F81" s="4" t="str">
        <f t="shared" si="127"/>
        <v/>
      </c>
      <c r="G81" s="4" t="str">
        <f t="shared" si="127"/>
        <v/>
      </c>
      <c r="H81" s="4" t="str">
        <f t="shared" si="127"/>
        <v/>
      </c>
      <c r="I81" s="4" t="str">
        <f t="shared" si="127"/>
        <v/>
      </c>
      <c r="J81" s="4" t="str">
        <f t="shared" si="127"/>
        <v/>
      </c>
      <c r="K81" s="4" t="str">
        <f t="shared" si="127"/>
        <v/>
      </c>
      <c r="L81" s="4" t="str">
        <f t="shared" si="127"/>
        <v/>
      </c>
      <c r="M81" s="4" t="str">
        <f t="shared" si="127"/>
        <v/>
      </c>
      <c r="N81" s="4" t="str">
        <f t="shared" si="127"/>
        <v/>
      </c>
      <c r="O81" s="4" t="str">
        <f t="shared" si="127"/>
        <v/>
      </c>
      <c r="P81" s="4" t="str">
        <f t="shared" si="127"/>
        <v/>
      </c>
      <c r="Q81" s="4" t="str">
        <f t="shared" si="127"/>
        <v/>
      </c>
      <c r="R81" s="4" t="str">
        <f t="shared" si="127"/>
        <v/>
      </c>
      <c r="S81" s="4" t="str">
        <f t="shared" si="127"/>
        <v/>
      </c>
      <c r="T81" s="4" t="str">
        <f t="shared" si="127"/>
        <v/>
      </c>
      <c r="U81" s="4" t="str">
        <f t="shared" si="127"/>
        <v/>
      </c>
      <c r="V81" s="4" t="str">
        <f t="shared" si="127"/>
        <v/>
      </c>
      <c r="W81" s="4" t="str">
        <f t="shared" si="127"/>
        <v/>
      </c>
      <c r="X81" s="4" t="str">
        <f t="shared" si="127"/>
        <v/>
      </c>
      <c r="Y81" s="4" t="str">
        <f t="shared" si="127"/>
        <v/>
      </c>
      <c r="Z81" s="4" t="str">
        <f t="shared" si="127"/>
        <v/>
      </c>
      <c r="AA81" s="4" t="str">
        <f t="shared" si="127"/>
        <v/>
      </c>
      <c r="AB81" s="4" t="str">
        <f t="shared" si="127"/>
        <v/>
      </c>
      <c r="AC81" s="4" t="str">
        <f t="shared" si="127"/>
        <v/>
      </c>
      <c r="AD81" s="4" t="str">
        <f t="shared" si="127"/>
        <v/>
      </c>
      <c r="AE81" s="4" t="str">
        <f t="shared" si="127"/>
        <v/>
      </c>
      <c r="AF81" s="4" t="str">
        <f t="shared" si="127"/>
        <v/>
      </c>
      <c r="AG81" s="4" t="str">
        <f t="shared" si="127"/>
        <v/>
      </c>
      <c r="AH81" s="4" t="str">
        <f t="shared" si="127"/>
        <v/>
      </c>
      <c r="AI81" s="4" t="str">
        <f t="shared" si="127"/>
        <v/>
      </c>
      <c r="AJ81" s="4" t="str">
        <f t="shared" si="127"/>
        <v/>
      </c>
      <c r="AK81" s="31" t="e">
        <f t="shared" si="120"/>
        <v>#VALUE!</v>
      </c>
      <c r="AL81" s="31" t="e">
        <f t="shared" si="115"/>
        <v>#VALUE!</v>
      </c>
      <c r="AM81" s="31" t="e">
        <f t="shared" si="115"/>
        <v>#VALUE!</v>
      </c>
      <c r="AN81" s="31" t="e">
        <f t="shared" si="115"/>
        <v>#VALUE!</v>
      </c>
      <c r="AO81" s="31" t="e">
        <f t="shared" si="115"/>
        <v>#VALUE!</v>
      </c>
      <c r="AP81" s="4">
        <f t="shared" si="125"/>
        <v>13.190883089770354</v>
      </c>
      <c r="AQ81" s="4">
        <f t="shared" si="125"/>
        <v>13.008937649880119</v>
      </c>
      <c r="AR81" s="4">
        <f t="shared" si="125"/>
        <v>13.217147239263804</v>
      </c>
      <c r="AS81" s="4">
        <f t="shared" si="125"/>
        <v>13.533951219512195</v>
      </c>
      <c r="AT81" s="4">
        <f t="shared" si="125"/>
        <v>13.642300884955752</v>
      </c>
      <c r="AU81" s="4">
        <f t="shared" si="125"/>
        <v>13.526584766584765</v>
      </c>
      <c r="AV81" s="4">
        <f t="shared" ref="AV81" si="128">IFERROR(AV8/AV57,"")</f>
        <v>15.391105651105653</v>
      </c>
      <c r="AW81" s="18"/>
      <c r="AX81" s="18"/>
      <c r="AY81" s="18"/>
      <c r="AZ81" s="18"/>
      <c r="BA81" s="18"/>
      <c r="BB81" s="4">
        <f t="shared" si="122"/>
        <v>13.122375063613241</v>
      </c>
      <c r="BC81" s="4">
        <f t="shared" si="122"/>
        <v>13.57018124507486</v>
      </c>
      <c r="BD81" s="4">
        <f t="shared" si="122"/>
        <v>15.391105651105653</v>
      </c>
      <c r="BE81" s="4" t="str">
        <f t="shared" si="122"/>
        <v/>
      </c>
      <c r="BF81" s="4">
        <f t="shared" si="122"/>
        <v>13.532053556715192</v>
      </c>
      <c r="BG81" s="122" t="e">
        <f t="shared" si="117"/>
        <v>#VALUE!</v>
      </c>
      <c r="BH81" s="111" t="e">
        <f t="shared" si="117"/>
        <v>#VALUE!</v>
      </c>
      <c r="BI81" s="111" t="e">
        <f t="shared" si="117"/>
        <v>#VALUE!</v>
      </c>
      <c r="BJ81" s="111" t="e">
        <f t="shared" si="117"/>
        <v>#VALUE!</v>
      </c>
      <c r="BK81" s="111" t="e">
        <f t="shared" si="117"/>
        <v>#VALUE!</v>
      </c>
      <c r="BL81" s="111" t="e">
        <f t="shared" si="117"/>
        <v>#VALUE!</v>
      </c>
      <c r="BM81" s="111" t="e">
        <f t="shared" si="117"/>
        <v>#VALUE!</v>
      </c>
      <c r="BN81" s="111" t="e">
        <f t="shared" si="117"/>
        <v>#VALUE!</v>
      </c>
      <c r="BO81" s="111" t="e">
        <f t="shared" si="117"/>
        <v>#VALUE!</v>
      </c>
      <c r="BP81" s="111" t="e">
        <f t="shared" si="117"/>
        <v>#VALUE!</v>
      </c>
      <c r="BQ81" s="111" t="e">
        <f t="shared" si="117"/>
        <v>#VALUE!</v>
      </c>
      <c r="BR81" s="111" t="e">
        <f t="shared" si="117"/>
        <v>#VALUE!</v>
      </c>
      <c r="BS81" s="111">
        <f>IFERROR(BB81/(SUM(O8:INDEX(O8:Q8,IF($B$3&lt;3,$B$3,3)))/SUM(O57:INDEX(O57:Q57,IF($B$3&lt;3,$B$3,3)))),0)</f>
        <v>0</v>
      </c>
      <c r="BT81" s="111">
        <f>IFERROR(BC81/(SUM(R8:INDEX(R8:T8,IF($B$3&lt;7,$B$3-3,3)))/SUM(R57:INDEX(R57:T57,IF($B$3&lt;7,$B$3-3,3)))),0)</f>
        <v>0</v>
      </c>
      <c r="BU81" s="111"/>
      <c r="BV81" s="111"/>
      <c r="BW81" s="111">
        <f t="shared" si="123"/>
        <v>0</v>
      </c>
    </row>
    <row r="82" spans="1:75" x14ac:dyDescent="0.25">
      <c r="A82" s="20" t="str">
        <f t="shared" si="118"/>
        <v>CaseSize_by_rookie_GENLION:4 - 6 mths</v>
      </c>
      <c r="B82" t="s">
        <v>8</v>
      </c>
      <c r="C82" s="4" t="str">
        <f t="shared" ref="C82:AJ82" si="129">IFERROR(C9/C58,"")</f>
        <v/>
      </c>
      <c r="D82" s="4" t="str">
        <f t="shared" si="129"/>
        <v/>
      </c>
      <c r="E82" s="4" t="str">
        <f t="shared" si="129"/>
        <v/>
      </c>
      <c r="F82" s="4" t="str">
        <f t="shared" si="129"/>
        <v/>
      </c>
      <c r="G82" s="4" t="str">
        <f t="shared" si="129"/>
        <v/>
      </c>
      <c r="H82" s="4" t="str">
        <f t="shared" si="129"/>
        <v/>
      </c>
      <c r="I82" s="4" t="str">
        <f t="shared" si="129"/>
        <v/>
      </c>
      <c r="J82" s="4" t="str">
        <f t="shared" si="129"/>
        <v/>
      </c>
      <c r="K82" s="4" t="str">
        <f t="shared" si="129"/>
        <v/>
      </c>
      <c r="L82" s="4" t="str">
        <f t="shared" si="129"/>
        <v/>
      </c>
      <c r="M82" s="4" t="str">
        <f t="shared" si="129"/>
        <v/>
      </c>
      <c r="N82" s="4" t="str">
        <f t="shared" si="129"/>
        <v/>
      </c>
      <c r="O82" s="4" t="str">
        <f t="shared" si="129"/>
        <v/>
      </c>
      <c r="P82" s="4" t="str">
        <f t="shared" si="129"/>
        <v/>
      </c>
      <c r="Q82" s="4" t="str">
        <f t="shared" si="129"/>
        <v/>
      </c>
      <c r="R82" s="4" t="str">
        <f t="shared" si="129"/>
        <v/>
      </c>
      <c r="S82" s="4" t="str">
        <f t="shared" si="129"/>
        <v/>
      </c>
      <c r="T82" s="4" t="str">
        <f t="shared" si="129"/>
        <v/>
      </c>
      <c r="U82" s="4" t="str">
        <f t="shared" si="129"/>
        <v/>
      </c>
      <c r="V82" s="4" t="str">
        <f t="shared" si="129"/>
        <v/>
      </c>
      <c r="W82" s="4" t="str">
        <f t="shared" si="129"/>
        <v/>
      </c>
      <c r="X82" s="4" t="str">
        <f t="shared" si="129"/>
        <v/>
      </c>
      <c r="Y82" s="4" t="str">
        <f t="shared" si="129"/>
        <v/>
      </c>
      <c r="Z82" s="4" t="str">
        <f t="shared" si="129"/>
        <v/>
      </c>
      <c r="AA82" s="4" t="str">
        <f t="shared" si="129"/>
        <v/>
      </c>
      <c r="AB82" s="4" t="str">
        <f t="shared" si="129"/>
        <v/>
      </c>
      <c r="AC82" s="4" t="str">
        <f t="shared" si="129"/>
        <v/>
      </c>
      <c r="AD82" s="4" t="str">
        <f t="shared" si="129"/>
        <v/>
      </c>
      <c r="AE82" s="4" t="str">
        <f t="shared" si="129"/>
        <v/>
      </c>
      <c r="AF82" s="4" t="str">
        <f t="shared" si="129"/>
        <v/>
      </c>
      <c r="AG82" s="4" t="str">
        <f t="shared" si="129"/>
        <v/>
      </c>
      <c r="AH82" s="4" t="str">
        <f t="shared" si="129"/>
        <v/>
      </c>
      <c r="AI82" s="4" t="str">
        <f t="shared" si="129"/>
        <v/>
      </c>
      <c r="AJ82" s="4" t="str">
        <f t="shared" si="129"/>
        <v/>
      </c>
      <c r="AK82" s="31" t="e">
        <f t="shared" si="120"/>
        <v>#VALUE!</v>
      </c>
      <c r="AL82" s="31" t="e">
        <f t="shared" si="115"/>
        <v>#VALUE!</v>
      </c>
      <c r="AM82" s="31" t="e">
        <f t="shared" si="115"/>
        <v>#VALUE!</v>
      </c>
      <c r="AN82" s="31" t="e">
        <f t="shared" si="115"/>
        <v>#VALUE!</v>
      </c>
      <c r="AO82" s="31" t="e">
        <f t="shared" si="115"/>
        <v>#VALUE!</v>
      </c>
      <c r="AP82" s="4">
        <f t="shared" si="125"/>
        <v>13.818108433734938</v>
      </c>
      <c r="AQ82" s="4">
        <f t="shared" si="125"/>
        <v>12.775264705882353</v>
      </c>
      <c r="AR82" s="4">
        <f t="shared" si="125"/>
        <v>13.803687943262412</v>
      </c>
      <c r="AS82" s="4">
        <f t="shared" si="125"/>
        <v>14.128</v>
      </c>
      <c r="AT82" s="4">
        <f t="shared" si="125"/>
        <v>16.579000000000001</v>
      </c>
      <c r="AU82" s="4">
        <f t="shared" si="125"/>
        <v>14.878686868686868</v>
      </c>
      <c r="AV82" s="4">
        <f t="shared" ref="AV82" si="130">IFERROR(AV9/AV58,"")</f>
        <v>14.430593220338983</v>
      </c>
      <c r="AW82" s="18"/>
      <c r="AX82" s="18"/>
      <c r="AY82" s="18"/>
      <c r="AZ82" s="18"/>
      <c r="BA82" s="18"/>
      <c r="BB82" s="4">
        <f t="shared" si="122"/>
        <v>13.463870629370629</v>
      </c>
      <c r="BC82" s="4">
        <f t="shared" si="122"/>
        <v>15.056540697674418</v>
      </c>
      <c r="BD82" s="4">
        <f t="shared" si="122"/>
        <v>14.430593220338983</v>
      </c>
      <c r="BE82" s="4" t="str">
        <f t="shared" si="122"/>
        <v/>
      </c>
      <c r="BF82" s="4">
        <f t="shared" si="122"/>
        <v>14.02627655055225</v>
      </c>
      <c r="BG82" s="122" t="e">
        <f t="shared" si="117"/>
        <v>#VALUE!</v>
      </c>
      <c r="BH82" s="111" t="e">
        <f t="shared" si="117"/>
        <v>#VALUE!</v>
      </c>
      <c r="BI82" s="111" t="e">
        <f t="shared" si="117"/>
        <v>#VALUE!</v>
      </c>
      <c r="BJ82" s="111" t="e">
        <f t="shared" si="117"/>
        <v>#VALUE!</v>
      </c>
      <c r="BK82" s="111" t="e">
        <f t="shared" si="117"/>
        <v>#VALUE!</v>
      </c>
      <c r="BL82" s="111" t="e">
        <f t="shared" si="117"/>
        <v>#VALUE!</v>
      </c>
      <c r="BM82" s="111" t="e">
        <f t="shared" si="117"/>
        <v>#VALUE!</v>
      </c>
      <c r="BN82" s="111" t="e">
        <f t="shared" si="117"/>
        <v>#VALUE!</v>
      </c>
      <c r="BO82" s="111" t="e">
        <f t="shared" si="117"/>
        <v>#VALUE!</v>
      </c>
      <c r="BP82" s="111" t="e">
        <f t="shared" si="117"/>
        <v>#VALUE!</v>
      </c>
      <c r="BQ82" s="111" t="e">
        <f t="shared" si="117"/>
        <v>#VALUE!</v>
      </c>
      <c r="BR82" s="111" t="e">
        <f t="shared" si="117"/>
        <v>#VALUE!</v>
      </c>
      <c r="BS82" s="111">
        <f>IFERROR(BB82/(SUM(O9:INDEX(O9:Q9,IF($B$3&lt;3,$B$3,3)))/SUM(O58:INDEX(O58:Q58,IF($B$3&lt;3,$B$3,3)))),0)</f>
        <v>0</v>
      </c>
      <c r="BT82" s="111">
        <f>IFERROR(BC82/(SUM(R9:INDEX(R9:T9,IF($B$3&lt;7,$B$3-3,3)))/SUM(R58:INDEX(R58:T58,IF($B$3&lt;7,$B$3-3,3)))),0)</f>
        <v>0</v>
      </c>
      <c r="BU82" s="111"/>
      <c r="BV82" s="111"/>
      <c r="BW82" s="111">
        <f t="shared" si="123"/>
        <v>0</v>
      </c>
    </row>
    <row r="83" spans="1:75" x14ac:dyDescent="0.25">
      <c r="A83" s="20" t="str">
        <f t="shared" si="118"/>
        <v>CaseSize_by_rookie_GENLION:7-12mth</v>
      </c>
      <c r="B83" t="s">
        <v>1</v>
      </c>
      <c r="C83" s="4" t="str">
        <f t="shared" ref="C83:AJ83" si="131">IFERROR(C10/C59,"")</f>
        <v/>
      </c>
      <c r="D83" s="4" t="str">
        <f t="shared" si="131"/>
        <v/>
      </c>
      <c r="E83" s="4" t="str">
        <f t="shared" si="131"/>
        <v/>
      </c>
      <c r="F83" s="4" t="str">
        <f t="shared" si="131"/>
        <v/>
      </c>
      <c r="G83" s="4" t="str">
        <f t="shared" si="131"/>
        <v/>
      </c>
      <c r="H83" s="4" t="str">
        <f t="shared" si="131"/>
        <v/>
      </c>
      <c r="I83" s="4" t="str">
        <f t="shared" si="131"/>
        <v/>
      </c>
      <c r="J83" s="4" t="str">
        <f t="shared" si="131"/>
        <v/>
      </c>
      <c r="K83" s="4" t="str">
        <f t="shared" si="131"/>
        <v/>
      </c>
      <c r="L83" s="4" t="str">
        <f t="shared" si="131"/>
        <v/>
      </c>
      <c r="M83" s="4" t="str">
        <f t="shared" si="131"/>
        <v/>
      </c>
      <c r="N83" s="4" t="str">
        <f t="shared" si="131"/>
        <v/>
      </c>
      <c r="O83" s="4" t="str">
        <f t="shared" si="131"/>
        <v/>
      </c>
      <c r="P83" s="4" t="str">
        <f t="shared" si="131"/>
        <v/>
      </c>
      <c r="Q83" s="4" t="str">
        <f t="shared" si="131"/>
        <v/>
      </c>
      <c r="R83" s="4" t="str">
        <f t="shared" si="131"/>
        <v/>
      </c>
      <c r="S83" s="4" t="str">
        <f t="shared" si="131"/>
        <v/>
      </c>
      <c r="T83" s="4" t="str">
        <f t="shared" si="131"/>
        <v/>
      </c>
      <c r="U83" s="4" t="str">
        <f t="shared" si="131"/>
        <v/>
      </c>
      <c r="V83" s="4" t="str">
        <f t="shared" si="131"/>
        <v/>
      </c>
      <c r="W83" s="4" t="str">
        <f t="shared" si="131"/>
        <v/>
      </c>
      <c r="X83" s="4" t="str">
        <f t="shared" si="131"/>
        <v/>
      </c>
      <c r="Y83" s="4" t="str">
        <f t="shared" si="131"/>
        <v/>
      </c>
      <c r="Z83" s="4" t="str">
        <f t="shared" si="131"/>
        <v/>
      </c>
      <c r="AA83" s="4" t="str">
        <f t="shared" si="131"/>
        <v/>
      </c>
      <c r="AB83" s="4" t="str">
        <f t="shared" si="131"/>
        <v/>
      </c>
      <c r="AC83" s="4" t="str">
        <f t="shared" si="131"/>
        <v/>
      </c>
      <c r="AD83" s="4" t="str">
        <f t="shared" si="131"/>
        <v/>
      </c>
      <c r="AE83" s="4" t="str">
        <f t="shared" si="131"/>
        <v/>
      </c>
      <c r="AF83" s="4" t="str">
        <f t="shared" si="131"/>
        <v/>
      </c>
      <c r="AG83" s="4" t="str">
        <f t="shared" si="131"/>
        <v/>
      </c>
      <c r="AH83" s="4" t="str">
        <f t="shared" si="131"/>
        <v/>
      </c>
      <c r="AI83" s="4" t="str">
        <f t="shared" si="131"/>
        <v/>
      </c>
      <c r="AJ83" s="4" t="str">
        <f t="shared" si="131"/>
        <v/>
      </c>
      <c r="AK83" s="31" t="e">
        <f t="shared" si="120"/>
        <v>#VALUE!</v>
      </c>
      <c r="AL83" s="31" t="e">
        <f t="shared" si="115"/>
        <v>#VALUE!</v>
      </c>
      <c r="AM83" s="31" t="e">
        <f t="shared" si="115"/>
        <v>#VALUE!</v>
      </c>
      <c r="AN83" s="31" t="e">
        <f t="shared" si="115"/>
        <v>#VALUE!</v>
      </c>
      <c r="AO83" s="31" t="e">
        <f t="shared" si="115"/>
        <v>#VALUE!</v>
      </c>
      <c r="AP83" s="4">
        <f t="shared" si="125"/>
        <v>12.350317073170732</v>
      </c>
      <c r="AQ83" s="4">
        <f t="shared" si="125"/>
        <v>13.227147727272728</v>
      </c>
      <c r="AR83" s="4">
        <f t="shared" si="125"/>
        <v>14.286464646464646</v>
      </c>
      <c r="AS83" s="4">
        <f t="shared" si="125"/>
        <v>14.338712121212122</v>
      </c>
      <c r="AT83" s="4">
        <f t="shared" si="125"/>
        <v>14.642268041237113</v>
      </c>
      <c r="AU83" s="4">
        <f t="shared" si="125"/>
        <v>13.331633986928104</v>
      </c>
      <c r="AV83" s="4">
        <f t="shared" ref="AV83" si="132">IFERROR(AV10/AV59,"")</f>
        <v>14.265942028985508</v>
      </c>
      <c r="AW83" s="18"/>
      <c r="AX83" s="18"/>
      <c r="AY83" s="18"/>
      <c r="AZ83" s="18"/>
      <c r="BA83" s="18"/>
      <c r="BB83" s="4">
        <f t="shared" si="122"/>
        <v>13.664475675675675</v>
      </c>
      <c r="BC83" s="4">
        <f t="shared" si="122"/>
        <v>14.182913256955811</v>
      </c>
      <c r="BD83" s="4">
        <f t="shared" si="122"/>
        <v>14.265942028985508</v>
      </c>
      <c r="BE83" s="4" t="str">
        <f t="shared" si="122"/>
        <v/>
      </c>
      <c r="BF83" s="4">
        <f t="shared" si="122"/>
        <v>13.971046012269937</v>
      </c>
      <c r="BG83" s="122" t="e">
        <f t="shared" si="117"/>
        <v>#VALUE!</v>
      </c>
      <c r="BH83" s="111" t="e">
        <f t="shared" si="117"/>
        <v>#VALUE!</v>
      </c>
      <c r="BI83" s="111" t="e">
        <f t="shared" si="117"/>
        <v>#VALUE!</v>
      </c>
      <c r="BJ83" s="111" t="e">
        <f t="shared" si="117"/>
        <v>#VALUE!</v>
      </c>
      <c r="BK83" s="111" t="e">
        <f t="shared" si="117"/>
        <v>#VALUE!</v>
      </c>
      <c r="BL83" s="111" t="e">
        <f t="shared" si="117"/>
        <v>#VALUE!</v>
      </c>
      <c r="BM83" s="111" t="e">
        <f t="shared" si="117"/>
        <v>#VALUE!</v>
      </c>
      <c r="BN83" s="111" t="e">
        <f t="shared" si="117"/>
        <v>#VALUE!</v>
      </c>
      <c r="BO83" s="111" t="e">
        <f t="shared" si="117"/>
        <v>#VALUE!</v>
      </c>
      <c r="BP83" s="111" t="e">
        <f t="shared" si="117"/>
        <v>#VALUE!</v>
      </c>
      <c r="BQ83" s="111" t="e">
        <f t="shared" si="117"/>
        <v>#VALUE!</v>
      </c>
      <c r="BR83" s="111" t="e">
        <f t="shared" si="117"/>
        <v>#VALUE!</v>
      </c>
      <c r="BS83" s="111">
        <f>IFERROR(BB83/(SUM(O10:INDEX(O10:Q10,IF($B$3&lt;3,$B$3,3)))/SUM(O59:INDEX(O59:Q59,IF($B$3&lt;3,$B$3,3)))),0)</f>
        <v>0</v>
      </c>
      <c r="BT83" s="111">
        <f>IFERROR(BC83/(SUM(R10:INDEX(R10:T10,IF($B$3&lt;7,$B$3-3,3)))/SUM(R59:INDEX(R59:T59,IF($B$3&lt;7,$B$3-3,3)))),0)</f>
        <v>0</v>
      </c>
      <c r="BU83" s="111"/>
      <c r="BV83" s="111"/>
      <c r="BW83" s="111">
        <f t="shared" si="123"/>
        <v>0</v>
      </c>
    </row>
    <row r="84" spans="1:75" x14ac:dyDescent="0.25">
      <c r="A84" s="20" t="str">
        <f t="shared" si="118"/>
        <v>CaseSize_by_rookie_GENLION:13+mth</v>
      </c>
      <c r="B84" t="s">
        <v>2</v>
      </c>
      <c r="C84" s="4" t="str">
        <f t="shared" ref="C84:AJ84" si="133">IFERROR(C11/C60,"")</f>
        <v/>
      </c>
      <c r="D84" s="4" t="str">
        <f t="shared" si="133"/>
        <v/>
      </c>
      <c r="E84" s="4" t="str">
        <f t="shared" si="133"/>
        <v/>
      </c>
      <c r="F84" s="4" t="str">
        <f t="shared" si="133"/>
        <v/>
      </c>
      <c r="G84" s="4" t="str">
        <f t="shared" si="133"/>
        <v/>
      </c>
      <c r="H84" s="4" t="str">
        <f t="shared" si="133"/>
        <v/>
      </c>
      <c r="I84" s="4" t="str">
        <f t="shared" si="133"/>
        <v/>
      </c>
      <c r="J84" s="4" t="str">
        <f t="shared" si="133"/>
        <v/>
      </c>
      <c r="K84" s="4" t="str">
        <f t="shared" si="133"/>
        <v/>
      </c>
      <c r="L84" s="4" t="str">
        <f t="shared" si="133"/>
        <v/>
      </c>
      <c r="M84" s="4" t="str">
        <f t="shared" si="133"/>
        <v/>
      </c>
      <c r="N84" s="4" t="str">
        <f t="shared" si="133"/>
        <v/>
      </c>
      <c r="O84" s="4" t="str">
        <f t="shared" si="133"/>
        <v/>
      </c>
      <c r="P84" s="4" t="str">
        <f t="shared" si="133"/>
        <v/>
      </c>
      <c r="Q84" s="4" t="str">
        <f t="shared" si="133"/>
        <v/>
      </c>
      <c r="R84" s="4" t="str">
        <f t="shared" si="133"/>
        <v/>
      </c>
      <c r="S84" s="4" t="str">
        <f t="shared" si="133"/>
        <v/>
      </c>
      <c r="T84" s="4" t="str">
        <f t="shared" si="133"/>
        <v/>
      </c>
      <c r="U84" s="4" t="str">
        <f t="shared" si="133"/>
        <v/>
      </c>
      <c r="V84" s="4" t="str">
        <f t="shared" si="133"/>
        <v/>
      </c>
      <c r="W84" s="4" t="str">
        <f t="shared" si="133"/>
        <v/>
      </c>
      <c r="X84" s="4" t="str">
        <f t="shared" si="133"/>
        <v/>
      </c>
      <c r="Y84" s="4" t="str">
        <f t="shared" si="133"/>
        <v/>
      </c>
      <c r="Z84" s="4" t="str">
        <f t="shared" si="133"/>
        <v/>
      </c>
      <c r="AA84" s="4" t="str">
        <f t="shared" si="133"/>
        <v/>
      </c>
      <c r="AB84" s="4" t="str">
        <f t="shared" si="133"/>
        <v/>
      </c>
      <c r="AC84" s="4" t="str">
        <f t="shared" si="133"/>
        <v/>
      </c>
      <c r="AD84" s="4" t="str">
        <f t="shared" si="133"/>
        <v/>
      </c>
      <c r="AE84" s="4" t="str">
        <f t="shared" si="133"/>
        <v/>
      </c>
      <c r="AF84" s="4" t="str">
        <f t="shared" si="133"/>
        <v/>
      </c>
      <c r="AG84" s="4" t="str">
        <f t="shared" si="133"/>
        <v/>
      </c>
      <c r="AH84" s="4" t="str">
        <f t="shared" si="133"/>
        <v/>
      </c>
      <c r="AI84" s="4" t="str">
        <f t="shared" si="133"/>
        <v/>
      </c>
      <c r="AJ84" s="4" t="str">
        <f t="shared" si="133"/>
        <v/>
      </c>
      <c r="AK84" s="31" t="e">
        <f t="shared" si="120"/>
        <v>#VALUE!</v>
      </c>
      <c r="AL84" s="31" t="e">
        <f t="shared" si="115"/>
        <v>#VALUE!</v>
      </c>
      <c r="AM84" s="31" t="e">
        <f t="shared" si="115"/>
        <v>#VALUE!</v>
      </c>
      <c r="AN84" s="31" t="e">
        <f t="shared" si="115"/>
        <v>#VALUE!</v>
      </c>
      <c r="AO84" s="31" t="e">
        <f t="shared" si="115"/>
        <v>#VALUE!</v>
      </c>
      <c r="AP84" s="4">
        <f t="shared" si="125"/>
        <v>18.74718881118881</v>
      </c>
      <c r="AQ84" s="4">
        <f t="shared" si="125"/>
        <v>17.77099043062201</v>
      </c>
      <c r="AR84" s="4">
        <f t="shared" si="125"/>
        <v>18.805608465608465</v>
      </c>
      <c r="AS84" s="4">
        <f t="shared" si="125"/>
        <v>16.3995</v>
      </c>
      <c r="AT84" s="4">
        <f t="shared" si="125"/>
        <v>17.957478260869568</v>
      </c>
      <c r="AU84" s="4">
        <f t="shared" si="125"/>
        <v>18.829082568807337</v>
      </c>
      <c r="AV84" s="4">
        <f t="shared" ref="AV84" si="134">IFERROR(AV11/AV60,"")</f>
        <v>22.20248447204969</v>
      </c>
      <c r="AW84" s="18"/>
      <c r="AX84" s="18"/>
      <c r="AY84" s="18"/>
      <c r="AZ84" s="18"/>
      <c r="BA84" s="18"/>
      <c r="BB84" s="4">
        <f t="shared" si="122"/>
        <v>18.390471349353053</v>
      </c>
      <c r="BC84" s="4">
        <f t="shared" si="122"/>
        <v>17.619258241758242</v>
      </c>
      <c r="BD84" s="4">
        <f t="shared" si="122"/>
        <v>22.20248447204969</v>
      </c>
      <c r="BE84" s="4" t="str">
        <f t="shared" si="122"/>
        <v/>
      </c>
      <c r="BF84" s="4">
        <f t="shared" si="122"/>
        <v>18.427038461538462</v>
      </c>
      <c r="BG84" s="122" t="e">
        <f t="shared" si="117"/>
        <v>#VALUE!</v>
      </c>
      <c r="BH84" s="111" t="e">
        <f t="shared" si="117"/>
        <v>#VALUE!</v>
      </c>
      <c r="BI84" s="111" t="e">
        <f t="shared" si="117"/>
        <v>#VALUE!</v>
      </c>
      <c r="BJ84" s="111" t="e">
        <f t="shared" si="117"/>
        <v>#VALUE!</v>
      </c>
      <c r="BK84" s="111" t="e">
        <f t="shared" si="117"/>
        <v>#VALUE!</v>
      </c>
      <c r="BL84" s="111" t="e">
        <f t="shared" si="117"/>
        <v>#VALUE!</v>
      </c>
      <c r="BM84" s="111" t="e">
        <f t="shared" si="117"/>
        <v>#VALUE!</v>
      </c>
      <c r="BN84" s="111" t="e">
        <f t="shared" si="117"/>
        <v>#VALUE!</v>
      </c>
      <c r="BO84" s="111" t="e">
        <f t="shared" si="117"/>
        <v>#VALUE!</v>
      </c>
      <c r="BP84" s="111" t="e">
        <f t="shared" si="117"/>
        <v>#VALUE!</v>
      </c>
      <c r="BQ84" s="111" t="e">
        <f t="shared" si="117"/>
        <v>#VALUE!</v>
      </c>
      <c r="BR84" s="111" t="e">
        <f t="shared" si="117"/>
        <v>#VALUE!</v>
      </c>
      <c r="BS84" s="111">
        <f>IFERROR(BB84/(SUM(O11:INDEX(O11:Q11,IF($B$3&lt;3,$B$3,3)))/SUM(O60:INDEX(O60:Q60,IF($B$3&lt;3,$B$3,3)))),0)</f>
        <v>0</v>
      </c>
      <c r="BT84" s="111">
        <f>IFERROR(BC84/(SUM(R11:INDEX(R11:T11,IF($B$3&lt;7,$B$3-3,3)))/SUM(R60:INDEX(R60:T60,IF($B$3&lt;7,$B$3-3,3)))),0)</f>
        <v>0</v>
      </c>
      <c r="BU84" s="111"/>
      <c r="BV84" s="111"/>
      <c r="BW84" s="111">
        <f t="shared" si="123"/>
        <v>0</v>
      </c>
    </row>
    <row r="85" spans="1:75" x14ac:dyDescent="0.25">
      <c r="A85" s="20" t="str">
        <f t="shared" si="118"/>
        <v>CaseSize_by_rookie_GENLION:SA</v>
      </c>
      <c r="B85" s="135" t="s">
        <v>136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31"/>
      <c r="AL85" s="31"/>
      <c r="AM85" s="31"/>
      <c r="AN85" s="31"/>
      <c r="AO85" s="31"/>
      <c r="AP85" s="4"/>
      <c r="AQ85" s="4">
        <f>IFERROR(AQ12/AQ61,"")</f>
        <v>13.266456790123458</v>
      </c>
      <c r="AR85" s="4">
        <f>IFERROR(AR12/AR61,"")</f>
        <v>12.5153125</v>
      </c>
      <c r="AS85" s="4">
        <f>IFERROR(AS12/AS61,"")</f>
        <v>13.70874213836478</v>
      </c>
      <c r="AT85" s="4">
        <f>IFERROR(AT12/AT61,"")</f>
        <v>15.695263157894736</v>
      </c>
      <c r="AU85" s="4">
        <f>IFERROR(AU12/AU61,"")</f>
        <v>13.931914893617021</v>
      </c>
      <c r="AV85" s="4">
        <f t="shared" ref="AV85" si="135">IFERROR(AV12/AV61,"")</f>
        <v>15.357755102040816</v>
      </c>
      <c r="AW85" s="18"/>
      <c r="AX85" s="18"/>
      <c r="AY85" s="18"/>
      <c r="AZ85" s="18"/>
      <c r="BA85" s="18"/>
      <c r="BB85" s="4">
        <f>IFERROR(BB12/BB61,"")</f>
        <v>12.934917241379312</v>
      </c>
      <c r="BC85" s="4">
        <f>IFERROR(BC12/BC61,"")</f>
        <v>14.179163498098859</v>
      </c>
      <c r="BD85" s="4">
        <f>IFERROR(BD12/BD61,"")</f>
        <v>15.357755102040816</v>
      </c>
      <c r="BE85" s="4"/>
      <c r="BF85" s="4">
        <f>IFERROR(BF12/BF61,"")</f>
        <v>13.910750547045952</v>
      </c>
      <c r="BG85" s="122"/>
      <c r="BH85" s="111"/>
      <c r="BI85" s="111"/>
      <c r="BJ85" s="111"/>
      <c r="BK85" s="111"/>
      <c r="BL85" s="111"/>
      <c r="BM85" s="111"/>
      <c r="BN85" s="111"/>
      <c r="BO85" s="111"/>
      <c r="BP85" s="111"/>
      <c r="BQ85" s="111"/>
      <c r="BR85" s="111"/>
      <c r="BS85" s="111"/>
      <c r="BT85" s="111"/>
      <c r="BU85" s="111"/>
      <c r="BV85" s="111"/>
      <c r="BW85" s="111"/>
    </row>
    <row r="86" spans="1:75" s="19" customFormat="1" x14ac:dyDescent="0.25">
      <c r="A86" s="20" t="str">
        <f t="shared" si="118"/>
        <v>CaseSize_by_rookie_GENLION:Total</v>
      </c>
      <c r="B86" s="1" t="s">
        <v>3</v>
      </c>
      <c r="C86" s="5" t="str">
        <f t="shared" ref="C86:AJ86" si="136">IFERROR(C13/C62,"")</f>
        <v/>
      </c>
      <c r="D86" s="5" t="str">
        <f t="shared" si="136"/>
        <v/>
      </c>
      <c r="E86" s="5" t="str">
        <f t="shared" si="136"/>
        <v/>
      </c>
      <c r="F86" s="5" t="str">
        <f t="shared" si="136"/>
        <v/>
      </c>
      <c r="G86" s="5" t="str">
        <f t="shared" si="136"/>
        <v/>
      </c>
      <c r="H86" s="5" t="str">
        <f t="shared" si="136"/>
        <v/>
      </c>
      <c r="I86" s="5" t="str">
        <f t="shared" si="136"/>
        <v/>
      </c>
      <c r="J86" s="5" t="str">
        <f t="shared" si="136"/>
        <v/>
      </c>
      <c r="K86" s="5" t="str">
        <f t="shared" si="136"/>
        <v/>
      </c>
      <c r="L86" s="5" t="str">
        <f t="shared" si="136"/>
        <v/>
      </c>
      <c r="M86" s="5" t="str">
        <f t="shared" si="136"/>
        <v/>
      </c>
      <c r="N86" s="5" t="str">
        <f t="shared" si="136"/>
        <v/>
      </c>
      <c r="O86" s="5" t="str">
        <f t="shared" si="136"/>
        <v/>
      </c>
      <c r="P86" s="5" t="str">
        <f t="shared" si="136"/>
        <v/>
      </c>
      <c r="Q86" s="5" t="str">
        <f t="shared" si="136"/>
        <v/>
      </c>
      <c r="R86" s="5" t="str">
        <f t="shared" si="136"/>
        <v/>
      </c>
      <c r="S86" s="5" t="str">
        <f t="shared" si="136"/>
        <v/>
      </c>
      <c r="T86" s="5" t="str">
        <f t="shared" si="136"/>
        <v/>
      </c>
      <c r="U86" s="5" t="str">
        <f t="shared" si="136"/>
        <v/>
      </c>
      <c r="V86" s="5" t="str">
        <f t="shared" si="136"/>
        <v/>
      </c>
      <c r="W86" s="5" t="str">
        <f t="shared" si="136"/>
        <v/>
      </c>
      <c r="X86" s="5" t="str">
        <f t="shared" si="136"/>
        <v/>
      </c>
      <c r="Y86" s="5" t="str">
        <f t="shared" si="136"/>
        <v/>
      </c>
      <c r="Z86" s="5" t="str">
        <f t="shared" si="136"/>
        <v/>
      </c>
      <c r="AA86" s="5" t="str">
        <f t="shared" si="136"/>
        <v/>
      </c>
      <c r="AB86" s="5" t="str">
        <f t="shared" si="136"/>
        <v/>
      </c>
      <c r="AC86" s="5" t="str">
        <f t="shared" si="136"/>
        <v/>
      </c>
      <c r="AD86" s="5" t="str">
        <f t="shared" si="136"/>
        <v/>
      </c>
      <c r="AE86" s="5" t="str">
        <f t="shared" si="136"/>
        <v/>
      </c>
      <c r="AF86" s="5" t="str">
        <f t="shared" si="136"/>
        <v/>
      </c>
      <c r="AG86" s="5" t="str">
        <f t="shared" si="136"/>
        <v/>
      </c>
      <c r="AH86" s="5" t="str">
        <f t="shared" si="136"/>
        <v/>
      </c>
      <c r="AI86" s="5" t="str">
        <f t="shared" si="136"/>
        <v/>
      </c>
      <c r="AJ86" s="5" t="str">
        <f t="shared" si="136"/>
        <v/>
      </c>
      <c r="AK86" s="32" t="e">
        <f t="shared" si="120"/>
        <v>#VALUE!</v>
      </c>
      <c r="AL86" s="32" t="e">
        <f t="shared" si="115"/>
        <v>#VALUE!</v>
      </c>
      <c r="AM86" s="32" t="e">
        <f t="shared" si="115"/>
        <v>#VALUE!</v>
      </c>
      <c r="AN86" s="31" t="e">
        <f t="shared" si="115"/>
        <v>#VALUE!</v>
      </c>
      <c r="AO86" s="31" t="e">
        <f t="shared" si="115"/>
        <v>#VALUE!</v>
      </c>
      <c r="AP86" s="5">
        <f t="shared" ref="AP86:AV86" si="137">IFERROR(AP13/AP62,"")</f>
        <v>14.10147587719298</v>
      </c>
      <c r="AQ86" s="5">
        <f t="shared" si="137"/>
        <v>14.230455516014249</v>
      </c>
      <c r="AR86" s="5">
        <f t="shared" si="137"/>
        <v>14.216620525059668</v>
      </c>
      <c r="AS86" s="5">
        <f t="shared" si="137"/>
        <v>14.26272</v>
      </c>
      <c r="AT86" s="5">
        <f t="shared" si="137"/>
        <v>14.704922973878098</v>
      </c>
      <c r="AU86" s="5">
        <f t="shared" si="137"/>
        <v>14.408172722485519</v>
      </c>
      <c r="AV86" s="184">
        <f t="shared" si="137"/>
        <v>14.86386105544422</v>
      </c>
      <c r="AW86" s="17"/>
      <c r="AX86" s="17"/>
      <c r="AY86" s="17"/>
      <c r="AZ86" s="17"/>
      <c r="BA86" s="17"/>
      <c r="BB86" s="5">
        <f t="shared" ref="BB86:BF86" si="138">IFERROR(BB13/BB62,"")</f>
        <v>14.197224841341798</v>
      </c>
      <c r="BC86" s="5">
        <f t="shared" si="138"/>
        <v>14.440510727169166</v>
      </c>
      <c r="BD86" s="5">
        <f t="shared" si="138"/>
        <v>14.86386105544422</v>
      </c>
      <c r="BE86" s="5" t="str">
        <f t="shared" si="138"/>
        <v/>
      </c>
      <c r="BF86" s="5">
        <f t="shared" si="138"/>
        <v>14.401174481030781</v>
      </c>
      <c r="BG86" s="123" t="e">
        <f t="shared" si="117"/>
        <v>#VALUE!</v>
      </c>
      <c r="BH86" s="118" t="e">
        <f t="shared" si="117"/>
        <v>#VALUE!</v>
      </c>
      <c r="BI86" s="118" t="e">
        <f t="shared" si="117"/>
        <v>#VALUE!</v>
      </c>
      <c r="BJ86" s="118" t="e">
        <f t="shared" si="117"/>
        <v>#VALUE!</v>
      </c>
      <c r="BK86" s="118" t="e">
        <f t="shared" si="117"/>
        <v>#VALUE!</v>
      </c>
      <c r="BL86" s="118" t="e">
        <f t="shared" si="117"/>
        <v>#VALUE!</v>
      </c>
      <c r="BM86" s="118" t="e">
        <f t="shared" si="117"/>
        <v>#VALUE!</v>
      </c>
      <c r="BN86" s="118" t="e">
        <f t="shared" si="117"/>
        <v>#VALUE!</v>
      </c>
      <c r="BO86" s="118" t="e">
        <f t="shared" si="117"/>
        <v>#VALUE!</v>
      </c>
      <c r="BP86" s="118" t="e">
        <f t="shared" si="117"/>
        <v>#VALUE!</v>
      </c>
      <c r="BQ86" s="118" t="e">
        <f t="shared" si="117"/>
        <v>#VALUE!</v>
      </c>
      <c r="BR86" s="118" t="e">
        <f t="shared" si="117"/>
        <v>#VALUE!</v>
      </c>
      <c r="BS86" s="118">
        <f>IFERROR(BB86/(SUM(O13:INDEX(O13:Q13,IF($B$3&lt;3,$B$3,3)))/SUM(O62:INDEX(O62:Q62,IF($B$3&lt;3,$B$3,3)))),0)</f>
        <v>0</v>
      </c>
      <c r="BT86" s="118">
        <f>IFERROR(BC86/(SUM(R13:INDEX(R13:T13,IF($B$3&lt;7,$B$3-3,3)))/SUM(R62:INDEX(R62:T62,IF($B$3&lt;7,$B$3-3,3)))),0)</f>
        <v>0</v>
      </c>
      <c r="BU86" s="118"/>
      <c r="BV86" s="118"/>
      <c r="BW86" s="118">
        <f t="shared" si="123"/>
        <v>0</v>
      </c>
    </row>
    <row r="87" spans="1:75" x14ac:dyDescent="0.25"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24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</row>
    <row r="88" spans="1:75" x14ac:dyDescent="0.25"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24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</row>
    <row r="89" spans="1:75" x14ac:dyDescent="0.25">
      <c r="B89" s="2" t="s">
        <v>15</v>
      </c>
      <c r="C89" s="3">
        <f t="shared" ref="C89:Z89" si="139">C29</f>
        <v>42005</v>
      </c>
      <c r="D89" s="3">
        <f t="shared" si="139"/>
        <v>42036</v>
      </c>
      <c r="E89" s="3">
        <f t="shared" si="139"/>
        <v>42064</v>
      </c>
      <c r="F89" s="3">
        <f t="shared" si="139"/>
        <v>42095</v>
      </c>
      <c r="G89" s="3">
        <f t="shared" si="139"/>
        <v>42125</v>
      </c>
      <c r="H89" s="3">
        <f t="shared" si="139"/>
        <v>42156</v>
      </c>
      <c r="I89" s="3">
        <f t="shared" si="139"/>
        <v>42186</v>
      </c>
      <c r="J89" s="3">
        <f t="shared" si="139"/>
        <v>42217</v>
      </c>
      <c r="K89" s="3">
        <f t="shared" si="139"/>
        <v>42248</v>
      </c>
      <c r="L89" s="3">
        <f t="shared" si="139"/>
        <v>42278</v>
      </c>
      <c r="M89" s="3">
        <f t="shared" si="139"/>
        <v>42309</v>
      </c>
      <c r="N89" s="3">
        <f t="shared" si="139"/>
        <v>42339</v>
      </c>
      <c r="O89" s="3">
        <f t="shared" si="139"/>
        <v>42370</v>
      </c>
      <c r="P89" s="3">
        <f t="shared" si="139"/>
        <v>42401</v>
      </c>
      <c r="Q89" s="3">
        <f t="shared" si="139"/>
        <v>42430</v>
      </c>
      <c r="R89" s="3">
        <f t="shared" si="139"/>
        <v>42461</v>
      </c>
      <c r="S89" s="3">
        <f t="shared" si="139"/>
        <v>42491</v>
      </c>
      <c r="T89" s="3">
        <f t="shared" si="139"/>
        <v>42522</v>
      </c>
      <c r="U89" s="3">
        <f t="shared" si="139"/>
        <v>42552</v>
      </c>
      <c r="V89" s="3">
        <f t="shared" si="139"/>
        <v>42583</v>
      </c>
      <c r="W89" s="3">
        <f t="shared" si="139"/>
        <v>42614</v>
      </c>
      <c r="X89" s="3">
        <f t="shared" si="139"/>
        <v>42644</v>
      </c>
      <c r="Y89" s="3">
        <f t="shared" si="139"/>
        <v>42675</v>
      </c>
      <c r="Z89" s="3">
        <f t="shared" si="139"/>
        <v>42705</v>
      </c>
      <c r="AA89" s="29" t="str">
        <f>AA77</f>
        <v>YTD 7/16</v>
      </c>
      <c r="AB89" s="29" t="s">
        <v>19</v>
      </c>
      <c r="AC89" s="29" t="s">
        <v>20</v>
      </c>
      <c r="AD89" s="29" t="s">
        <v>21</v>
      </c>
      <c r="AE89" s="29" t="s">
        <v>22</v>
      </c>
      <c r="AF89" s="26" t="str">
        <f t="shared" ref="AF89:AJ89" si="140">AF65</f>
        <v>YTD 7/15</v>
      </c>
      <c r="AG89" s="26" t="str">
        <f t="shared" si="140"/>
        <v>Q1 '15</v>
      </c>
      <c r="AH89" s="26" t="str">
        <f t="shared" si="140"/>
        <v>Q2 '15</v>
      </c>
      <c r="AI89" s="26" t="str">
        <f t="shared" si="140"/>
        <v>Q3 '15</v>
      </c>
      <c r="AJ89" s="26" t="str">
        <f t="shared" si="140"/>
        <v>Q4 '15</v>
      </c>
      <c r="AK89" s="30" t="s">
        <v>27</v>
      </c>
      <c r="AL89" s="30" t="s">
        <v>29</v>
      </c>
      <c r="AM89" s="30" t="s">
        <v>30</v>
      </c>
      <c r="AN89" s="30" t="s">
        <v>31</v>
      </c>
      <c r="AO89" s="30" t="s">
        <v>32</v>
      </c>
      <c r="AP89" s="108">
        <v>42736</v>
      </c>
      <c r="AQ89" s="108">
        <v>42767</v>
      </c>
      <c r="AR89" s="108">
        <v>42795</v>
      </c>
      <c r="AS89" s="108">
        <v>42826</v>
      </c>
      <c r="AT89" s="108">
        <v>42856</v>
      </c>
      <c r="AU89" s="108">
        <v>42887</v>
      </c>
      <c r="AV89" s="108">
        <v>42917</v>
      </c>
      <c r="AW89" s="108">
        <v>42948</v>
      </c>
      <c r="AX89" s="108">
        <v>42979</v>
      </c>
      <c r="AY89" s="108">
        <v>43009</v>
      </c>
      <c r="AZ89" s="108">
        <v>43040</v>
      </c>
      <c r="BA89" s="108">
        <v>43070</v>
      </c>
      <c r="BB89" s="29" t="s">
        <v>123</v>
      </c>
      <c r="BC89" s="29" t="s">
        <v>124</v>
      </c>
      <c r="BD89" s="29" t="s">
        <v>125</v>
      </c>
      <c r="BE89" s="29" t="s">
        <v>126</v>
      </c>
      <c r="BF89" s="29" t="str">
        <f>$BF$4</f>
        <v>YTD 7/17</v>
      </c>
      <c r="BG89" s="121">
        <v>42736</v>
      </c>
      <c r="BH89" s="108">
        <v>42767</v>
      </c>
      <c r="BI89" s="108">
        <v>42795</v>
      </c>
      <c r="BJ89" s="108">
        <v>42826</v>
      </c>
      <c r="BK89" s="108">
        <v>42856</v>
      </c>
      <c r="BL89" s="108">
        <v>42887</v>
      </c>
      <c r="BM89" s="108">
        <v>42917</v>
      </c>
      <c r="BN89" s="108">
        <v>42948</v>
      </c>
      <c r="BO89" s="108">
        <v>42979</v>
      </c>
      <c r="BP89" s="108">
        <v>43009</v>
      </c>
      <c r="BQ89" s="108">
        <v>43040</v>
      </c>
      <c r="BR89" s="108">
        <v>43070</v>
      </c>
      <c r="BS89" s="29" t="s">
        <v>127</v>
      </c>
      <c r="BT89" s="29" t="s">
        <v>128</v>
      </c>
      <c r="BU89" s="29" t="s">
        <v>96</v>
      </c>
      <c r="BV89" s="29" t="s">
        <v>129</v>
      </c>
      <c r="BW89" s="112" t="s">
        <v>130</v>
      </c>
    </row>
    <row r="90" spans="1:75" x14ac:dyDescent="0.25">
      <c r="B90" t="s">
        <v>16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31" t="e">
        <f>AA90/AF90-1</f>
        <v>#DIV/0!</v>
      </c>
      <c r="AL90" s="31" t="e">
        <f t="shared" ref="AL90:AN92" si="141">AB90/AG90-1</f>
        <v>#DIV/0!</v>
      </c>
      <c r="AM90" s="31" t="e">
        <f t="shared" si="141"/>
        <v>#DIV/0!</v>
      </c>
      <c r="AN90" s="31" t="e">
        <f t="shared" si="141"/>
        <v>#DIV/0!</v>
      </c>
      <c r="AO90" s="31" t="e">
        <f>AE90/SUM(L90:INDEX(L90:N90,MOD($B$3,3)))-1</f>
        <v>#DIV/0!</v>
      </c>
      <c r="AP90" s="18">
        <f>[16]Recruit!$K$37</f>
        <v>39</v>
      </c>
      <c r="AQ90" s="18">
        <f>[17]Recruit!$K$37</f>
        <v>74</v>
      </c>
      <c r="AR90" s="18">
        <f>[18]Recruit!$K$37</f>
        <v>38</v>
      </c>
      <c r="AS90" s="18">
        <f>[19]Recruit!$K$37</f>
        <v>35</v>
      </c>
      <c r="AT90" s="18">
        <f>[20]Recruit!$K$37</f>
        <v>36</v>
      </c>
      <c r="AU90" s="18">
        <f>[21]Recruit!$K$37</f>
        <v>35</v>
      </c>
      <c r="AV90" s="18">
        <f>[22]Recruit!$K$37</f>
        <v>32</v>
      </c>
      <c r="AW90" s="18"/>
      <c r="AX90" s="18"/>
      <c r="AY90" s="18"/>
      <c r="AZ90" s="18"/>
      <c r="BA90" s="18"/>
      <c r="BB90" s="110">
        <f>SUM(AP90:INDEX(AP90:AR90,IF($B$3&lt;3,$B$3,3)))</f>
        <v>151</v>
      </c>
      <c r="BC90" s="110">
        <f>SUM(AS90:INDEX(AS90:AU90,IF(AND($B$3&gt;3,B89&lt;7),$B$3-3,0)))</f>
        <v>106</v>
      </c>
      <c r="BD90" s="110">
        <f>SUM(AV90:INDEX(AV90:AX90,IF(AND($B$3&gt;6,$B$3&lt;10),$B$3-6,0)))</f>
        <v>32</v>
      </c>
      <c r="BE90" s="110">
        <f>SUM(AY90:INDEX(AY90:BA90,IF($B$3&gt;9,$B$3-9,0)))</f>
        <v>0</v>
      </c>
      <c r="BF90" s="110">
        <f>SUM($AP90:INDEX(AP90:BA90,$B$3))</f>
        <v>289</v>
      </c>
      <c r="BG90" s="122" t="e">
        <f t="shared" ref="BG90:BR92" si="142">AP90/O90</f>
        <v>#DIV/0!</v>
      </c>
      <c r="BH90" s="111" t="e">
        <f t="shared" si="142"/>
        <v>#DIV/0!</v>
      </c>
      <c r="BI90" s="111" t="e">
        <f t="shared" si="142"/>
        <v>#DIV/0!</v>
      </c>
      <c r="BJ90" s="111" t="e">
        <f t="shared" si="142"/>
        <v>#DIV/0!</v>
      </c>
      <c r="BK90" s="111" t="e">
        <f t="shared" si="142"/>
        <v>#DIV/0!</v>
      </c>
      <c r="BL90" s="111" t="e">
        <f t="shared" si="142"/>
        <v>#DIV/0!</v>
      </c>
      <c r="BM90" s="111" t="e">
        <f t="shared" si="142"/>
        <v>#DIV/0!</v>
      </c>
      <c r="BN90" s="111" t="e">
        <f t="shared" si="142"/>
        <v>#DIV/0!</v>
      </c>
      <c r="BO90" s="111" t="e">
        <f t="shared" si="142"/>
        <v>#DIV/0!</v>
      </c>
      <c r="BP90" s="111" t="e">
        <f t="shared" si="142"/>
        <v>#DIV/0!</v>
      </c>
      <c r="BQ90" s="111" t="e">
        <f t="shared" si="142"/>
        <v>#DIV/0!</v>
      </c>
      <c r="BR90" s="111" t="e">
        <f t="shared" si="142"/>
        <v>#DIV/0!</v>
      </c>
      <c r="BS90" s="111" t="e">
        <f>BB90/SUM(O90:INDEX(O90:Q90,IF($B$3&lt;3,$B$3,3)))</f>
        <v>#DIV/0!</v>
      </c>
      <c r="BT90" s="111" t="e">
        <f>BC90/SUM(R90:INDEX(R90:T90,$C$3))</f>
        <v>#DIV/0!</v>
      </c>
      <c r="BU90" s="111" t="e">
        <f t="shared" ref="BU90:BV92" si="143">BD90/AD90</f>
        <v>#DIV/0!</v>
      </c>
      <c r="BV90" s="111" t="e">
        <f t="shared" si="143"/>
        <v>#DIV/0!</v>
      </c>
      <c r="BW90" s="111" t="e">
        <f t="shared" ref="BW90:BW92" si="144">BF90/AA90</f>
        <v>#DIV/0!</v>
      </c>
    </row>
    <row r="91" spans="1:75" x14ac:dyDescent="0.25">
      <c r="B91" t="s">
        <v>17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31" t="e">
        <f t="shared" ref="AK91:AK92" si="145">AA91/AF91-1</f>
        <v>#DIV/0!</v>
      </c>
      <c r="AL91" s="31" t="e">
        <f t="shared" si="141"/>
        <v>#DIV/0!</v>
      </c>
      <c r="AM91" s="31" t="e">
        <f t="shared" si="141"/>
        <v>#DIV/0!</v>
      </c>
      <c r="AN91" s="31" t="e">
        <f t="shared" si="141"/>
        <v>#DIV/0!</v>
      </c>
      <c r="AO91" s="31" t="e">
        <f>AE91/SUM(L91:INDEX(L91:N91,MOD($B$3,3)))-1</f>
        <v>#DIV/0!</v>
      </c>
      <c r="AP91" s="18">
        <f>[16]Recruit!$J$37</f>
        <v>281</v>
      </c>
      <c r="AQ91" s="18">
        <f>[17]Recruit!$J$37</f>
        <v>597</v>
      </c>
      <c r="AR91" s="18">
        <f>[18]Recruit!$J$37</f>
        <v>823</v>
      </c>
      <c r="AS91" s="18">
        <f>[19]Recruit!$J$37</f>
        <v>633</v>
      </c>
      <c r="AT91" s="18">
        <f>[20]Recruit!$J$37</f>
        <v>565</v>
      </c>
      <c r="AU91" s="18">
        <f>[21]Recruit!$J$37</f>
        <v>1292</v>
      </c>
      <c r="AV91" s="18">
        <f>[22]Recruit!$J$37</f>
        <v>794</v>
      </c>
      <c r="AW91" s="18"/>
      <c r="AX91" s="18"/>
      <c r="AY91" s="18"/>
      <c r="AZ91" s="18"/>
      <c r="BA91" s="18"/>
      <c r="BB91" s="110">
        <f>SUM(AP91:INDEX(AP91:AR91,IF($B$3&lt;3,$B$3,3)))</f>
        <v>1701</v>
      </c>
      <c r="BC91" s="110">
        <f>SUM(AS91:INDEX(AS91:AU91,IF(AND($B$3&gt;3,B89&lt;7),$B$3-3,0)))</f>
        <v>2490</v>
      </c>
      <c r="BD91" s="110">
        <f>SUM(AV91:INDEX(AV91:AX91,IF(AND($B$3&gt;6,$B$3&lt;10),$B$3-6,0)))</f>
        <v>794</v>
      </c>
      <c r="BE91" s="110">
        <f>SUM(AY91:INDEX(AY91:BA91,IF($B$3&gt;9,$B$3-9,0)))</f>
        <v>0</v>
      </c>
      <c r="BF91" s="110">
        <f>SUM($AP91:INDEX(AP91:BA91,$B$3))</f>
        <v>4985</v>
      </c>
      <c r="BG91" s="122" t="e">
        <f t="shared" si="142"/>
        <v>#DIV/0!</v>
      </c>
      <c r="BH91" s="111" t="e">
        <f t="shared" si="142"/>
        <v>#DIV/0!</v>
      </c>
      <c r="BI91" s="111" t="e">
        <f t="shared" si="142"/>
        <v>#DIV/0!</v>
      </c>
      <c r="BJ91" s="111" t="e">
        <f t="shared" si="142"/>
        <v>#DIV/0!</v>
      </c>
      <c r="BK91" s="111" t="e">
        <f t="shared" si="142"/>
        <v>#DIV/0!</v>
      </c>
      <c r="BL91" s="111" t="e">
        <f t="shared" si="142"/>
        <v>#DIV/0!</v>
      </c>
      <c r="BM91" s="111" t="e">
        <f t="shared" si="142"/>
        <v>#DIV/0!</v>
      </c>
      <c r="BN91" s="111" t="e">
        <f t="shared" si="142"/>
        <v>#DIV/0!</v>
      </c>
      <c r="BO91" s="111" t="e">
        <f t="shared" si="142"/>
        <v>#DIV/0!</v>
      </c>
      <c r="BP91" s="111" t="e">
        <f t="shared" si="142"/>
        <v>#DIV/0!</v>
      </c>
      <c r="BQ91" s="111" t="e">
        <f t="shared" si="142"/>
        <v>#DIV/0!</v>
      </c>
      <c r="BR91" s="111" t="e">
        <f t="shared" si="142"/>
        <v>#DIV/0!</v>
      </c>
      <c r="BS91" s="111" t="e">
        <f>BB91/SUM(O91:INDEX(O91:Q91,IF($B$3&lt;3,$B$3,3)))</f>
        <v>#DIV/0!</v>
      </c>
      <c r="BT91" s="111" t="e">
        <f>BC91/SUM(R91:INDEX(R91:T91,$C$3))</f>
        <v>#DIV/0!</v>
      </c>
      <c r="BU91" s="111" t="e">
        <f t="shared" si="143"/>
        <v>#DIV/0!</v>
      </c>
      <c r="BV91" s="111" t="e">
        <f t="shared" si="143"/>
        <v>#DIV/0!</v>
      </c>
      <c r="BW91" s="111" t="e">
        <f t="shared" si="144"/>
        <v>#DIV/0!</v>
      </c>
    </row>
    <row r="92" spans="1:75" x14ac:dyDescent="0.25">
      <c r="C92" s="7">
        <f>SUM(C90:C91)</f>
        <v>0</v>
      </c>
      <c r="D92" s="7">
        <f t="shared" ref="D92:Z92" si="146">SUM(D90:D91)</f>
        <v>0</v>
      </c>
      <c r="E92" s="7">
        <f t="shared" si="146"/>
        <v>0</v>
      </c>
      <c r="F92" s="7">
        <f t="shared" si="146"/>
        <v>0</v>
      </c>
      <c r="G92" s="7">
        <f t="shared" si="146"/>
        <v>0</v>
      </c>
      <c r="H92" s="7">
        <f t="shared" si="146"/>
        <v>0</v>
      </c>
      <c r="I92" s="7">
        <f t="shared" si="146"/>
        <v>0</v>
      </c>
      <c r="J92" s="7">
        <f t="shared" si="146"/>
        <v>0</v>
      </c>
      <c r="K92" s="7">
        <f t="shared" si="146"/>
        <v>0</v>
      </c>
      <c r="L92" s="7">
        <f t="shared" si="146"/>
        <v>0</v>
      </c>
      <c r="M92" s="7">
        <f t="shared" si="146"/>
        <v>0</v>
      </c>
      <c r="N92" s="7">
        <f t="shared" si="146"/>
        <v>0</v>
      </c>
      <c r="O92" s="7">
        <f t="shared" si="146"/>
        <v>0</v>
      </c>
      <c r="P92" s="7">
        <f t="shared" si="146"/>
        <v>0</v>
      </c>
      <c r="Q92" s="7">
        <f t="shared" si="146"/>
        <v>0</v>
      </c>
      <c r="R92" s="7">
        <f t="shared" si="146"/>
        <v>0</v>
      </c>
      <c r="S92" s="7">
        <f t="shared" si="146"/>
        <v>0</v>
      </c>
      <c r="T92" s="7">
        <f t="shared" si="146"/>
        <v>0</v>
      </c>
      <c r="U92" s="7">
        <f t="shared" si="146"/>
        <v>0</v>
      </c>
      <c r="V92" s="7">
        <f t="shared" si="146"/>
        <v>0</v>
      </c>
      <c r="W92" s="7">
        <f t="shared" si="146"/>
        <v>0</v>
      </c>
      <c r="X92" s="7">
        <f t="shared" si="146"/>
        <v>0</v>
      </c>
      <c r="Y92" s="7">
        <f t="shared" si="146"/>
        <v>0</v>
      </c>
      <c r="Z92" s="7">
        <f t="shared" si="146"/>
        <v>0</v>
      </c>
      <c r="AA92" s="7">
        <f>SUM(O92:INDEX(O92:Z92,$B$3))</f>
        <v>0</v>
      </c>
      <c r="AB92" s="7">
        <f t="shared" ref="AB92:AE92" si="147">SUM(AB90:AB91)</f>
        <v>0</v>
      </c>
      <c r="AC92" s="7">
        <f t="shared" si="147"/>
        <v>0</v>
      </c>
      <c r="AD92" s="7">
        <f t="shared" si="147"/>
        <v>0</v>
      </c>
      <c r="AE92" s="7">
        <f t="shared" si="147"/>
        <v>0</v>
      </c>
      <c r="AF92" s="7">
        <f>SUM(C92                                                                                : INDEX(C92:N92,$B$3))</f>
        <v>0</v>
      </c>
      <c r="AG92" s="7">
        <f t="shared" ref="AG92" si="148">SUM(C92:E92)</f>
        <v>0</v>
      </c>
      <c r="AH92" s="7">
        <f t="shared" ref="AH92" si="149">SUM(F92:H92)</f>
        <v>0</v>
      </c>
      <c r="AI92" s="7">
        <f t="shared" ref="AI92" si="150">SUM(I92:K92)</f>
        <v>0</v>
      </c>
      <c r="AJ92" s="7">
        <f t="shared" ref="AJ92" si="151">SUM(L92:N92)</f>
        <v>0</v>
      </c>
      <c r="AK92" s="32" t="e">
        <f t="shared" si="145"/>
        <v>#DIV/0!</v>
      </c>
      <c r="AL92" s="32" t="e">
        <f t="shared" si="141"/>
        <v>#DIV/0!</v>
      </c>
      <c r="AM92" s="32" t="e">
        <f t="shared" si="141"/>
        <v>#DIV/0!</v>
      </c>
      <c r="AN92" s="32" t="e">
        <f t="shared" si="141"/>
        <v>#DIV/0!</v>
      </c>
      <c r="AO92" s="32" t="e">
        <f>AE92/SUM(L92:INDEX(L92:N92,MOD($B$3,3)))-1</f>
        <v>#DIV/0!</v>
      </c>
      <c r="AP92" s="7">
        <f t="shared" ref="AP92:AS92" si="152">SUM(AP90:AP91)</f>
        <v>320</v>
      </c>
      <c r="AQ92" s="7">
        <f t="shared" si="152"/>
        <v>671</v>
      </c>
      <c r="AR92" s="7">
        <f t="shared" si="152"/>
        <v>861</v>
      </c>
      <c r="AS92" s="7">
        <f t="shared" si="152"/>
        <v>668</v>
      </c>
      <c r="AT92" s="7">
        <f t="shared" ref="AT92:AU92" si="153">SUM(AT90:AT91)</f>
        <v>601</v>
      </c>
      <c r="AU92" s="7">
        <f t="shared" si="153"/>
        <v>1327</v>
      </c>
      <c r="AV92" s="7">
        <f>SUM(AV90:AV91)</f>
        <v>826</v>
      </c>
      <c r="AW92" s="18"/>
      <c r="AX92" s="18"/>
      <c r="AY92" s="18"/>
      <c r="AZ92" s="18"/>
      <c r="BA92" s="18"/>
      <c r="BB92" s="116">
        <f>SUM(AP92:INDEX(AP92:AR92,IF($B$3&lt;3,$B$3,3)))</f>
        <v>1852</v>
      </c>
      <c r="BC92" s="116">
        <f>SUM(AS92:INDEX(AS92:AU92,IF(AND($B$3&gt;3,B90&lt;7),$B$3-3,0)))</f>
        <v>2596</v>
      </c>
      <c r="BD92" s="116">
        <f>SUM(AV92:INDEX(AV92:AX92,IF(AND($B$3&gt;6,$B$3&lt;10),$B$3-6,0)))</f>
        <v>826</v>
      </c>
      <c r="BE92" s="116">
        <f>SUM(AY92:INDEX(AY92:BA92,IF($B$3&gt;9,$B$3-9,0)))</f>
        <v>0</v>
      </c>
      <c r="BF92" s="116">
        <f>SUM($AP92:INDEX(AP92:BA92,$B$3))</f>
        <v>5274</v>
      </c>
      <c r="BG92" s="123" t="e">
        <f t="shared" si="142"/>
        <v>#DIV/0!</v>
      </c>
      <c r="BH92" s="118" t="e">
        <f t="shared" si="142"/>
        <v>#DIV/0!</v>
      </c>
      <c r="BI92" s="118" t="e">
        <f t="shared" si="142"/>
        <v>#DIV/0!</v>
      </c>
      <c r="BJ92" s="118" t="e">
        <f t="shared" si="142"/>
        <v>#DIV/0!</v>
      </c>
      <c r="BK92" s="118" t="e">
        <f t="shared" si="142"/>
        <v>#DIV/0!</v>
      </c>
      <c r="BL92" s="118" t="e">
        <f t="shared" si="142"/>
        <v>#DIV/0!</v>
      </c>
      <c r="BM92" s="118" t="e">
        <f t="shared" si="142"/>
        <v>#DIV/0!</v>
      </c>
      <c r="BN92" s="118" t="e">
        <f t="shared" si="142"/>
        <v>#DIV/0!</v>
      </c>
      <c r="BO92" s="118" t="e">
        <f t="shared" si="142"/>
        <v>#DIV/0!</v>
      </c>
      <c r="BP92" s="118" t="e">
        <f t="shared" si="142"/>
        <v>#DIV/0!</v>
      </c>
      <c r="BQ92" s="118" t="e">
        <f t="shared" si="142"/>
        <v>#DIV/0!</v>
      </c>
      <c r="BR92" s="118" t="e">
        <f t="shared" si="142"/>
        <v>#DIV/0!</v>
      </c>
      <c r="BS92" s="118" t="e">
        <f>BB92/SUM(O92:INDEX(O92:Q92,IF($B$3&lt;3,$B$3,3)))</f>
        <v>#DIV/0!</v>
      </c>
      <c r="BT92" s="118" t="e">
        <f>BC92/SUM(R92:INDEX(R92:T92,$C$3))</f>
        <v>#DIV/0!</v>
      </c>
      <c r="BU92" s="118" t="e">
        <f t="shared" si="143"/>
        <v>#DIV/0!</v>
      </c>
      <c r="BV92" s="118" t="e">
        <f t="shared" si="143"/>
        <v>#DIV/0!</v>
      </c>
      <c r="BW92" s="118" t="e">
        <f t="shared" si="144"/>
        <v>#DIV/0!</v>
      </c>
    </row>
    <row r="93" spans="1:75" x14ac:dyDescent="0.25"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24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</row>
    <row r="94" spans="1:75" x14ac:dyDescent="0.25"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24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</row>
    <row r="95" spans="1:75" x14ac:dyDescent="0.25">
      <c r="B95" s="24">
        <f>'Full Agency'!A95</f>
        <v>0</v>
      </c>
      <c r="AK95" s="321" t="s">
        <v>28</v>
      </c>
      <c r="AL95" s="321"/>
      <c r="AM95" s="321"/>
      <c r="AN95" s="321"/>
      <c r="AO95" s="321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24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</row>
    <row r="96" spans="1:75" s="19" customFormat="1" x14ac:dyDescent="0.25">
      <c r="A96" s="17"/>
      <c r="B96" s="2" t="s">
        <v>33</v>
      </c>
      <c r="C96" s="3">
        <v>42005</v>
      </c>
      <c r="D96" s="3">
        <v>42036</v>
      </c>
      <c r="E96" s="3">
        <v>42064</v>
      </c>
      <c r="F96" s="3">
        <v>42095</v>
      </c>
      <c r="G96" s="3">
        <v>42125</v>
      </c>
      <c r="H96" s="3">
        <v>42156</v>
      </c>
      <c r="I96" s="3">
        <v>42186</v>
      </c>
      <c r="J96" s="3">
        <v>42217</v>
      </c>
      <c r="K96" s="3">
        <v>42248</v>
      </c>
      <c r="L96" s="3">
        <v>42278</v>
      </c>
      <c r="M96" s="3">
        <v>42309</v>
      </c>
      <c r="N96" s="3">
        <v>42339</v>
      </c>
      <c r="O96" s="3">
        <v>42370</v>
      </c>
      <c r="P96" s="3">
        <v>42401</v>
      </c>
      <c r="Q96" s="3">
        <v>42430</v>
      </c>
      <c r="R96" s="3">
        <v>42461</v>
      </c>
      <c r="S96" s="3">
        <v>42491</v>
      </c>
      <c r="T96" s="3">
        <v>42522</v>
      </c>
      <c r="U96" s="3">
        <v>42552</v>
      </c>
      <c r="V96" s="3">
        <v>42583</v>
      </c>
      <c r="W96" s="3">
        <v>42614</v>
      </c>
      <c r="X96" s="3">
        <v>42644</v>
      </c>
      <c r="Y96" s="3">
        <v>42675</v>
      </c>
      <c r="Z96" s="3">
        <v>42705</v>
      </c>
      <c r="AA96" s="29" t="str">
        <f>$AA$89</f>
        <v>YTD 7/16</v>
      </c>
      <c r="AB96" s="29" t="s">
        <v>19</v>
      </c>
      <c r="AC96" s="29" t="s">
        <v>20</v>
      </c>
      <c r="AD96" s="29" t="s">
        <v>21</v>
      </c>
      <c r="AE96" s="29" t="s">
        <v>22</v>
      </c>
      <c r="AF96" s="26" t="str">
        <f>"YTD " &amp; B95 &amp;"/15"</f>
        <v>YTD 0/15</v>
      </c>
      <c r="AG96" s="26" t="s">
        <v>23</v>
      </c>
      <c r="AH96" s="26" t="s">
        <v>24</v>
      </c>
      <c r="AI96" s="26" t="s">
        <v>25</v>
      </c>
      <c r="AJ96" s="26" t="s">
        <v>26</v>
      </c>
      <c r="AK96" s="30" t="s">
        <v>27</v>
      </c>
      <c r="AL96" s="30" t="s">
        <v>29</v>
      </c>
      <c r="AM96" s="30" t="s">
        <v>30</v>
      </c>
      <c r="AN96" s="30" t="s">
        <v>31</v>
      </c>
      <c r="AO96" s="30" t="s">
        <v>32</v>
      </c>
      <c r="AP96" s="108">
        <v>42736</v>
      </c>
      <c r="AQ96" s="108">
        <v>42767</v>
      </c>
      <c r="AR96" s="108">
        <v>42795</v>
      </c>
      <c r="AS96" s="108">
        <v>42826</v>
      </c>
      <c r="AT96" s="108">
        <v>42856</v>
      </c>
      <c r="AU96" s="108">
        <v>42887</v>
      </c>
      <c r="AV96" s="108">
        <v>42917</v>
      </c>
      <c r="AW96" s="108">
        <v>42948</v>
      </c>
      <c r="AX96" s="108">
        <v>42979</v>
      </c>
      <c r="AY96" s="108">
        <v>43009</v>
      </c>
      <c r="AZ96" s="108">
        <v>43040</v>
      </c>
      <c r="BA96" s="108">
        <v>43070</v>
      </c>
      <c r="BB96" s="29" t="s">
        <v>123</v>
      </c>
      <c r="BC96" s="29" t="s">
        <v>124</v>
      </c>
      <c r="BD96" s="29" t="s">
        <v>125</v>
      </c>
      <c r="BE96" s="29" t="s">
        <v>126</v>
      </c>
      <c r="BF96" s="29" t="str">
        <f>$BF$4</f>
        <v>YTD 7/17</v>
      </c>
      <c r="BG96" s="121">
        <v>42736</v>
      </c>
      <c r="BH96" s="108">
        <v>42767</v>
      </c>
      <c r="BI96" s="108">
        <v>42795</v>
      </c>
      <c r="BJ96" s="108">
        <v>42826</v>
      </c>
      <c r="BK96" s="108">
        <v>42856</v>
      </c>
      <c r="BL96" s="108">
        <v>42887</v>
      </c>
      <c r="BM96" s="108">
        <v>42917</v>
      </c>
      <c r="BN96" s="108">
        <v>42948</v>
      </c>
      <c r="BO96" s="108">
        <v>42979</v>
      </c>
      <c r="BP96" s="108">
        <v>43009</v>
      </c>
      <c r="BQ96" s="108">
        <v>43040</v>
      </c>
      <c r="BR96" s="108">
        <v>43070</v>
      </c>
      <c r="BS96" s="29" t="s">
        <v>127</v>
      </c>
      <c r="BT96" s="29" t="s">
        <v>128</v>
      </c>
      <c r="BU96" s="29" t="s">
        <v>96</v>
      </c>
      <c r="BV96" s="29" t="s">
        <v>129</v>
      </c>
      <c r="BW96" s="112" t="s">
        <v>130</v>
      </c>
    </row>
    <row r="97" spans="1:75" x14ac:dyDescent="0.25">
      <c r="A97" s="20" t="str">
        <f>$B$96&amp;"_by_rookie_GENLION:"&amp;TRIM(B97)</f>
        <v>FYP_by_rookie_GENLION:MDRT/ GEN Lion (from Apr '17)</v>
      </c>
      <c r="B97" t="s">
        <v>157</v>
      </c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6"/>
      <c r="X97" s="6"/>
      <c r="Y97" s="6"/>
      <c r="Z97" s="6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31" t="e">
        <f>AA97/AF97-1</f>
        <v>#DIV/0!</v>
      </c>
      <c r="AL97" s="31" t="e">
        <f t="shared" ref="AL97:AO105" si="154">AB97/AG97-1</f>
        <v>#DIV/0!</v>
      </c>
      <c r="AM97" s="31" t="e">
        <f t="shared" si="154"/>
        <v>#DIV/0!</v>
      </c>
      <c r="AN97" s="31" t="e">
        <f t="shared" si="154"/>
        <v>#DIV/0!</v>
      </c>
      <c r="AO97" s="31" t="e">
        <f t="shared" si="154"/>
        <v>#DIV/0!</v>
      </c>
      <c r="AP97" s="22">
        <f>[16]APE!K27</f>
        <v>1687.2940000000001</v>
      </c>
      <c r="AQ97" s="22">
        <f>[17]APE!K27</f>
        <v>2150.1574999999998</v>
      </c>
      <c r="AR97" s="22">
        <f>[18]APE!K27</f>
        <v>2114.09</v>
      </c>
      <c r="AS97" s="22">
        <f>[19]APE!U28</f>
        <v>4779.33</v>
      </c>
      <c r="AT97" s="22">
        <f>[20]APE!U28</f>
        <v>4006.04</v>
      </c>
      <c r="AU97" s="22">
        <f>[21]APE!U28</f>
        <v>3243.06</v>
      </c>
      <c r="AV97" s="22">
        <f>[22]APE!U28</f>
        <v>2933.93</v>
      </c>
      <c r="AW97" s="18"/>
      <c r="AX97" s="18"/>
      <c r="AY97" s="18"/>
      <c r="AZ97" s="18"/>
      <c r="BA97" s="18"/>
      <c r="BB97" s="110">
        <f>SUM(AP97:INDEX(AP97:AR97,IF($B$3&lt;3,$B$3,3)))</f>
        <v>5951.5415000000003</v>
      </c>
      <c r="BC97" s="110">
        <f>SUM(AS97:INDEX(AS97:AU97,IF(AND($B$3&gt;3,$B$3&lt;7),$B$3-3,0)))</f>
        <v>12028.429999999998</v>
      </c>
      <c r="BD97" s="110">
        <f>SUM(AV97:INDEX(AV97:AX97,IF(AND($B$3&gt;6,$B$3&lt;10),$B$3-6,0)))</f>
        <v>2933.93</v>
      </c>
      <c r="BE97" s="110">
        <f>SUM(AY97:INDEX(AY97:BA97,IF($B$3&gt;9,$B$3-9,0)))</f>
        <v>0</v>
      </c>
      <c r="BF97" s="110">
        <f>SUM($AP97:INDEX(AP97:BA97,$B$3))</f>
        <v>20913.901500000004</v>
      </c>
      <c r="BG97" s="125" t="e">
        <f>AP97/O97</f>
        <v>#DIV/0!</v>
      </c>
      <c r="BH97" s="111" t="e">
        <f t="shared" ref="BH97:BR105" si="155">AQ97/P97</f>
        <v>#DIV/0!</v>
      </c>
      <c r="BI97" s="111" t="e">
        <f t="shared" si="155"/>
        <v>#DIV/0!</v>
      </c>
      <c r="BJ97" s="111" t="e">
        <f t="shared" si="155"/>
        <v>#DIV/0!</v>
      </c>
      <c r="BK97" s="111" t="e">
        <f t="shared" si="155"/>
        <v>#DIV/0!</v>
      </c>
      <c r="BL97" s="111" t="e">
        <f t="shared" si="155"/>
        <v>#DIV/0!</v>
      </c>
      <c r="BM97" s="111" t="e">
        <f t="shared" si="155"/>
        <v>#DIV/0!</v>
      </c>
      <c r="BN97" s="111" t="e">
        <f t="shared" si="155"/>
        <v>#DIV/0!</v>
      </c>
      <c r="BO97" s="111" t="e">
        <f t="shared" si="155"/>
        <v>#DIV/0!</v>
      </c>
      <c r="BP97" s="111" t="e">
        <f t="shared" si="155"/>
        <v>#DIV/0!</v>
      </c>
      <c r="BQ97" s="111" t="e">
        <f t="shared" si="155"/>
        <v>#DIV/0!</v>
      </c>
      <c r="BR97" s="111" t="e">
        <f t="shared" si="155"/>
        <v>#DIV/0!</v>
      </c>
      <c r="BS97" s="111" t="e">
        <f>BB97/SUM(O97:INDEX(O97:Q97,IF($B$3&lt;3,$B$3,3)))</f>
        <v>#DIV/0!</v>
      </c>
      <c r="BT97" s="111" t="e">
        <f>BC97/SUM(R97:INDEX(R97:T97,$C$3))</f>
        <v>#DIV/0!</v>
      </c>
      <c r="BU97" s="111" t="e">
        <f t="shared" ref="BU97:BV105" si="156">BD97/AD97</f>
        <v>#DIV/0!</v>
      </c>
      <c r="BV97" s="111" t="e">
        <f t="shared" si="156"/>
        <v>#DIV/0!</v>
      </c>
      <c r="BW97" s="111" t="e">
        <f>BF97/AA97</f>
        <v>#DIV/0!</v>
      </c>
    </row>
    <row r="98" spans="1:75" x14ac:dyDescent="0.25">
      <c r="A98" s="20" t="str">
        <f t="shared" ref="A98:A105" si="157">$B$96&amp;"_by_rookie_GENLION:"&amp;TRIM(B98)</f>
        <v>FYP_by_rookie_GENLION:Rookie in month</v>
      </c>
      <c r="B98" t="s">
        <v>5</v>
      </c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6"/>
      <c r="X98" s="6"/>
      <c r="Y98" s="6"/>
      <c r="Z98" s="6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31" t="e">
        <f t="shared" ref="AK98:AK105" si="158">AA98/AF98-1</f>
        <v>#DIV/0!</v>
      </c>
      <c r="AL98" s="31" t="e">
        <f t="shared" si="154"/>
        <v>#DIV/0!</v>
      </c>
      <c r="AM98" s="31" t="e">
        <f t="shared" si="154"/>
        <v>#DIV/0!</v>
      </c>
      <c r="AN98" s="31" t="e">
        <f t="shared" si="154"/>
        <v>#DIV/0!</v>
      </c>
      <c r="AO98" s="31" t="e">
        <f t="shared" si="154"/>
        <v>#DIV/0!</v>
      </c>
      <c r="AP98" s="22">
        <f>[16]APE!K28</f>
        <v>2744.444</v>
      </c>
      <c r="AQ98" s="22">
        <f>[17]APE!K28</f>
        <v>3649.1990000000101</v>
      </c>
      <c r="AR98" s="22">
        <f>[18]APE!K28</f>
        <v>9992.42</v>
      </c>
      <c r="AS98" s="22">
        <f>[19]APE!U29</f>
        <v>6493.58</v>
      </c>
      <c r="AT98" s="22">
        <f>[20]APE!U29</f>
        <v>6387.61</v>
      </c>
      <c r="AU98" s="22">
        <f>[21]APE!U29</f>
        <v>14011.94</v>
      </c>
      <c r="AV98" s="22">
        <f>[22]APE!U29</f>
        <v>7614.02</v>
      </c>
      <c r="AW98" s="18"/>
      <c r="AX98" s="18"/>
      <c r="AY98" s="18"/>
      <c r="AZ98" s="18"/>
      <c r="BA98" s="18"/>
      <c r="BB98" s="110">
        <f>SUM(AP98:INDEX(AP98:AR98,IF($B$3&lt;3,$B$3,3)))</f>
        <v>16386.063000000009</v>
      </c>
      <c r="BC98" s="110">
        <f>SUM(AS98:INDEX(AS98:AU98,IF(AND($B$3&gt;3,$B$3&lt;7),$B$3-3,0)))</f>
        <v>26893.129999999997</v>
      </c>
      <c r="BD98" s="110">
        <f>SUM(AV98:INDEX(AV98:AX98,IF(AND($B$3&gt;6,$B$3&lt;10),$B$3-6,0)))</f>
        <v>7614.02</v>
      </c>
      <c r="BE98" s="110">
        <f>SUM(AY98:INDEX(AY98:BA98,IF($B$3&gt;9,$B$3-9,0)))</f>
        <v>0</v>
      </c>
      <c r="BF98" s="110">
        <f>SUM($AP98:INDEX(AP98:BA98,$B$3))</f>
        <v>50893.213000000018</v>
      </c>
      <c r="BG98" s="125" t="e">
        <f t="shared" ref="BG98:BG105" si="159">AP98/O98</f>
        <v>#DIV/0!</v>
      </c>
      <c r="BH98" s="111" t="e">
        <f t="shared" si="155"/>
        <v>#DIV/0!</v>
      </c>
      <c r="BI98" s="111" t="e">
        <f t="shared" si="155"/>
        <v>#DIV/0!</v>
      </c>
      <c r="BJ98" s="111" t="e">
        <f t="shared" si="155"/>
        <v>#DIV/0!</v>
      </c>
      <c r="BK98" s="111" t="e">
        <f t="shared" si="155"/>
        <v>#DIV/0!</v>
      </c>
      <c r="BL98" s="111" t="e">
        <f t="shared" si="155"/>
        <v>#DIV/0!</v>
      </c>
      <c r="BM98" s="111" t="e">
        <f t="shared" si="155"/>
        <v>#DIV/0!</v>
      </c>
      <c r="BN98" s="111" t="e">
        <f t="shared" si="155"/>
        <v>#DIV/0!</v>
      </c>
      <c r="BO98" s="111" t="e">
        <f t="shared" si="155"/>
        <v>#DIV/0!</v>
      </c>
      <c r="BP98" s="111" t="e">
        <f t="shared" si="155"/>
        <v>#DIV/0!</v>
      </c>
      <c r="BQ98" s="111" t="e">
        <f t="shared" si="155"/>
        <v>#DIV/0!</v>
      </c>
      <c r="BR98" s="111" t="e">
        <f t="shared" si="155"/>
        <v>#DIV/0!</v>
      </c>
      <c r="BS98" s="111" t="e">
        <f>BB98/SUM(O98:INDEX(O98:Q98,IF($B$3&lt;3,$B$3,3)))</f>
        <v>#DIV/0!</v>
      </c>
      <c r="BT98" s="111" t="e">
        <f>BC98/SUM(R98:INDEX(R98:T98,$C$3))</f>
        <v>#DIV/0!</v>
      </c>
      <c r="BU98" s="111" t="e">
        <f t="shared" si="156"/>
        <v>#DIV/0!</v>
      </c>
      <c r="BV98" s="111" t="e">
        <f t="shared" si="156"/>
        <v>#DIV/0!</v>
      </c>
      <c r="BW98" s="111" t="e">
        <f t="shared" ref="BW98:BW105" si="160">BF98/AA98</f>
        <v>#DIV/0!</v>
      </c>
    </row>
    <row r="99" spans="1:75" x14ac:dyDescent="0.25">
      <c r="A99" s="20" t="str">
        <f t="shared" si="157"/>
        <v>FYP_by_rookie_GENLION:Rookie last month</v>
      </c>
      <c r="B99" t="s">
        <v>6</v>
      </c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6"/>
      <c r="X99" s="6"/>
      <c r="Y99" s="6"/>
      <c r="Z99" s="6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31" t="e">
        <f t="shared" si="158"/>
        <v>#DIV/0!</v>
      </c>
      <c r="AL99" s="31" t="e">
        <f t="shared" si="154"/>
        <v>#DIV/0!</v>
      </c>
      <c r="AM99" s="31" t="e">
        <f t="shared" si="154"/>
        <v>#DIV/0!</v>
      </c>
      <c r="AN99" s="31" t="e">
        <f t="shared" si="154"/>
        <v>#DIV/0!</v>
      </c>
      <c r="AO99" s="31" t="e">
        <f t="shared" si="154"/>
        <v>#DIV/0!</v>
      </c>
      <c r="AP99" s="22">
        <f>[16]APE!K29</f>
        <v>2254.7399999999998</v>
      </c>
      <c r="AQ99" s="22">
        <f>[17]APE!K29</f>
        <v>1543.393</v>
      </c>
      <c r="AR99" s="22">
        <f>[18]APE!K29</f>
        <v>3691.16</v>
      </c>
      <c r="AS99" s="22">
        <f>[19]APE!U30</f>
        <v>3582.12</v>
      </c>
      <c r="AT99" s="22">
        <f>[20]APE!U30</f>
        <v>2801.18</v>
      </c>
      <c r="AU99" s="22">
        <f>[21]APE!U30</f>
        <v>2103.4</v>
      </c>
      <c r="AV99" s="22">
        <f>[22]APE!U30</f>
        <v>3269.8</v>
      </c>
      <c r="AW99" s="18"/>
      <c r="AX99" s="18"/>
      <c r="AY99" s="18"/>
      <c r="AZ99" s="18"/>
      <c r="BA99" s="18"/>
      <c r="BB99" s="110">
        <f>SUM(AP99:INDEX(AP99:AR99,IF($B$3&lt;3,$B$3,3)))</f>
        <v>7489.2929999999997</v>
      </c>
      <c r="BC99" s="110">
        <f>SUM(AS99:INDEX(AS99:AU99,IF(AND($B$3&gt;3,$B$3&lt;7),$B$3-3,0)))</f>
        <v>8486.6999999999989</v>
      </c>
      <c r="BD99" s="110">
        <f>SUM(AV99:INDEX(AV99:AX99,IF(AND($B$3&gt;6,$B$3&lt;10),$B$3-6,0)))</f>
        <v>3269.8</v>
      </c>
      <c r="BE99" s="110">
        <f>SUM(AY99:INDEX(AY99:BA99,IF($B$3&gt;9,$B$3-9,0)))</f>
        <v>0</v>
      </c>
      <c r="BF99" s="110">
        <f>SUM($AP99:INDEX(AP99:BA99,$B$3))</f>
        <v>19245.793000000001</v>
      </c>
      <c r="BG99" s="125" t="e">
        <f t="shared" si="159"/>
        <v>#DIV/0!</v>
      </c>
      <c r="BH99" s="111" t="e">
        <f t="shared" si="155"/>
        <v>#DIV/0!</v>
      </c>
      <c r="BI99" s="111" t="e">
        <f t="shared" si="155"/>
        <v>#DIV/0!</v>
      </c>
      <c r="BJ99" s="111" t="e">
        <f t="shared" si="155"/>
        <v>#DIV/0!</v>
      </c>
      <c r="BK99" s="111" t="e">
        <f t="shared" si="155"/>
        <v>#DIV/0!</v>
      </c>
      <c r="BL99" s="111" t="e">
        <f t="shared" si="155"/>
        <v>#DIV/0!</v>
      </c>
      <c r="BM99" s="111" t="e">
        <f t="shared" si="155"/>
        <v>#DIV/0!</v>
      </c>
      <c r="BN99" s="111" t="e">
        <f t="shared" si="155"/>
        <v>#DIV/0!</v>
      </c>
      <c r="BO99" s="111" t="e">
        <f t="shared" si="155"/>
        <v>#DIV/0!</v>
      </c>
      <c r="BP99" s="111" t="e">
        <f t="shared" si="155"/>
        <v>#DIV/0!</v>
      </c>
      <c r="BQ99" s="111" t="e">
        <f t="shared" si="155"/>
        <v>#DIV/0!</v>
      </c>
      <c r="BR99" s="111" t="e">
        <f t="shared" si="155"/>
        <v>#DIV/0!</v>
      </c>
      <c r="BS99" s="111" t="e">
        <f>BB99/SUM(O99:INDEX(O99:Q99,IF($B$3&lt;3,$B$3,3)))</f>
        <v>#DIV/0!</v>
      </c>
      <c r="BT99" s="111" t="e">
        <f>BC99/SUM(R99:INDEX(R99:T99,$C$3))</f>
        <v>#DIV/0!</v>
      </c>
      <c r="BU99" s="111" t="e">
        <f t="shared" si="156"/>
        <v>#DIV/0!</v>
      </c>
      <c r="BV99" s="111" t="e">
        <f t="shared" si="156"/>
        <v>#DIV/0!</v>
      </c>
      <c r="BW99" s="111" t="e">
        <f t="shared" si="160"/>
        <v>#DIV/0!</v>
      </c>
    </row>
    <row r="100" spans="1:75" x14ac:dyDescent="0.25">
      <c r="A100" s="20" t="str">
        <f t="shared" si="157"/>
        <v>FYP_by_rookie_GENLION:2-3 months</v>
      </c>
      <c r="B100" t="s">
        <v>7</v>
      </c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6"/>
      <c r="X100" s="6"/>
      <c r="Y100" s="6"/>
      <c r="Z100" s="6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31" t="e">
        <f t="shared" si="158"/>
        <v>#DIV/0!</v>
      </c>
      <c r="AL100" s="31" t="e">
        <f t="shared" si="154"/>
        <v>#DIV/0!</v>
      </c>
      <c r="AM100" s="31" t="e">
        <f t="shared" si="154"/>
        <v>#DIV/0!</v>
      </c>
      <c r="AN100" s="31" t="e">
        <f t="shared" si="154"/>
        <v>#DIV/0!</v>
      </c>
      <c r="AO100" s="31" t="e">
        <f t="shared" si="154"/>
        <v>#DIV/0!</v>
      </c>
      <c r="AP100" s="22">
        <f>[16]APE!K30</f>
        <v>3424.9974999999999</v>
      </c>
      <c r="AQ100" s="22">
        <f>[17]APE!K30</f>
        <v>5209.3430000000199</v>
      </c>
      <c r="AR100" s="22">
        <f>[18]APE!K30</f>
        <v>4190.08</v>
      </c>
      <c r="AS100" s="22">
        <f>[19]APE!U31</f>
        <v>2673.88</v>
      </c>
      <c r="AT100" s="22">
        <f>[20]APE!U31</f>
        <v>3095.1</v>
      </c>
      <c r="AU100" s="22">
        <f>[21]APE!U31</f>
        <v>2729.84</v>
      </c>
      <c r="AV100" s="22">
        <f>[22]APE!U31</f>
        <v>3090.08</v>
      </c>
      <c r="AW100" s="18"/>
      <c r="AX100" s="18"/>
      <c r="AY100" s="18"/>
      <c r="AZ100" s="18"/>
      <c r="BA100" s="18"/>
      <c r="BB100" s="110">
        <f>SUM(AP100:INDEX(AP100:AR100,IF($B$3&lt;3,$B$3,3)))</f>
        <v>12824.42050000002</v>
      </c>
      <c r="BC100" s="110">
        <f>SUM(AS100:INDEX(AS100:AU100,IF(AND($B$3&gt;3,$B$3&lt;7),$B$3-3,0)))</f>
        <v>8498.82</v>
      </c>
      <c r="BD100" s="110">
        <f>SUM(AV100:INDEX(AV100:AX100,IF(AND($B$3&gt;6,$B$3&lt;10),$B$3-6,0)))</f>
        <v>3090.08</v>
      </c>
      <c r="BE100" s="110">
        <f>SUM(AY100:INDEX(AY100:BA100,IF($B$3&gt;9,$B$3-9,0)))</f>
        <v>0</v>
      </c>
      <c r="BF100" s="110">
        <f>SUM($AP100:INDEX(AP100:BA100,$B$3))</f>
        <v>24413.320500000016</v>
      </c>
      <c r="BG100" s="125" t="e">
        <f t="shared" si="159"/>
        <v>#DIV/0!</v>
      </c>
      <c r="BH100" s="111" t="e">
        <f t="shared" si="155"/>
        <v>#DIV/0!</v>
      </c>
      <c r="BI100" s="111" t="e">
        <f t="shared" si="155"/>
        <v>#DIV/0!</v>
      </c>
      <c r="BJ100" s="111" t="e">
        <f t="shared" si="155"/>
        <v>#DIV/0!</v>
      </c>
      <c r="BK100" s="111" t="e">
        <f t="shared" si="155"/>
        <v>#DIV/0!</v>
      </c>
      <c r="BL100" s="111" t="e">
        <f t="shared" si="155"/>
        <v>#DIV/0!</v>
      </c>
      <c r="BM100" s="111" t="e">
        <f t="shared" si="155"/>
        <v>#DIV/0!</v>
      </c>
      <c r="BN100" s="111" t="e">
        <f t="shared" si="155"/>
        <v>#DIV/0!</v>
      </c>
      <c r="BO100" s="111" t="e">
        <f t="shared" si="155"/>
        <v>#DIV/0!</v>
      </c>
      <c r="BP100" s="111" t="e">
        <f t="shared" si="155"/>
        <v>#DIV/0!</v>
      </c>
      <c r="BQ100" s="111" t="e">
        <f t="shared" si="155"/>
        <v>#DIV/0!</v>
      </c>
      <c r="BR100" s="111" t="e">
        <f t="shared" si="155"/>
        <v>#DIV/0!</v>
      </c>
      <c r="BS100" s="111" t="e">
        <f>BB100/SUM(O100:INDEX(O100:Q100,IF($B$3&lt;3,$B$3,3)))</f>
        <v>#DIV/0!</v>
      </c>
      <c r="BT100" s="111" t="e">
        <f>BC100/SUM(R100:INDEX(R100:T100,$C$3))</f>
        <v>#DIV/0!</v>
      </c>
      <c r="BU100" s="111" t="e">
        <f t="shared" si="156"/>
        <v>#DIV/0!</v>
      </c>
      <c r="BV100" s="111" t="e">
        <f t="shared" si="156"/>
        <v>#DIV/0!</v>
      </c>
      <c r="BW100" s="111" t="e">
        <f t="shared" si="160"/>
        <v>#DIV/0!</v>
      </c>
    </row>
    <row r="101" spans="1:75" x14ac:dyDescent="0.25">
      <c r="A101" s="20" t="str">
        <f t="shared" si="157"/>
        <v>FYP_by_rookie_GENLION:4 - 6 mths</v>
      </c>
      <c r="B101" t="s">
        <v>8</v>
      </c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6"/>
      <c r="X101" s="6"/>
      <c r="Y101" s="6"/>
      <c r="Z101" s="6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31" t="e">
        <f t="shared" si="158"/>
        <v>#DIV/0!</v>
      </c>
      <c r="AL101" s="31" t="e">
        <f t="shared" si="154"/>
        <v>#DIV/0!</v>
      </c>
      <c r="AM101" s="31" t="e">
        <f t="shared" si="154"/>
        <v>#DIV/0!</v>
      </c>
      <c r="AN101" s="31" t="e">
        <f t="shared" si="154"/>
        <v>#DIV/0!</v>
      </c>
      <c r="AO101" s="31" t="e">
        <f t="shared" si="154"/>
        <v>#DIV/0!</v>
      </c>
      <c r="AP101" s="22">
        <f>[16]APE!K31</f>
        <v>1760.8865000000001</v>
      </c>
      <c r="AQ101" s="22">
        <f>[17]APE!K31</f>
        <v>2975.2559999999999</v>
      </c>
      <c r="AR101" s="22">
        <f>[18]APE!K31</f>
        <v>4736.33</v>
      </c>
      <c r="AS101" s="22">
        <f>[19]APE!U32</f>
        <v>1972.66</v>
      </c>
      <c r="AT101" s="22">
        <f>[20]APE!U32</f>
        <v>1658.56</v>
      </c>
      <c r="AU101" s="22">
        <f>[21]APE!U32</f>
        <v>1482.39</v>
      </c>
      <c r="AV101" s="22">
        <f>[22]APE!U32</f>
        <v>1693.59</v>
      </c>
      <c r="AW101" s="18"/>
      <c r="AX101" s="18"/>
      <c r="AY101" s="18"/>
      <c r="AZ101" s="18"/>
      <c r="BA101" s="18"/>
      <c r="BB101" s="110">
        <f>SUM(AP101:INDEX(AP101:AR101,IF($B$3&lt;3,$B$3,3)))</f>
        <v>9472.4724999999999</v>
      </c>
      <c r="BC101" s="110">
        <f>SUM(AS101:INDEX(AS101:AU101,IF(AND($B$3&gt;3,$B$3&lt;7),$B$3-3,0)))</f>
        <v>5113.6100000000006</v>
      </c>
      <c r="BD101" s="110">
        <f>SUM(AV101:INDEX(AV101:AX101,IF(AND($B$3&gt;6,$B$3&lt;10),$B$3-6,0)))</f>
        <v>1693.59</v>
      </c>
      <c r="BE101" s="110">
        <f>SUM(AY101:INDEX(AY101:BA101,IF($B$3&gt;9,$B$3-9,0)))</f>
        <v>0</v>
      </c>
      <c r="BF101" s="110">
        <f>SUM($AP101:INDEX(AP101:BA101,$B$3))</f>
        <v>16279.672499999999</v>
      </c>
      <c r="BG101" s="125" t="e">
        <f t="shared" si="159"/>
        <v>#DIV/0!</v>
      </c>
      <c r="BH101" s="111" t="e">
        <f t="shared" si="155"/>
        <v>#DIV/0!</v>
      </c>
      <c r="BI101" s="111" t="e">
        <f t="shared" si="155"/>
        <v>#DIV/0!</v>
      </c>
      <c r="BJ101" s="111" t="e">
        <f t="shared" si="155"/>
        <v>#DIV/0!</v>
      </c>
      <c r="BK101" s="111" t="e">
        <f t="shared" si="155"/>
        <v>#DIV/0!</v>
      </c>
      <c r="BL101" s="111" t="e">
        <f t="shared" si="155"/>
        <v>#DIV/0!</v>
      </c>
      <c r="BM101" s="111" t="e">
        <f t="shared" si="155"/>
        <v>#DIV/0!</v>
      </c>
      <c r="BN101" s="111" t="e">
        <f t="shared" si="155"/>
        <v>#DIV/0!</v>
      </c>
      <c r="BO101" s="111" t="e">
        <f t="shared" si="155"/>
        <v>#DIV/0!</v>
      </c>
      <c r="BP101" s="111" t="e">
        <f t="shared" si="155"/>
        <v>#DIV/0!</v>
      </c>
      <c r="BQ101" s="111" t="e">
        <f t="shared" si="155"/>
        <v>#DIV/0!</v>
      </c>
      <c r="BR101" s="111" t="e">
        <f t="shared" si="155"/>
        <v>#DIV/0!</v>
      </c>
      <c r="BS101" s="111" t="e">
        <f>BB101/SUM(O101:INDEX(O101:Q101,IF($B$3&lt;3,$B$3,3)))</f>
        <v>#DIV/0!</v>
      </c>
      <c r="BT101" s="111" t="e">
        <f>BC101/SUM(R101:INDEX(R101:T101,$C$3))</f>
        <v>#DIV/0!</v>
      </c>
      <c r="BU101" s="111" t="e">
        <f t="shared" si="156"/>
        <v>#DIV/0!</v>
      </c>
      <c r="BV101" s="111" t="e">
        <f t="shared" si="156"/>
        <v>#DIV/0!</v>
      </c>
      <c r="BW101" s="111" t="e">
        <f t="shared" si="160"/>
        <v>#DIV/0!</v>
      </c>
    </row>
    <row r="102" spans="1:75" x14ac:dyDescent="0.25">
      <c r="A102" s="20" t="str">
        <f t="shared" si="157"/>
        <v>FYP_by_rookie_GENLION:7-12mth</v>
      </c>
      <c r="B102" t="s">
        <v>1</v>
      </c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6"/>
      <c r="X102" s="6"/>
      <c r="Y102" s="6"/>
      <c r="Z102" s="6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31" t="e">
        <f t="shared" si="158"/>
        <v>#DIV/0!</v>
      </c>
      <c r="AL102" s="31" t="e">
        <f t="shared" si="154"/>
        <v>#DIV/0!</v>
      </c>
      <c r="AM102" s="31" t="e">
        <f t="shared" si="154"/>
        <v>#DIV/0!</v>
      </c>
      <c r="AN102" s="31" t="e">
        <f t="shared" si="154"/>
        <v>#DIV/0!</v>
      </c>
      <c r="AO102" s="31" t="e">
        <f t="shared" si="154"/>
        <v>#DIV/0!</v>
      </c>
      <c r="AP102" s="22">
        <f>[16]APE!K32</f>
        <v>840.21400000000096</v>
      </c>
      <c r="AQ102" s="22">
        <f>[17]APE!K32</f>
        <v>1171.4829999999999</v>
      </c>
      <c r="AR102" s="22">
        <f>[18]APE!K32</f>
        <v>2134.5100000000002</v>
      </c>
      <c r="AS102" s="22">
        <f>[19]APE!U33</f>
        <v>1761.58</v>
      </c>
      <c r="AT102" s="22">
        <f>[20]APE!U33</f>
        <v>1530.32</v>
      </c>
      <c r="AU102" s="22">
        <f>[21]APE!U33</f>
        <v>1037.1600000000001</v>
      </c>
      <c r="AV102" s="22">
        <f>[22]APE!U33</f>
        <v>1006.66</v>
      </c>
      <c r="AW102" s="18"/>
      <c r="AX102" s="18"/>
      <c r="AY102" s="18"/>
      <c r="AZ102" s="18"/>
      <c r="BA102" s="18"/>
      <c r="BB102" s="110">
        <f>SUM(AP102:INDEX(AP102:AR102,IF($B$3&lt;3,$B$3,3)))</f>
        <v>4146.2070000000012</v>
      </c>
      <c r="BC102" s="110">
        <f>SUM(AS102:INDEX(AS102:AU102,IF(AND($B$3&gt;3,$B$3&lt;7),$B$3-3,0)))</f>
        <v>4329.0599999999995</v>
      </c>
      <c r="BD102" s="110">
        <f>SUM(AV102:INDEX(AV102:AX102,IF(AND($B$3&gt;6,$B$3&lt;10),$B$3-6,0)))</f>
        <v>1006.66</v>
      </c>
      <c r="BE102" s="110">
        <f>SUM(AY102:INDEX(AY102:BA102,IF($B$3&gt;9,$B$3-9,0)))</f>
        <v>0</v>
      </c>
      <c r="BF102" s="110">
        <f>SUM($AP102:INDEX(AP102:BA102,$B$3))</f>
        <v>9481.9270000000015</v>
      </c>
      <c r="BG102" s="125" t="e">
        <f t="shared" si="159"/>
        <v>#DIV/0!</v>
      </c>
      <c r="BH102" s="111" t="e">
        <f t="shared" si="155"/>
        <v>#DIV/0!</v>
      </c>
      <c r="BI102" s="111" t="e">
        <f t="shared" si="155"/>
        <v>#DIV/0!</v>
      </c>
      <c r="BJ102" s="111" t="e">
        <f t="shared" si="155"/>
        <v>#DIV/0!</v>
      </c>
      <c r="BK102" s="111" t="e">
        <f t="shared" si="155"/>
        <v>#DIV/0!</v>
      </c>
      <c r="BL102" s="111" t="e">
        <f t="shared" si="155"/>
        <v>#DIV/0!</v>
      </c>
      <c r="BM102" s="111" t="e">
        <f t="shared" si="155"/>
        <v>#DIV/0!</v>
      </c>
      <c r="BN102" s="111" t="e">
        <f t="shared" si="155"/>
        <v>#DIV/0!</v>
      </c>
      <c r="BO102" s="111" t="e">
        <f t="shared" si="155"/>
        <v>#DIV/0!</v>
      </c>
      <c r="BP102" s="111" t="e">
        <f t="shared" si="155"/>
        <v>#DIV/0!</v>
      </c>
      <c r="BQ102" s="111" t="e">
        <f t="shared" si="155"/>
        <v>#DIV/0!</v>
      </c>
      <c r="BR102" s="111" t="e">
        <f t="shared" si="155"/>
        <v>#DIV/0!</v>
      </c>
      <c r="BS102" s="111" t="e">
        <f>BB102/SUM(O102:INDEX(O102:Q102,IF($B$3&lt;3,$B$3,3)))</f>
        <v>#DIV/0!</v>
      </c>
      <c r="BT102" s="111" t="e">
        <f>BC102/SUM(R102:INDEX(R102:T102,$C$3))</f>
        <v>#DIV/0!</v>
      </c>
      <c r="BU102" s="111" t="e">
        <f t="shared" si="156"/>
        <v>#DIV/0!</v>
      </c>
      <c r="BV102" s="111" t="e">
        <f t="shared" si="156"/>
        <v>#DIV/0!</v>
      </c>
      <c r="BW102" s="111" t="e">
        <f t="shared" si="160"/>
        <v>#DIV/0!</v>
      </c>
    </row>
    <row r="103" spans="1:75" x14ac:dyDescent="0.25">
      <c r="A103" s="20" t="str">
        <f t="shared" si="157"/>
        <v>FYP_by_rookie_GENLION:13+mth</v>
      </c>
      <c r="B103" t="s">
        <v>2</v>
      </c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6"/>
      <c r="X103" s="6"/>
      <c r="Y103" s="6"/>
      <c r="Z103" s="6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31" t="e">
        <f t="shared" si="158"/>
        <v>#DIV/0!</v>
      </c>
      <c r="AL103" s="31" t="e">
        <f t="shared" si="154"/>
        <v>#DIV/0!</v>
      </c>
      <c r="AM103" s="31" t="e">
        <f t="shared" si="154"/>
        <v>#DIV/0!</v>
      </c>
      <c r="AN103" s="31" t="e">
        <f t="shared" si="154"/>
        <v>#DIV/0!</v>
      </c>
      <c r="AO103" s="31" t="e">
        <f t="shared" si="154"/>
        <v>#DIV/0!</v>
      </c>
      <c r="AP103" s="22">
        <f>[16]APE!K33</f>
        <v>1217.8309999999999</v>
      </c>
      <c r="AQ103" s="22">
        <f>[17]APE!K33</f>
        <v>1922.7315000000001</v>
      </c>
      <c r="AR103" s="22">
        <f>[18]APE!K33</f>
        <v>1980.48</v>
      </c>
      <c r="AS103" s="22">
        <f>[19]APE!U34</f>
        <v>2168.1799999999998</v>
      </c>
      <c r="AT103" s="22">
        <f>[20]APE!U34</f>
        <v>2152.69</v>
      </c>
      <c r="AU103" s="22">
        <f>[21]APE!U34</f>
        <v>2010.81</v>
      </c>
      <c r="AV103" s="22">
        <f>[22]APE!U34</f>
        <v>1899.69</v>
      </c>
      <c r="AW103" s="18"/>
      <c r="AX103" s="18"/>
      <c r="AY103" s="18"/>
      <c r="AZ103" s="18"/>
      <c r="BA103" s="18"/>
      <c r="BB103" s="110">
        <f>SUM(AP103:INDEX(AP103:AR103,IF($B$3&lt;3,$B$3,3)))</f>
        <v>5121.0424999999996</v>
      </c>
      <c r="BC103" s="110">
        <f>SUM(AS103:INDEX(AS103:AU103,IF(AND($B$3&gt;3,$B$3&lt;7),$B$3-3,0)))</f>
        <v>6331.68</v>
      </c>
      <c r="BD103" s="110">
        <f>SUM(AV103:INDEX(AV103:AX103,IF(AND($B$3&gt;6,$B$3&lt;10),$B$3-6,0)))</f>
        <v>1899.69</v>
      </c>
      <c r="BE103" s="110">
        <f>SUM(AY103:INDEX(AY103:BA103,IF($B$3&gt;9,$B$3-9,0)))</f>
        <v>0</v>
      </c>
      <c r="BF103" s="110">
        <f>SUM($AP103:INDEX(AP103:BA103,$B$3))</f>
        <v>13352.4125</v>
      </c>
      <c r="BG103" s="125" t="e">
        <f t="shared" si="159"/>
        <v>#DIV/0!</v>
      </c>
      <c r="BH103" s="111" t="e">
        <f t="shared" si="155"/>
        <v>#DIV/0!</v>
      </c>
      <c r="BI103" s="111" t="e">
        <f t="shared" si="155"/>
        <v>#DIV/0!</v>
      </c>
      <c r="BJ103" s="111" t="e">
        <f t="shared" si="155"/>
        <v>#DIV/0!</v>
      </c>
      <c r="BK103" s="111" t="e">
        <f t="shared" si="155"/>
        <v>#DIV/0!</v>
      </c>
      <c r="BL103" s="111" t="e">
        <f t="shared" si="155"/>
        <v>#DIV/0!</v>
      </c>
      <c r="BM103" s="111" t="e">
        <f t="shared" si="155"/>
        <v>#DIV/0!</v>
      </c>
      <c r="BN103" s="111" t="e">
        <f t="shared" si="155"/>
        <v>#DIV/0!</v>
      </c>
      <c r="BO103" s="111" t="e">
        <f t="shared" si="155"/>
        <v>#DIV/0!</v>
      </c>
      <c r="BP103" s="111" t="e">
        <f t="shared" si="155"/>
        <v>#DIV/0!</v>
      </c>
      <c r="BQ103" s="111" t="e">
        <f t="shared" si="155"/>
        <v>#DIV/0!</v>
      </c>
      <c r="BR103" s="111" t="e">
        <f t="shared" si="155"/>
        <v>#DIV/0!</v>
      </c>
      <c r="BS103" s="111" t="e">
        <f>BB103/SUM(O103:INDEX(O103:Q103,IF($B$3&lt;3,$B$3,3)))</f>
        <v>#DIV/0!</v>
      </c>
      <c r="BT103" s="111" t="e">
        <f>BC103/SUM(R103:INDEX(R103:T103,$C$3))</f>
        <v>#DIV/0!</v>
      </c>
      <c r="BU103" s="111" t="e">
        <f t="shared" si="156"/>
        <v>#DIV/0!</v>
      </c>
      <c r="BV103" s="111" t="e">
        <f t="shared" si="156"/>
        <v>#DIV/0!</v>
      </c>
      <c r="BW103" s="111" t="e">
        <f t="shared" si="160"/>
        <v>#DIV/0!</v>
      </c>
    </row>
    <row r="104" spans="1:75" x14ac:dyDescent="0.25">
      <c r="A104" s="20" t="str">
        <f t="shared" si="157"/>
        <v>FYP_by_rookie_GENLION:SA</v>
      </c>
      <c r="B104" s="135" t="s">
        <v>136</v>
      </c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6"/>
      <c r="X104" s="6"/>
      <c r="Y104" s="6"/>
      <c r="Z104" s="6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31"/>
      <c r="AL104" s="31"/>
      <c r="AM104" s="31"/>
      <c r="AN104" s="31"/>
      <c r="AO104" s="31"/>
      <c r="AP104" s="22"/>
      <c r="AQ104" s="22">
        <f>[17]APE!K34</f>
        <v>1084.7329999999999</v>
      </c>
      <c r="AR104" s="22">
        <f>[18]APE!K34</f>
        <v>796.16</v>
      </c>
      <c r="AS104" s="22">
        <f>[19]APE!U35</f>
        <v>2040.47</v>
      </c>
      <c r="AT104" s="22">
        <f>[20]APE!U35</f>
        <v>801.39</v>
      </c>
      <c r="AU104" s="22">
        <f>[21]APE!U35</f>
        <v>755.55</v>
      </c>
      <c r="AV104" s="22">
        <f>[22]APE!U35</f>
        <v>872.73</v>
      </c>
      <c r="AW104" s="18"/>
      <c r="AX104" s="18"/>
      <c r="AY104" s="18"/>
      <c r="AZ104" s="18"/>
      <c r="BA104" s="18"/>
      <c r="BB104" s="110">
        <f>SUM(AP104:INDEX(AP104:AR104,IF($B$3&lt;3,$B$3,3)))</f>
        <v>1880.893</v>
      </c>
      <c r="BC104" s="110">
        <f>SUM(AS104:INDEX(AS104:AU104,IF(AND($B$3&gt;3,$B$3&lt;7),$B$3-3,0)))</f>
        <v>3597.41</v>
      </c>
      <c r="BD104" s="110">
        <f>SUM(AV104:INDEX(AV104:AX104,IF(AND($B$3&gt;6,$B$3&lt;10),$B$3-6,0)))</f>
        <v>872.73</v>
      </c>
      <c r="BE104" s="110"/>
      <c r="BF104" s="110">
        <f>SUM($AP104:INDEX(AP104:BA104,$B$3))</f>
        <v>6351.0330000000013</v>
      </c>
      <c r="BG104" s="125"/>
      <c r="BH104" s="111"/>
      <c r="BI104" s="111"/>
      <c r="BJ104" s="111"/>
      <c r="BK104" s="111"/>
      <c r="BL104" s="111"/>
      <c r="BM104" s="111"/>
      <c r="BN104" s="111"/>
      <c r="BO104" s="111"/>
      <c r="BP104" s="111"/>
      <c r="BQ104" s="111"/>
      <c r="BR104" s="111"/>
      <c r="BS104" s="111"/>
      <c r="BT104" s="111"/>
      <c r="BU104" s="111"/>
      <c r="BV104" s="111"/>
      <c r="BW104" s="111"/>
    </row>
    <row r="105" spans="1:75" s="19" customFormat="1" x14ac:dyDescent="0.25">
      <c r="A105" s="20" t="str">
        <f t="shared" si="157"/>
        <v>FYP_by_rookie_GENLION:Total</v>
      </c>
      <c r="B105" s="1" t="s">
        <v>3</v>
      </c>
      <c r="C105" s="15">
        <f>SUM(C97:C103)</f>
        <v>0</v>
      </c>
      <c r="D105" s="15">
        <f t="shared" ref="D105:AE105" si="161">SUM(D97:D103)</f>
        <v>0</v>
      </c>
      <c r="E105" s="15">
        <f t="shared" si="161"/>
        <v>0</v>
      </c>
      <c r="F105" s="15">
        <f t="shared" si="161"/>
        <v>0</v>
      </c>
      <c r="G105" s="15">
        <f t="shared" si="161"/>
        <v>0</v>
      </c>
      <c r="H105" s="15">
        <f t="shared" si="161"/>
        <v>0</v>
      </c>
      <c r="I105" s="15">
        <f t="shared" si="161"/>
        <v>0</v>
      </c>
      <c r="J105" s="15">
        <f t="shared" si="161"/>
        <v>0</v>
      </c>
      <c r="K105" s="15">
        <f t="shared" si="161"/>
        <v>0</v>
      </c>
      <c r="L105" s="15">
        <f t="shared" si="161"/>
        <v>0</v>
      </c>
      <c r="M105" s="15">
        <f t="shared" si="161"/>
        <v>0</v>
      </c>
      <c r="N105" s="15">
        <f t="shared" si="161"/>
        <v>0</v>
      </c>
      <c r="O105" s="15">
        <f t="shared" si="161"/>
        <v>0</v>
      </c>
      <c r="P105" s="15">
        <f t="shared" si="161"/>
        <v>0</v>
      </c>
      <c r="Q105" s="15">
        <f t="shared" si="161"/>
        <v>0</v>
      </c>
      <c r="R105" s="15">
        <f t="shared" si="161"/>
        <v>0</v>
      </c>
      <c r="S105" s="15">
        <f t="shared" si="161"/>
        <v>0</v>
      </c>
      <c r="T105" s="15">
        <f t="shared" si="161"/>
        <v>0</v>
      </c>
      <c r="U105" s="15">
        <f t="shared" si="161"/>
        <v>0</v>
      </c>
      <c r="V105" s="15">
        <f t="shared" si="161"/>
        <v>0</v>
      </c>
      <c r="W105" s="15">
        <f t="shared" si="161"/>
        <v>0</v>
      </c>
      <c r="X105" s="15">
        <f t="shared" si="161"/>
        <v>0</v>
      </c>
      <c r="Y105" s="15">
        <f t="shared" si="161"/>
        <v>0</v>
      </c>
      <c r="Z105" s="15">
        <f t="shared" si="161"/>
        <v>0</v>
      </c>
      <c r="AA105" s="7">
        <f t="shared" si="161"/>
        <v>0</v>
      </c>
      <c r="AB105" s="7">
        <f t="shared" si="161"/>
        <v>0</v>
      </c>
      <c r="AC105" s="7">
        <f t="shared" si="161"/>
        <v>0</v>
      </c>
      <c r="AD105" s="7">
        <f t="shared" si="161"/>
        <v>0</v>
      </c>
      <c r="AE105" s="7">
        <f t="shared" si="161"/>
        <v>0</v>
      </c>
      <c r="AF105" s="7">
        <f>SUM(AF97:AF103)</f>
        <v>0</v>
      </c>
      <c r="AG105" s="7">
        <f t="shared" ref="AG105:AJ105" si="162">SUM(AG97:AG103)</f>
        <v>0</v>
      </c>
      <c r="AH105" s="7">
        <f t="shared" si="162"/>
        <v>0</v>
      </c>
      <c r="AI105" s="7">
        <f t="shared" si="162"/>
        <v>0</v>
      </c>
      <c r="AJ105" s="7">
        <f t="shared" si="162"/>
        <v>0</v>
      </c>
      <c r="AK105" s="31" t="e">
        <f t="shared" si="158"/>
        <v>#DIV/0!</v>
      </c>
      <c r="AL105" s="31" t="e">
        <f t="shared" si="154"/>
        <v>#DIV/0!</v>
      </c>
      <c r="AM105" s="31" t="e">
        <f t="shared" si="154"/>
        <v>#DIV/0!</v>
      </c>
      <c r="AN105" s="31" t="e">
        <f t="shared" si="154"/>
        <v>#DIV/0!</v>
      </c>
      <c r="AO105" s="31" t="e">
        <f t="shared" si="154"/>
        <v>#DIV/0!</v>
      </c>
      <c r="AP105" s="15">
        <f t="shared" ref="AP105" si="163">SUM(AP97:AP103)</f>
        <v>13930.407000000003</v>
      </c>
      <c r="AQ105" s="15">
        <f>SUM(AQ97:AQ104)</f>
        <v>19706.296000000031</v>
      </c>
      <c r="AR105" s="15">
        <f t="shared" ref="AR105:BA105" si="164">SUM(AR97:AR104)</f>
        <v>29635.230000000003</v>
      </c>
      <c r="AS105" s="15">
        <f t="shared" si="164"/>
        <v>25471.800000000003</v>
      </c>
      <c r="AT105" s="15">
        <f t="shared" si="164"/>
        <v>22432.89</v>
      </c>
      <c r="AU105" s="15">
        <f>SUM(AU97:AU104)</f>
        <v>27374.15</v>
      </c>
      <c r="AV105" s="15">
        <f>SUM(AV97:AV104)</f>
        <v>22380.5</v>
      </c>
      <c r="AW105" s="15">
        <f t="shared" si="164"/>
        <v>0</v>
      </c>
      <c r="AX105" s="15">
        <f t="shared" si="164"/>
        <v>0</v>
      </c>
      <c r="AY105" s="15">
        <f t="shared" si="164"/>
        <v>0</v>
      </c>
      <c r="AZ105" s="15">
        <f t="shared" si="164"/>
        <v>0</v>
      </c>
      <c r="BA105" s="15">
        <f t="shared" si="164"/>
        <v>0</v>
      </c>
      <c r="BB105" s="116">
        <f>SUM(AP105:INDEX(AP105:AR105,IF($B$3&lt;3,$B$3,3)))</f>
        <v>63271.933000000041</v>
      </c>
      <c r="BC105" s="116">
        <f>SUM(AS105:INDEX(AS105:AU105,IF(AND($B$3&gt;3,$B$3&lt;7),$B$3-3,0)))</f>
        <v>75278.84</v>
      </c>
      <c r="BD105" s="116">
        <f>SUM(AV105:INDEX(AV105:AX105,IF(AND($B$3&gt;6,$B$3&lt;10),$B$3-6,0)))</f>
        <v>22380.5</v>
      </c>
      <c r="BE105" s="116">
        <f>SUM(AY105:INDEX(AY105:BA105,IF($B$3&gt;9,$B$3-9,0)))</f>
        <v>0</v>
      </c>
      <c r="BF105" s="116">
        <f>SUM($AP105:INDEX(AP105:BA105,$B$3))</f>
        <v>160931.27300000004</v>
      </c>
      <c r="BG105" s="126" t="e">
        <f t="shared" si="159"/>
        <v>#DIV/0!</v>
      </c>
      <c r="BH105" s="111" t="e">
        <f t="shared" si="155"/>
        <v>#DIV/0!</v>
      </c>
      <c r="BI105" s="111" t="e">
        <f t="shared" si="155"/>
        <v>#DIV/0!</v>
      </c>
      <c r="BJ105" s="111" t="e">
        <f t="shared" si="155"/>
        <v>#DIV/0!</v>
      </c>
      <c r="BK105" s="111" t="e">
        <f t="shared" si="155"/>
        <v>#DIV/0!</v>
      </c>
      <c r="BL105" s="111" t="e">
        <f t="shared" si="155"/>
        <v>#DIV/0!</v>
      </c>
      <c r="BM105" s="111" t="e">
        <f t="shared" si="155"/>
        <v>#DIV/0!</v>
      </c>
      <c r="BN105" s="111" t="e">
        <f t="shared" si="155"/>
        <v>#DIV/0!</v>
      </c>
      <c r="BO105" s="111" t="e">
        <f t="shared" si="155"/>
        <v>#DIV/0!</v>
      </c>
      <c r="BP105" s="111" t="e">
        <f t="shared" si="155"/>
        <v>#DIV/0!</v>
      </c>
      <c r="BQ105" s="111" t="e">
        <f t="shared" si="155"/>
        <v>#DIV/0!</v>
      </c>
      <c r="BR105" s="111" t="e">
        <f t="shared" si="155"/>
        <v>#DIV/0!</v>
      </c>
      <c r="BS105" s="111" t="e">
        <f>BB105/SUM(O105:INDEX(O105:Q105,IF($B$3&lt;3,$B$3,3)))</f>
        <v>#DIV/0!</v>
      </c>
      <c r="BT105" s="111" t="e">
        <f>BC105/SUM(R105:INDEX(R105:T105,$C$3))</f>
        <v>#DIV/0!</v>
      </c>
      <c r="BU105" s="111" t="e">
        <f t="shared" si="156"/>
        <v>#DIV/0!</v>
      </c>
      <c r="BV105" s="111" t="e">
        <f t="shared" si="156"/>
        <v>#DIV/0!</v>
      </c>
      <c r="BW105" s="111" t="e">
        <f t="shared" si="160"/>
        <v>#DIV/0!</v>
      </c>
    </row>
    <row r="106" spans="1:75" x14ac:dyDescent="0.25"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24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</row>
    <row r="107" spans="1:75" x14ac:dyDescent="0.25"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24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</row>
    <row r="108" spans="1:75" s="19" customFormat="1" hidden="1" outlineLevel="1" x14ac:dyDescent="0.25">
      <c r="B108" s="2" t="s">
        <v>9</v>
      </c>
      <c r="C108" s="3">
        <v>42005</v>
      </c>
      <c r="D108" s="3">
        <v>42036</v>
      </c>
      <c r="E108" s="3">
        <v>42064</v>
      </c>
      <c r="F108" s="3">
        <v>42095</v>
      </c>
      <c r="G108" s="3">
        <v>42125</v>
      </c>
      <c r="H108" s="3">
        <v>42156</v>
      </c>
      <c r="I108" s="3">
        <v>42186</v>
      </c>
      <c r="J108" s="3">
        <v>42217</v>
      </c>
      <c r="K108" s="3">
        <v>42248</v>
      </c>
      <c r="L108" s="3">
        <v>42278</v>
      </c>
      <c r="M108" s="3">
        <v>42309</v>
      </c>
      <c r="N108" s="3">
        <v>42339</v>
      </c>
      <c r="O108" s="3">
        <v>42370</v>
      </c>
      <c r="P108" s="3">
        <v>42401</v>
      </c>
      <c r="Q108" s="3">
        <v>42430</v>
      </c>
      <c r="R108" s="3">
        <v>42461</v>
      </c>
      <c r="S108" s="3">
        <v>42491</v>
      </c>
      <c r="T108" s="3">
        <v>42522</v>
      </c>
      <c r="U108" s="3">
        <v>42552</v>
      </c>
      <c r="V108" s="3">
        <v>42583</v>
      </c>
      <c r="W108" s="3">
        <v>42614</v>
      </c>
      <c r="X108" s="3">
        <v>42644</v>
      </c>
      <c r="Y108" s="3">
        <v>42675</v>
      </c>
      <c r="Z108" s="3">
        <v>42705</v>
      </c>
      <c r="AA108" s="29" t="str">
        <f>$AA$89</f>
        <v>YTD 7/16</v>
      </c>
      <c r="AB108" s="29" t="s">
        <v>19</v>
      </c>
      <c r="AC108" s="29" t="s">
        <v>20</v>
      </c>
      <c r="AD108" s="29" t="s">
        <v>21</v>
      </c>
      <c r="AE108" s="29" t="s">
        <v>22</v>
      </c>
      <c r="AF108" s="26" t="str">
        <f t="shared" ref="AF108:AJ108" si="165">AF96</f>
        <v>YTD 0/15</v>
      </c>
      <c r="AG108" s="26" t="str">
        <f t="shared" si="165"/>
        <v>Q1 '15</v>
      </c>
      <c r="AH108" s="26" t="str">
        <f t="shared" si="165"/>
        <v>Q2 '15</v>
      </c>
      <c r="AI108" s="26" t="str">
        <f t="shared" si="165"/>
        <v>Q3 '15</v>
      </c>
      <c r="AJ108" s="26" t="str">
        <f t="shared" si="165"/>
        <v>Q4 '15</v>
      </c>
      <c r="AK108" s="30" t="s">
        <v>27</v>
      </c>
      <c r="AL108" s="30" t="s">
        <v>29</v>
      </c>
      <c r="AM108" s="30" t="s">
        <v>30</v>
      </c>
      <c r="AN108" s="30" t="s">
        <v>31</v>
      </c>
      <c r="AO108" s="30" t="s">
        <v>32</v>
      </c>
      <c r="AP108" s="108">
        <v>42736</v>
      </c>
      <c r="AQ108" s="108">
        <v>42767</v>
      </c>
      <c r="AR108" s="108">
        <v>42795</v>
      </c>
      <c r="AS108" s="108">
        <v>42826</v>
      </c>
      <c r="AT108" s="108">
        <v>42856</v>
      </c>
      <c r="AU108" s="108">
        <v>42887</v>
      </c>
      <c r="AV108" s="108">
        <v>42917</v>
      </c>
      <c r="AW108" s="108">
        <v>42948</v>
      </c>
      <c r="AX108" s="108">
        <v>42979</v>
      </c>
      <c r="AY108" s="108">
        <v>43009</v>
      </c>
      <c r="AZ108" s="108">
        <v>43040</v>
      </c>
      <c r="BA108" s="108">
        <v>43070</v>
      </c>
      <c r="BB108" s="29" t="s">
        <v>123</v>
      </c>
      <c r="BC108" s="29" t="s">
        <v>124</v>
      </c>
      <c r="BD108" s="29" t="s">
        <v>125</v>
      </c>
      <c r="BE108" s="29" t="s">
        <v>126</v>
      </c>
      <c r="BF108" s="29" t="str">
        <f>$BF$4</f>
        <v>YTD 7/17</v>
      </c>
      <c r="BG108" s="121">
        <v>42736</v>
      </c>
      <c r="BH108" s="108">
        <v>42767</v>
      </c>
      <c r="BI108" s="108">
        <v>42795</v>
      </c>
      <c r="BJ108" s="108">
        <v>42826</v>
      </c>
      <c r="BK108" s="108">
        <v>42856</v>
      </c>
      <c r="BL108" s="108">
        <v>42887</v>
      </c>
      <c r="BM108" s="108">
        <v>42917</v>
      </c>
      <c r="BN108" s="108">
        <v>42948</v>
      </c>
      <c r="BO108" s="108">
        <v>42979</v>
      </c>
      <c r="BP108" s="108">
        <v>43009</v>
      </c>
      <c r="BQ108" s="108">
        <v>43040</v>
      </c>
      <c r="BR108" s="108">
        <v>43070</v>
      </c>
      <c r="BS108" s="29" t="s">
        <v>127</v>
      </c>
      <c r="BT108" s="29" t="s">
        <v>128</v>
      </c>
      <c r="BU108" s="29" t="s">
        <v>96</v>
      </c>
      <c r="BV108" s="29" t="s">
        <v>129</v>
      </c>
      <c r="BW108" s="112" t="s">
        <v>130</v>
      </c>
    </row>
    <row r="109" spans="1:75" hidden="1" outlineLevel="1" x14ac:dyDescent="0.25">
      <c r="A109" s="20"/>
      <c r="B109" t="s">
        <v>17</v>
      </c>
      <c r="C109" s="6"/>
      <c r="AA109" s="22"/>
      <c r="AB109" s="22"/>
      <c r="AC109" s="22"/>
      <c r="AD109" s="22"/>
      <c r="AE109" s="22"/>
      <c r="AF109" s="18"/>
      <c r="AG109" s="22"/>
      <c r="AH109" s="22"/>
      <c r="AI109" s="22"/>
      <c r="AJ109" s="22"/>
      <c r="AK109" s="31" t="e">
        <f>AA109/AF109-1</f>
        <v>#DIV/0!</v>
      </c>
      <c r="AL109" s="31" t="e">
        <f t="shared" ref="AL109:AO116" si="166">AB109/AG109-1</f>
        <v>#DIV/0!</v>
      </c>
      <c r="AM109" s="31" t="e">
        <f t="shared" si="166"/>
        <v>#DIV/0!</v>
      </c>
      <c r="AN109" s="31" t="e">
        <f t="shared" si="166"/>
        <v>#DIV/0!</v>
      </c>
      <c r="AO109" s="31" t="e">
        <f t="shared" si="166"/>
        <v>#DIV/0!</v>
      </c>
      <c r="AP109" s="22">
        <f>[16]MP!Z33</f>
        <v>5455</v>
      </c>
      <c r="AQ109" s="22">
        <f>[17]MP!Z33</f>
        <v>3696</v>
      </c>
      <c r="AR109" s="22">
        <f>[18]MP!$Z$33</f>
        <v>3844</v>
      </c>
      <c r="AS109" s="22"/>
      <c r="AT109" s="22"/>
      <c r="AU109" s="22"/>
      <c r="AV109" s="18"/>
      <c r="AW109" s="18"/>
      <c r="AX109" s="18"/>
      <c r="AY109" s="18"/>
      <c r="AZ109" s="18"/>
      <c r="BA109" s="18"/>
      <c r="BB109" s="22">
        <f>INDEX(AP109:AR109,IF($B$3&lt;3,$B$3,3))</f>
        <v>3844</v>
      </c>
      <c r="BC109" s="22">
        <f>INDEX(AS109:AU109,IF($B$3&lt;7,$B$3-3,3))</f>
        <v>0</v>
      </c>
      <c r="BD109" s="18"/>
      <c r="BE109" s="18"/>
      <c r="BF109" s="22">
        <f>INDEX(AP109:BA109,$B$3)</f>
        <v>0</v>
      </c>
      <c r="BG109" s="122" t="e">
        <f>AP109/O109</f>
        <v>#DIV/0!</v>
      </c>
      <c r="BH109" s="111" t="e">
        <f>AQ109/P109</f>
        <v>#DIV/0!</v>
      </c>
      <c r="BI109" s="111" t="e">
        <f t="shared" ref="BI109:BK114" si="167">AR109/Q109</f>
        <v>#DIV/0!</v>
      </c>
      <c r="BJ109" s="111" t="e">
        <f t="shared" si="167"/>
        <v>#DIV/0!</v>
      </c>
      <c r="BK109" s="111" t="e">
        <f t="shared" si="167"/>
        <v>#DIV/0!</v>
      </c>
      <c r="BL109" s="18"/>
      <c r="BM109" s="18"/>
      <c r="BN109" s="18"/>
      <c r="BO109" s="18"/>
      <c r="BP109" s="18"/>
      <c r="BQ109" s="18"/>
      <c r="BR109" s="18"/>
      <c r="BS109" s="111" t="e">
        <f>BB109/INDEX(O109:Q109,IF($B$3&lt;3,$B$3,3))</f>
        <v>#DIV/0!</v>
      </c>
      <c r="BT109" s="111" t="e">
        <f>BC109/INDEX(R109:T109,IF($B$3&lt;7,$B$3-3,3))</f>
        <v>#DIV/0!</v>
      </c>
      <c r="BU109" s="18"/>
      <c r="BV109" s="18"/>
      <c r="BW109" s="111" t="e">
        <f t="shared" ref="BW109:BW116" si="168">BF109/AA109</f>
        <v>#DIV/0!</v>
      </c>
    </row>
    <row r="110" spans="1:75" hidden="1" outlineLevel="1" x14ac:dyDescent="0.25">
      <c r="A110" s="20"/>
      <c r="B110" t="s">
        <v>34</v>
      </c>
      <c r="C110" s="6"/>
      <c r="AA110" s="18"/>
      <c r="AB110" s="22"/>
      <c r="AC110" s="22"/>
      <c r="AD110" s="22"/>
      <c r="AE110" s="22"/>
      <c r="AF110" s="18"/>
      <c r="AG110" s="22"/>
      <c r="AH110" s="22"/>
      <c r="AI110" s="22"/>
      <c r="AJ110" s="22"/>
      <c r="AK110" s="31" t="e">
        <f t="shared" ref="AK110:AK116" si="169">AA110/AF110-1</f>
        <v>#DIV/0!</v>
      </c>
      <c r="AL110" s="31" t="e">
        <f t="shared" si="166"/>
        <v>#DIV/0!</v>
      </c>
      <c r="AM110" s="31" t="e">
        <f t="shared" si="166"/>
        <v>#DIV/0!</v>
      </c>
      <c r="AN110" s="31" t="e">
        <f t="shared" si="166"/>
        <v>#DIV/0!</v>
      </c>
      <c r="AO110" s="31" t="e">
        <f t="shared" si="166"/>
        <v>#DIV/0!</v>
      </c>
      <c r="AP110" s="22">
        <f>[16]MP!Z34</f>
        <v>253</v>
      </c>
      <c r="AQ110" s="22">
        <f>[17]MP!Z34</f>
        <v>272</v>
      </c>
      <c r="AR110" s="22">
        <f>[18]MP!$Z$35</f>
        <v>287</v>
      </c>
      <c r="AS110" s="22"/>
      <c r="AT110" s="22"/>
      <c r="AU110" s="22"/>
      <c r="AV110" s="18"/>
      <c r="AW110" s="18"/>
      <c r="AX110" s="18"/>
      <c r="AY110" s="18"/>
      <c r="AZ110" s="18"/>
      <c r="BA110" s="18"/>
      <c r="BB110" s="22">
        <f t="shared" ref="BB110:BB114" si="170">INDEX(AP110:AR110,IF($B$3&lt;3,$B$3,3))</f>
        <v>287</v>
      </c>
      <c r="BC110" s="18">
        <f t="shared" ref="BC110:BC115" si="171">INDEX(AS110:AU110,IF($B$3&lt;7,$B$3-3,3))</f>
        <v>0</v>
      </c>
      <c r="BD110" s="18"/>
      <c r="BE110" s="18"/>
      <c r="BF110" s="22">
        <f t="shared" ref="BF110:BF114" si="172">INDEX(AP110:BA110,$B$3)</f>
        <v>0</v>
      </c>
      <c r="BG110" s="122" t="e">
        <f t="shared" ref="BG110:BK116" si="173">AP110/O110</f>
        <v>#DIV/0!</v>
      </c>
      <c r="BH110" s="111" t="e">
        <f t="shared" si="173"/>
        <v>#DIV/0!</v>
      </c>
      <c r="BI110" s="111" t="e">
        <f t="shared" si="167"/>
        <v>#DIV/0!</v>
      </c>
      <c r="BJ110" s="111" t="e">
        <f t="shared" si="167"/>
        <v>#DIV/0!</v>
      </c>
      <c r="BK110" s="111" t="e">
        <f t="shared" si="167"/>
        <v>#DIV/0!</v>
      </c>
      <c r="BL110" s="18"/>
      <c r="BM110" s="18"/>
      <c r="BN110" s="18"/>
      <c r="BO110" s="18"/>
      <c r="BP110" s="18"/>
      <c r="BQ110" s="18"/>
      <c r="BR110" s="18"/>
      <c r="BS110" s="111" t="e">
        <f t="shared" ref="BS110:BS116" si="174">BB110/INDEX(O110:Q110,IF($B$3&lt;3,$B$3,3))</f>
        <v>#DIV/0!</v>
      </c>
      <c r="BT110" s="111" t="e">
        <f t="shared" ref="BT110:BT116" si="175">BC110/INDEX(R110:T110,IF($B$3&lt;7,$B$3-3,3))</f>
        <v>#DIV/0!</v>
      </c>
      <c r="BU110" s="18"/>
      <c r="BV110" s="18"/>
      <c r="BW110" s="111" t="e">
        <f t="shared" si="168"/>
        <v>#DIV/0!</v>
      </c>
    </row>
    <row r="111" spans="1:75" hidden="1" outlineLevel="1" x14ac:dyDescent="0.25">
      <c r="A111" s="20"/>
      <c r="B111" t="s">
        <v>35</v>
      </c>
      <c r="C111" s="6"/>
      <c r="AA111" s="18"/>
      <c r="AB111" s="18"/>
      <c r="AC111" s="18"/>
      <c r="AD111" s="18"/>
      <c r="AE111" s="18"/>
      <c r="AF111" s="18"/>
      <c r="AG111" s="22"/>
      <c r="AH111" s="22"/>
      <c r="AI111" s="22"/>
      <c r="AJ111" s="22"/>
      <c r="AK111" s="31" t="e">
        <f t="shared" si="169"/>
        <v>#DIV/0!</v>
      </c>
      <c r="AL111" s="31" t="e">
        <f t="shared" si="166"/>
        <v>#DIV/0!</v>
      </c>
      <c r="AM111" s="31" t="e">
        <f t="shared" si="166"/>
        <v>#DIV/0!</v>
      </c>
      <c r="AN111" s="31" t="e">
        <f t="shared" si="166"/>
        <v>#DIV/0!</v>
      </c>
      <c r="AO111" s="31" t="e">
        <f t="shared" si="166"/>
        <v>#DIV/0!</v>
      </c>
      <c r="AP111" s="22">
        <f>[16]MP!$Z$38</f>
        <v>722</v>
      </c>
      <c r="AQ111" s="22">
        <f>[17]MP!$Z$38</f>
        <v>749</v>
      </c>
      <c r="AR111" s="22">
        <f>[18]MP!$Z$39</f>
        <v>729</v>
      </c>
      <c r="AS111" s="22"/>
      <c r="AT111" s="22"/>
      <c r="AU111" s="22"/>
      <c r="AV111" s="18"/>
      <c r="AW111" s="18"/>
      <c r="AX111" s="18"/>
      <c r="AY111" s="18"/>
      <c r="AZ111" s="18"/>
      <c r="BA111" s="18"/>
      <c r="BB111" s="22">
        <f t="shared" si="170"/>
        <v>729</v>
      </c>
      <c r="BC111" s="18">
        <f t="shared" si="171"/>
        <v>0</v>
      </c>
      <c r="BD111" s="18"/>
      <c r="BE111" s="18"/>
      <c r="BF111" s="22">
        <f t="shared" si="172"/>
        <v>0</v>
      </c>
      <c r="BG111" s="122" t="e">
        <f t="shared" si="173"/>
        <v>#DIV/0!</v>
      </c>
      <c r="BH111" s="111" t="e">
        <f t="shared" si="173"/>
        <v>#DIV/0!</v>
      </c>
      <c r="BI111" s="111" t="e">
        <f t="shared" si="167"/>
        <v>#DIV/0!</v>
      </c>
      <c r="BJ111" s="111" t="e">
        <f t="shared" si="167"/>
        <v>#DIV/0!</v>
      </c>
      <c r="BK111" s="111" t="e">
        <f t="shared" si="167"/>
        <v>#DIV/0!</v>
      </c>
      <c r="BL111" s="18"/>
      <c r="BM111" s="18"/>
      <c r="BN111" s="18"/>
      <c r="BO111" s="18"/>
      <c r="BP111" s="18"/>
      <c r="BQ111" s="18"/>
      <c r="BR111" s="18"/>
      <c r="BS111" s="111" t="e">
        <f t="shared" si="174"/>
        <v>#DIV/0!</v>
      </c>
      <c r="BT111" s="111" t="e">
        <f t="shared" si="175"/>
        <v>#DIV/0!</v>
      </c>
      <c r="BU111" s="18"/>
      <c r="BV111" s="18"/>
      <c r="BW111" s="111" t="e">
        <f t="shared" si="168"/>
        <v>#DIV/0!</v>
      </c>
    </row>
    <row r="112" spans="1:75" hidden="1" outlineLevel="1" x14ac:dyDescent="0.25">
      <c r="A112" s="20"/>
      <c r="B112" t="s">
        <v>36</v>
      </c>
      <c r="C112" s="6"/>
      <c r="AA112" s="18"/>
      <c r="AB112" s="18"/>
      <c r="AC112" s="18"/>
      <c r="AD112" s="18"/>
      <c r="AE112" s="18"/>
      <c r="AF112" s="18"/>
      <c r="AG112" s="22"/>
      <c r="AH112" s="22"/>
      <c r="AI112" s="22"/>
      <c r="AJ112" s="22"/>
      <c r="AK112" s="31" t="e">
        <f t="shared" si="169"/>
        <v>#DIV/0!</v>
      </c>
      <c r="AL112" s="31" t="e">
        <f t="shared" si="166"/>
        <v>#DIV/0!</v>
      </c>
      <c r="AM112" s="31" t="e">
        <f t="shared" si="166"/>
        <v>#DIV/0!</v>
      </c>
      <c r="AN112" s="31" t="e">
        <f t="shared" si="166"/>
        <v>#DIV/0!</v>
      </c>
      <c r="AO112" s="31" t="e">
        <f t="shared" si="166"/>
        <v>#DIV/0!</v>
      </c>
      <c r="AP112" s="22">
        <f>[16]MP!$Z$37</f>
        <v>255</v>
      </c>
      <c r="AQ112" s="22">
        <f>[17]MP!$Z$37</f>
        <v>259</v>
      </c>
      <c r="AR112" s="22">
        <f>[18]MP!$Z$38</f>
        <v>249</v>
      </c>
      <c r="AS112" s="22"/>
      <c r="AT112" s="22"/>
      <c r="AU112" s="22"/>
      <c r="AV112" s="18"/>
      <c r="AW112" s="18"/>
      <c r="AX112" s="18"/>
      <c r="AY112" s="18"/>
      <c r="AZ112" s="18"/>
      <c r="BA112" s="18"/>
      <c r="BB112" s="22">
        <f t="shared" si="170"/>
        <v>249</v>
      </c>
      <c r="BC112" s="18">
        <f t="shared" si="171"/>
        <v>0</v>
      </c>
      <c r="BD112" s="18"/>
      <c r="BE112" s="18"/>
      <c r="BF112" s="22">
        <f t="shared" si="172"/>
        <v>0</v>
      </c>
      <c r="BG112" s="122" t="e">
        <f t="shared" si="173"/>
        <v>#DIV/0!</v>
      </c>
      <c r="BH112" s="111" t="e">
        <f t="shared" si="173"/>
        <v>#DIV/0!</v>
      </c>
      <c r="BI112" s="111" t="e">
        <f t="shared" si="167"/>
        <v>#DIV/0!</v>
      </c>
      <c r="BJ112" s="111" t="e">
        <f t="shared" si="167"/>
        <v>#DIV/0!</v>
      </c>
      <c r="BK112" s="111" t="e">
        <f t="shared" si="167"/>
        <v>#DIV/0!</v>
      </c>
      <c r="BL112" s="18"/>
      <c r="BM112" s="18"/>
      <c r="BN112" s="18"/>
      <c r="BO112" s="18"/>
      <c r="BP112" s="18"/>
      <c r="BQ112" s="18"/>
      <c r="BR112" s="18"/>
      <c r="BS112" s="111" t="e">
        <f t="shared" si="174"/>
        <v>#DIV/0!</v>
      </c>
      <c r="BT112" s="111" t="e">
        <f t="shared" si="175"/>
        <v>#DIV/0!</v>
      </c>
      <c r="BU112" s="18"/>
      <c r="BV112" s="18"/>
      <c r="BW112" s="111" t="e">
        <f t="shared" si="168"/>
        <v>#DIV/0!</v>
      </c>
    </row>
    <row r="113" spans="1:75" hidden="1" outlineLevel="1" x14ac:dyDescent="0.25">
      <c r="A113" s="20"/>
      <c r="B113" t="s">
        <v>37</v>
      </c>
      <c r="C113" s="6"/>
      <c r="AA113" s="18"/>
      <c r="AB113" s="18"/>
      <c r="AC113" s="18"/>
      <c r="AD113" s="18"/>
      <c r="AE113" s="18"/>
      <c r="AF113" s="18"/>
      <c r="AG113" s="22"/>
      <c r="AH113" s="22"/>
      <c r="AI113" s="22"/>
      <c r="AJ113" s="22"/>
      <c r="AK113" s="31" t="e">
        <f t="shared" si="169"/>
        <v>#DIV/0!</v>
      </c>
      <c r="AL113" s="31" t="e">
        <f t="shared" si="166"/>
        <v>#DIV/0!</v>
      </c>
      <c r="AM113" s="31" t="e">
        <f t="shared" si="166"/>
        <v>#DIV/0!</v>
      </c>
      <c r="AN113" s="31" t="e">
        <f t="shared" si="166"/>
        <v>#DIV/0!</v>
      </c>
      <c r="AO113" s="31" t="e">
        <f t="shared" si="166"/>
        <v>#DIV/0!</v>
      </c>
      <c r="AP113" s="22">
        <f>[16]MP!Z35</f>
        <v>74</v>
      </c>
      <c r="AQ113" s="22">
        <f>[17]MP!Z35</f>
        <v>83</v>
      </c>
      <c r="AR113" s="22">
        <f>[18]MP!Z36</f>
        <v>82</v>
      </c>
      <c r="AS113" s="22"/>
      <c r="AT113" s="22"/>
      <c r="AU113" s="22"/>
      <c r="AV113" s="18"/>
      <c r="AW113" s="18"/>
      <c r="AX113" s="18"/>
      <c r="AY113" s="18"/>
      <c r="AZ113" s="18"/>
      <c r="BA113" s="18"/>
      <c r="BB113" s="22">
        <f t="shared" si="170"/>
        <v>82</v>
      </c>
      <c r="BC113" s="18">
        <f t="shared" si="171"/>
        <v>0</v>
      </c>
      <c r="BD113" s="18"/>
      <c r="BE113" s="18"/>
      <c r="BF113" s="22">
        <f t="shared" si="172"/>
        <v>0</v>
      </c>
      <c r="BG113" s="122" t="e">
        <f t="shared" si="173"/>
        <v>#DIV/0!</v>
      </c>
      <c r="BH113" s="111" t="e">
        <f t="shared" si="173"/>
        <v>#DIV/0!</v>
      </c>
      <c r="BI113" s="111" t="e">
        <f t="shared" si="167"/>
        <v>#DIV/0!</v>
      </c>
      <c r="BJ113" s="111" t="e">
        <f t="shared" si="167"/>
        <v>#DIV/0!</v>
      </c>
      <c r="BK113" s="111" t="e">
        <f t="shared" si="167"/>
        <v>#DIV/0!</v>
      </c>
      <c r="BL113" s="18"/>
      <c r="BM113" s="18"/>
      <c r="BN113" s="18"/>
      <c r="BO113" s="18"/>
      <c r="BP113" s="18"/>
      <c r="BQ113" s="18"/>
      <c r="BR113" s="18"/>
      <c r="BS113" s="111" t="e">
        <f t="shared" si="174"/>
        <v>#DIV/0!</v>
      </c>
      <c r="BT113" s="111" t="e">
        <f t="shared" si="175"/>
        <v>#DIV/0!</v>
      </c>
      <c r="BU113" s="18"/>
      <c r="BV113" s="18"/>
      <c r="BW113" s="111" t="e">
        <f t="shared" si="168"/>
        <v>#DIV/0!</v>
      </c>
    </row>
    <row r="114" spans="1:75" hidden="1" outlineLevel="1" x14ac:dyDescent="0.25">
      <c r="A114" s="20"/>
      <c r="B114" t="s">
        <v>38</v>
      </c>
      <c r="C114" s="6"/>
      <c r="AA114" s="18"/>
      <c r="AB114" s="18"/>
      <c r="AC114" s="18"/>
      <c r="AD114" s="18"/>
      <c r="AE114" s="18"/>
      <c r="AF114" s="18"/>
      <c r="AG114" s="22"/>
      <c r="AH114" s="22"/>
      <c r="AI114" s="22"/>
      <c r="AJ114" s="22"/>
      <c r="AK114" s="31" t="e">
        <f t="shared" si="169"/>
        <v>#DIV/0!</v>
      </c>
      <c r="AL114" s="31" t="e">
        <f t="shared" si="166"/>
        <v>#DIV/0!</v>
      </c>
      <c r="AM114" s="31" t="e">
        <f t="shared" si="166"/>
        <v>#DIV/0!</v>
      </c>
      <c r="AN114" s="31" t="e">
        <f t="shared" si="166"/>
        <v>#DIV/0!</v>
      </c>
      <c r="AO114" s="31" t="e">
        <f t="shared" si="166"/>
        <v>#DIV/0!</v>
      </c>
      <c r="AP114" s="22">
        <f>[16]MP!Z36</f>
        <v>51</v>
      </c>
      <c r="AQ114" s="22">
        <f>[17]MP!Z36</f>
        <v>53</v>
      </c>
      <c r="AR114" s="22">
        <f>[18]MP!Z37</f>
        <v>52</v>
      </c>
      <c r="AS114" s="22"/>
      <c r="AT114" s="22"/>
      <c r="AU114" s="22"/>
      <c r="AV114" s="18"/>
      <c r="AW114" s="18"/>
      <c r="AX114" s="18"/>
      <c r="AY114" s="18"/>
      <c r="AZ114" s="18"/>
      <c r="BA114" s="18"/>
      <c r="BB114" s="22">
        <f t="shared" si="170"/>
        <v>52</v>
      </c>
      <c r="BC114" s="18">
        <f t="shared" si="171"/>
        <v>0</v>
      </c>
      <c r="BD114" s="18"/>
      <c r="BE114" s="18"/>
      <c r="BF114" s="22">
        <f t="shared" si="172"/>
        <v>0</v>
      </c>
      <c r="BG114" s="122" t="e">
        <f t="shared" si="173"/>
        <v>#DIV/0!</v>
      </c>
      <c r="BH114" s="111" t="e">
        <f t="shared" si="173"/>
        <v>#DIV/0!</v>
      </c>
      <c r="BI114" s="111" t="e">
        <f t="shared" si="167"/>
        <v>#DIV/0!</v>
      </c>
      <c r="BJ114" s="111" t="e">
        <f t="shared" si="167"/>
        <v>#DIV/0!</v>
      </c>
      <c r="BK114" s="111" t="e">
        <f t="shared" si="167"/>
        <v>#DIV/0!</v>
      </c>
      <c r="BL114" s="18"/>
      <c r="BM114" s="18"/>
      <c r="BN114" s="18"/>
      <c r="BO114" s="18"/>
      <c r="BP114" s="18"/>
      <c r="BQ114" s="18"/>
      <c r="BR114" s="18"/>
      <c r="BS114" s="111" t="e">
        <f t="shared" si="174"/>
        <v>#DIV/0!</v>
      </c>
      <c r="BT114" s="111" t="e">
        <f t="shared" si="175"/>
        <v>#DIV/0!</v>
      </c>
      <c r="BU114" s="18"/>
      <c r="BV114" s="18"/>
      <c r="BW114" s="111" t="e">
        <f t="shared" si="168"/>
        <v>#DIV/0!</v>
      </c>
    </row>
    <row r="115" spans="1:75" hidden="1" outlineLevel="1" x14ac:dyDescent="0.25">
      <c r="A115" s="20"/>
      <c r="B115" s="135" t="s">
        <v>136</v>
      </c>
      <c r="C115" s="6"/>
      <c r="AA115" s="18"/>
      <c r="AB115" s="18"/>
      <c r="AC115" s="18"/>
      <c r="AD115" s="18"/>
      <c r="AE115" s="18"/>
      <c r="AF115" s="18"/>
      <c r="AG115" s="22"/>
      <c r="AH115" s="22"/>
      <c r="AI115" s="22"/>
      <c r="AJ115" s="22"/>
      <c r="AK115" s="31"/>
      <c r="AL115" s="31"/>
      <c r="AM115" s="31"/>
      <c r="AN115" s="31"/>
      <c r="AO115" s="31"/>
      <c r="AP115" s="22"/>
      <c r="AQ115" s="22">
        <f>[17]MP!$Z$39</f>
        <v>1555</v>
      </c>
      <c r="AR115" s="22">
        <f>[18]MP!$Z$34</f>
        <v>1709</v>
      </c>
      <c r="AS115" s="22"/>
      <c r="AT115" s="22"/>
      <c r="AU115" s="22"/>
      <c r="AV115" s="18"/>
      <c r="AW115" s="18"/>
      <c r="AX115" s="18"/>
      <c r="AY115" s="18"/>
      <c r="AZ115" s="18"/>
      <c r="BA115" s="18"/>
      <c r="BB115" s="22"/>
      <c r="BC115" s="18">
        <f t="shared" si="171"/>
        <v>0</v>
      </c>
      <c r="BD115" s="18"/>
      <c r="BE115" s="18"/>
      <c r="BF115" s="22"/>
      <c r="BG115" s="122"/>
      <c r="BH115" s="111"/>
      <c r="BI115" s="111"/>
      <c r="BJ115" s="111"/>
      <c r="BK115" s="111"/>
      <c r="BL115" s="18"/>
      <c r="BM115" s="18"/>
      <c r="BN115" s="18"/>
      <c r="BO115" s="18"/>
      <c r="BP115" s="18"/>
      <c r="BQ115" s="18"/>
      <c r="BR115" s="18"/>
      <c r="BS115" s="111"/>
      <c r="BT115" s="111"/>
      <c r="BU115" s="18"/>
      <c r="BV115" s="18"/>
      <c r="BW115" s="111"/>
    </row>
    <row r="116" spans="1:75" s="19" customFormat="1" hidden="1" outlineLevel="1" x14ac:dyDescent="0.25">
      <c r="B116" s="1" t="s">
        <v>137</v>
      </c>
      <c r="C116" s="7">
        <f t="shared" ref="C116:Z116" si="176">SUM(C109:C114)</f>
        <v>0</v>
      </c>
      <c r="D116" s="7">
        <f t="shared" si="176"/>
        <v>0</v>
      </c>
      <c r="E116" s="7">
        <f t="shared" si="176"/>
        <v>0</v>
      </c>
      <c r="F116" s="7">
        <f t="shared" si="176"/>
        <v>0</v>
      </c>
      <c r="G116" s="7">
        <f t="shared" si="176"/>
        <v>0</v>
      </c>
      <c r="H116" s="7">
        <f t="shared" si="176"/>
        <v>0</v>
      </c>
      <c r="I116" s="7">
        <f t="shared" si="176"/>
        <v>0</v>
      </c>
      <c r="J116" s="7">
        <f t="shared" si="176"/>
        <v>0</v>
      </c>
      <c r="K116" s="7">
        <f t="shared" si="176"/>
        <v>0</v>
      </c>
      <c r="L116" s="7">
        <f t="shared" si="176"/>
        <v>0</v>
      </c>
      <c r="M116" s="7">
        <f t="shared" si="176"/>
        <v>0</v>
      </c>
      <c r="N116" s="7">
        <f t="shared" si="176"/>
        <v>0</v>
      </c>
      <c r="O116" s="7">
        <f t="shared" si="176"/>
        <v>0</v>
      </c>
      <c r="P116" s="7">
        <f t="shared" si="176"/>
        <v>0</v>
      </c>
      <c r="Q116" s="7">
        <f t="shared" si="176"/>
        <v>0</v>
      </c>
      <c r="R116" s="7">
        <f t="shared" si="176"/>
        <v>0</v>
      </c>
      <c r="S116" s="7">
        <f t="shared" si="176"/>
        <v>0</v>
      </c>
      <c r="T116" s="7">
        <f t="shared" si="176"/>
        <v>0</v>
      </c>
      <c r="U116" s="7">
        <f t="shared" si="176"/>
        <v>0</v>
      </c>
      <c r="V116" s="7">
        <f t="shared" si="176"/>
        <v>0</v>
      </c>
      <c r="W116" s="7">
        <f t="shared" si="176"/>
        <v>0</v>
      </c>
      <c r="X116" s="7">
        <f t="shared" si="176"/>
        <v>0</v>
      </c>
      <c r="Y116" s="7">
        <f t="shared" si="176"/>
        <v>0</v>
      </c>
      <c r="Z116" s="7">
        <f t="shared" si="176"/>
        <v>0</v>
      </c>
      <c r="AA116" s="17">
        <f t="shared" ref="AA116" si="177">INDEX($O116:$Z116,$B$3)</f>
        <v>0</v>
      </c>
      <c r="AB116" s="17">
        <f t="shared" ref="AB116" si="178">Q116</f>
        <v>0</v>
      </c>
      <c r="AC116" s="17">
        <f t="shared" ref="AC116" si="179">T116</f>
        <v>0</v>
      </c>
      <c r="AD116" s="17">
        <f t="shared" ref="AD116" si="180">W116</f>
        <v>0</v>
      </c>
      <c r="AE116" s="17">
        <f t="shared" ref="AE116" si="181">Z116</f>
        <v>0</v>
      </c>
      <c r="AF116" s="17">
        <f t="shared" ref="AF116" si="182">INDEX($C116:$N116,$B$3)</f>
        <v>0</v>
      </c>
      <c r="AG116" s="27">
        <f t="shared" ref="AG116" si="183">E116</f>
        <v>0</v>
      </c>
      <c r="AH116" s="27">
        <f t="shared" ref="AH116" si="184">H116</f>
        <v>0</v>
      </c>
      <c r="AI116" s="27">
        <f t="shared" ref="AI116" si="185">K116</f>
        <v>0</v>
      </c>
      <c r="AJ116" s="27">
        <f t="shared" ref="AJ116" si="186">N116</f>
        <v>0</v>
      </c>
      <c r="AK116" s="32" t="e">
        <f t="shared" si="169"/>
        <v>#DIV/0!</v>
      </c>
      <c r="AL116" s="32" t="e">
        <f t="shared" si="166"/>
        <v>#DIV/0!</v>
      </c>
      <c r="AM116" s="32" t="e">
        <f t="shared" si="166"/>
        <v>#DIV/0!</v>
      </c>
      <c r="AN116" s="32" t="e">
        <f t="shared" si="166"/>
        <v>#DIV/0!</v>
      </c>
      <c r="AO116" s="32" t="e">
        <f t="shared" si="166"/>
        <v>#DIV/0!</v>
      </c>
      <c r="AP116" s="115">
        <f t="shared" ref="AP116:AU116" si="187">SUM(AP109:AP114)</f>
        <v>6810</v>
      </c>
      <c r="AQ116" s="115">
        <f t="shared" si="187"/>
        <v>5112</v>
      </c>
      <c r="AR116" s="115">
        <f t="shared" si="187"/>
        <v>5243</v>
      </c>
      <c r="AS116" s="115">
        <f t="shared" si="187"/>
        <v>0</v>
      </c>
      <c r="AT116" s="115">
        <f t="shared" si="187"/>
        <v>0</v>
      </c>
      <c r="AU116" s="115">
        <f t="shared" si="187"/>
        <v>0</v>
      </c>
      <c r="AV116" s="18"/>
      <c r="AW116" s="18"/>
      <c r="AX116" s="18"/>
      <c r="AY116" s="18"/>
      <c r="AZ116" s="18"/>
      <c r="BA116" s="18"/>
      <c r="BB116" s="114">
        <f t="shared" ref="BB116:BF116" si="188">SUM(BB109:BB114)</f>
        <v>5243</v>
      </c>
      <c r="BC116" s="114">
        <f t="shared" si="188"/>
        <v>0</v>
      </c>
      <c r="BD116" s="114">
        <f t="shared" si="188"/>
        <v>0</v>
      </c>
      <c r="BE116" s="114">
        <f t="shared" si="188"/>
        <v>0</v>
      </c>
      <c r="BF116" s="114">
        <f t="shared" si="188"/>
        <v>0</v>
      </c>
      <c r="BG116" s="123" t="e">
        <f t="shared" si="173"/>
        <v>#DIV/0!</v>
      </c>
      <c r="BH116" s="118" t="e">
        <f t="shared" si="173"/>
        <v>#DIV/0!</v>
      </c>
      <c r="BI116" s="118" t="e">
        <f t="shared" si="173"/>
        <v>#DIV/0!</v>
      </c>
      <c r="BJ116" s="118" t="e">
        <f t="shared" si="173"/>
        <v>#DIV/0!</v>
      </c>
      <c r="BK116" s="118" t="e">
        <f t="shared" si="173"/>
        <v>#DIV/0!</v>
      </c>
      <c r="BL116" s="37"/>
      <c r="BM116" s="37"/>
      <c r="BN116" s="37"/>
      <c r="BO116" s="37"/>
      <c r="BP116" s="37"/>
      <c r="BQ116" s="37"/>
      <c r="BR116" s="37"/>
      <c r="BS116" s="118" t="e">
        <f t="shared" si="174"/>
        <v>#DIV/0!</v>
      </c>
      <c r="BT116" s="111" t="e">
        <f t="shared" si="175"/>
        <v>#DIV/0!</v>
      </c>
      <c r="BU116" s="37"/>
      <c r="BV116" s="37"/>
      <c r="BW116" s="118" t="e">
        <f t="shared" si="168"/>
        <v>#DIV/0!</v>
      </c>
    </row>
    <row r="117" spans="1:75" hidden="1" outlineLevel="1" x14ac:dyDescent="0.25">
      <c r="C117" s="6">
        <f t="shared" ref="C117:T117" si="189">C26</f>
        <v>0</v>
      </c>
      <c r="D117" s="6">
        <f t="shared" si="189"/>
        <v>0</v>
      </c>
      <c r="E117" s="6">
        <f t="shared" si="189"/>
        <v>0</v>
      </c>
      <c r="F117" s="6">
        <f t="shared" si="189"/>
        <v>0</v>
      </c>
      <c r="G117" s="6">
        <f t="shared" si="189"/>
        <v>0</v>
      </c>
      <c r="H117" s="6">
        <f t="shared" si="189"/>
        <v>0</v>
      </c>
      <c r="I117" s="6">
        <f t="shared" si="189"/>
        <v>0</v>
      </c>
      <c r="J117" s="6">
        <f t="shared" si="189"/>
        <v>0</v>
      </c>
      <c r="K117" s="6">
        <f t="shared" si="189"/>
        <v>0</v>
      </c>
      <c r="L117" s="6">
        <f t="shared" si="189"/>
        <v>0</v>
      </c>
      <c r="M117" s="6">
        <f t="shared" si="189"/>
        <v>0</v>
      </c>
      <c r="N117" s="6">
        <f t="shared" si="189"/>
        <v>0</v>
      </c>
      <c r="O117" s="6">
        <f t="shared" si="189"/>
        <v>0</v>
      </c>
      <c r="P117" s="6">
        <f t="shared" si="189"/>
        <v>0</v>
      </c>
      <c r="Q117" s="6">
        <f t="shared" si="189"/>
        <v>0</v>
      </c>
      <c r="R117" s="6">
        <f t="shared" si="189"/>
        <v>0</v>
      </c>
      <c r="S117" s="6">
        <f t="shared" si="189"/>
        <v>0</v>
      </c>
      <c r="T117" s="6">
        <f t="shared" si="189"/>
        <v>0</v>
      </c>
      <c r="U117">
        <f>SUM(U111:U114)</f>
        <v>0</v>
      </c>
      <c r="V117">
        <f t="shared" ref="V117:Y117" si="190">SUM(V111:V114)</f>
        <v>0</v>
      </c>
      <c r="W117">
        <f t="shared" si="190"/>
        <v>0</v>
      </c>
      <c r="X117">
        <f t="shared" si="190"/>
        <v>0</v>
      </c>
      <c r="Y117">
        <f t="shared" si="190"/>
        <v>0</v>
      </c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24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</row>
    <row r="118" spans="1:75" hidden="1" outlineLevel="1" x14ac:dyDescent="0.25"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24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</row>
    <row r="119" spans="1:75" hidden="1" outlineLevel="1" x14ac:dyDescent="0.25">
      <c r="A119" s="20"/>
      <c r="B119" s="2" t="s">
        <v>15</v>
      </c>
      <c r="C119" s="3">
        <v>42005</v>
      </c>
      <c r="D119" s="3">
        <v>42036</v>
      </c>
      <c r="E119" s="3">
        <v>42064</v>
      </c>
      <c r="F119" s="3">
        <v>42095</v>
      </c>
      <c r="G119" s="3">
        <v>42125</v>
      </c>
      <c r="H119" s="3">
        <v>42156</v>
      </c>
      <c r="I119" s="3">
        <v>42186</v>
      </c>
      <c r="J119" s="3">
        <v>42217</v>
      </c>
      <c r="K119" s="3">
        <v>42248</v>
      </c>
      <c r="L119" s="3">
        <v>42278</v>
      </c>
      <c r="M119" s="3">
        <v>42309</v>
      </c>
      <c r="N119" s="3">
        <v>42339</v>
      </c>
      <c r="O119" s="3">
        <v>42370</v>
      </c>
      <c r="P119" s="3">
        <v>42401</v>
      </c>
      <c r="Q119" s="3">
        <v>42430</v>
      </c>
      <c r="R119" s="3">
        <v>42461</v>
      </c>
      <c r="S119" s="3">
        <v>42491</v>
      </c>
      <c r="T119" s="3">
        <v>42522</v>
      </c>
      <c r="U119" s="3">
        <v>42552</v>
      </c>
      <c r="V119" s="3">
        <v>42583</v>
      </c>
      <c r="W119" s="3">
        <v>42614</v>
      </c>
      <c r="X119" s="3">
        <v>42644</v>
      </c>
      <c r="Y119" s="3">
        <v>42675</v>
      </c>
      <c r="Z119" s="3">
        <v>42705</v>
      </c>
      <c r="AA119" s="29" t="str">
        <f>$AA$89</f>
        <v>YTD 7/16</v>
      </c>
      <c r="AB119" s="29" t="s">
        <v>19</v>
      </c>
      <c r="AC119" s="29" t="s">
        <v>20</v>
      </c>
      <c r="AD119" s="29" t="s">
        <v>21</v>
      </c>
      <c r="AE119" s="29" t="s">
        <v>22</v>
      </c>
      <c r="AF119" s="26">
        <f t="shared" ref="AF119:AJ119" si="191">AF95</f>
        <v>0</v>
      </c>
      <c r="AG119" s="26">
        <f t="shared" si="191"/>
        <v>0</v>
      </c>
      <c r="AH119" s="26">
        <f t="shared" si="191"/>
        <v>0</v>
      </c>
      <c r="AI119" s="26">
        <f t="shared" si="191"/>
        <v>0</v>
      </c>
      <c r="AJ119" s="26">
        <f t="shared" si="191"/>
        <v>0</v>
      </c>
      <c r="AK119" s="30" t="s">
        <v>27</v>
      </c>
      <c r="AL119" s="30" t="s">
        <v>29</v>
      </c>
      <c r="AM119" s="30" t="s">
        <v>30</v>
      </c>
      <c r="AN119" s="30" t="s">
        <v>31</v>
      </c>
      <c r="AO119" s="30" t="s">
        <v>32</v>
      </c>
      <c r="AP119" s="108">
        <v>42736</v>
      </c>
      <c r="AQ119" s="108">
        <v>42767</v>
      </c>
      <c r="AR119" s="108">
        <v>42795</v>
      </c>
      <c r="AS119" s="108">
        <v>42826</v>
      </c>
      <c r="AT119" s="108">
        <v>42856</v>
      </c>
      <c r="AU119" s="108">
        <v>42887</v>
      </c>
      <c r="AV119" s="108">
        <v>42917</v>
      </c>
      <c r="AW119" s="108">
        <v>42948</v>
      </c>
      <c r="AX119" s="108">
        <v>42979</v>
      </c>
      <c r="AY119" s="108">
        <v>43009</v>
      </c>
      <c r="AZ119" s="108">
        <v>43040</v>
      </c>
      <c r="BA119" s="108">
        <v>43070</v>
      </c>
      <c r="BB119" s="29" t="s">
        <v>123</v>
      </c>
      <c r="BC119" s="29" t="s">
        <v>124</v>
      </c>
      <c r="BD119" s="29" t="s">
        <v>125</v>
      </c>
      <c r="BE119" s="29" t="s">
        <v>126</v>
      </c>
      <c r="BF119" s="29" t="str">
        <f>$BF$4</f>
        <v>YTD 7/17</v>
      </c>
      <c r="BG119" s="121">
        <v>42736</v>
      </c>
      <c r="BH119" s="108">
        <v>42767</v>
      </c>
      <c r="BI119" s="108">
        <v>42795</v>
      </c>
      <c r="BJ119" s="108">
        <v>42826</v>
      </c>
      <c r="BK119" s="108">
        <v>42856</v>
      </c>
      <c r="BL119" s="108">
        <v>42887</v>
      </c>
      <c r="BM119" s="108">
        <v>42917</v>
      </c>
      <c r="BN119" s="108">
        <v>42948</v>
      </c>
      <c r="BO119" s="108">
        <v>42979</v>
      </c>
      <c r="BP119" s="108">
        <v>43009</v>
      </c>
      <c r="BQ119" s="108">
        <v>43040</v>
      </c>
      <c r="BR119" s="108">
        <v>43070</v>
      </c>
      <c r="BS119" s="29" t="s">
        <v>127</v>
      </c>
      <c r="BT119" s="29" t="s">
        <v>128</v>
      </c>
      <c r="BU119" s="29" t="s">
        <v>96</v>
      </c>
      <c r="BV119" s="29" t="s">
        <v>129</v>
      </c>
      <c r="BW119" s="112" t="s">
        <v>130</v>
      </c>
    </row>
    <row r="120" spans="1:75" hidden="1" outlineLevel="1" x14ac:dyDescent="0.25">
      <c r="A120" s="20"/>
      <c r="B120" t="s">
        <v>17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31" t="e">
        <f>AA120/AF120-1</f>
        <v>#DIV/0!</v>
      </c>
      <c r="AL120" s="31" t="e">
        <f t="shared" ref="AL120:AO126" si="192">AB120/AG120-1</f>
        <v>#DIV/0!</v>
      </c>
      <c r="AM120" s="31" t="e">
        <f t="shared" si="192"/>
        <v>#DIV/0!</v>
      </c>
      <c r="AN120" s="31" t="e">
        <f t="shared" si="192"/>
        <v>#DIV/0!</v>
      </c>
      <c r="AO120" s="31" t="e">
        <f t="shared" si="192"/>
        <v>#DIV/0!</v>
      </c>
      <c r="AP120" s="113">
        <f>[16]Recruit!$J$43</f>
        <v>281</v>
      </c>
      <c r="AQ120" s="113">
        <f>[17]Recruit!$J$43</f>
        <v>597</v>
      </c>
      <c r="AR120" s="113">
        <f>[18]Recruit!$J$43</f>
        <v>823</v>
      </c>
      <c r="AS120" s="113">
        <f>[19]Recruit!$J$43</f>
        <v>633</v>
      </c>
      <c r="AT120" s="113">
        <f>[20]Recruit!$J$43</f>
        <v>565</v>
      </c>
      <c r="AU120" s="113">
        <f>[21]Recruit!$J$43</f>
        <v>1292</v>
      </c>
      <c r="AV120" s="113"/>
      <c r="AW120" s="113"/>
      <c r="AX120" s="113"/>
      <c r="AY120" s="113"/>
      <c r="AZ120" s="113"/>
      <c r="BA120" s="113"/>
      <c r="BB120" s="113">
        <f>SUM(AP120:INDEX(AP120:AR120,IF($B$3&lt;3,$B$3,3)))</f>
        <v>1701</v>
      </c>
      <c r="BC120" s="113" t="e">
        <f>SUM(AS120:INDEX(AS120:AU120,IF(AND($B$3&gt;3,B118&lt;7),$B$3-3,0)))</f>
        <v>#REF!</v>
      </c>
      <c r="BD120" s="113">
        <f>SUM(AV120:INDEX(AV120:AX120,IF(AND($B$3&gt;6,$B$3&lt;10),$B$3-6,0)))</f>
        <v>0</v>
      </c>
      <c r="BE120" s="113">
        <f>SUM(AY120:INDEX(AY120:BA120,IF($B$3&gt;9,$B$3-9,0)))</f>
        <v>0</v>
      </c>
      <c r="BF120" s="113">
        <f>SUM($AP120:INDEX(AP120:BA120,$B$3))</f>
        <v>4191</v>
      </c>
      <c r="BG120" s="122">
        <f>IFERROR(AP120/O120,0)</f>
        <v>0</v>
      </c>
      <c r="BH120" s="111">
        <f t="shared" ref="BH120:BR125" si="193">IFERROR(AQ120/P120,0)</f>
        <v>0</v>
      </c>
      <c r="BI120" s="111">
        <f t="shared" si="193"/>
        <v>0</v>
      </c>
      <c r="BJ120" s="111">
        <f t="shared" si="193"/>
        <v>0</v>
      </c>
      <c r="BK120" s="111">
        <f t="shared" si="193"/>
        <v>0</v>
      </c>
      <c r="BL120" s="111">
        <f t="shared" si="193"/>
        <v>0</v>
      </c>
      <c r="BM120" s="111">
        <f t="shared" si="193"/>
        <v>0</v>
      </c>
      <c r="BN120" s="111">
        <f t="shared" si="193"/>
        <v>0</v>
      </c>
      <c r="BO120" s="111">
        <f t="shared" si="193"/>
        <v>0</v>
      </c>
      <c r="BP120" s="111">
        <f t="shared" si="193"/>
        <v>0</v>
      </c>
      <c r="BQ120" s="111">
        <f t="shared" si="193"/>
        <v>0</v>
      </c>
      <c r="BR120" s="111">
        <f t="shared" si="193"/>
        <v>0</v>
      </c>
      <c r="BS120" s="111">
        <f>IFERROR(BB120/SUM(O120:INDEX(O120:Q120,IF($B$3&lt;3,$B$3,3))),0)</f>
        <v>0</v>
      </c>
      <c r="BT120" s="111">
        <f>IFERROR(BC120/SUM(R120:INDEX(R120:T120,IF($C$3&lt;3,$C$3,3))),0)</f>
        <v>0</v>
      </c>
      <c r="BU120" s="111">
        <f>IFERROR(BD120/SUM(U120:INDEX(U120:W120,IF($B$3&lt;3,$B$3,3))),0)</f>
        <v>0</v>
      </c>
      <c r="BV120" s="111">
        <f>IFERROR(BE120/SUM(X120:INDEX(X120:Z120,IF($B$3&lt;3,$B$3,3))),0)</f>
        <v>0</v>
      </c>
      <c r="BW120" s="111">
        <f>IFERROR(BF120/AA120,0)</f>
        <v>0</v>
      </c>
    </row>
    <row r="121" spans="1:75" hidden="1" outlineLevel="1" x14ac:dyDescent="0.25">
      <c r="A121" s="20"/>
      <c r="B121" t="s">
        <v>34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31" t="e">
        <f t="shared" ref="AK121:AK126" si="194">AA121/AF121-1</f>
        <v>#DIV/0!</v>
      </c>
      <c r="AL121" s="31" t="e">
        <f t="shared" si="192"/>
        <v>#DIV/0!</v>
      </c>
      <c r="AM121" s="31" t="e">
        <f t="shared" si="192"/>
        <v>#DIV/0!</v>
      </c>
      <c r="AN121" s="31">
        <f>IFERROR(AD121/AI121-1,0)</f>
        <v>0</v>
      </c>
      <c r="AO121" s="31">
        <f>IFERROR(AE121/AJ121-1,0)</f>
        <v>0</v>
      </c>
      <c r="AP121" s="113"/>
      <c r="AQ121" s="113">
        <f>[17]Recruit!$J$48</f>
        <v>1</v>
      </c>
      <c r="AR121" s="113"/>
      <c r="AS121" s="113"/>
      <c r="AT121" s="113"/>
      <c r="AU121" s="113">
        <f>[21]Recruit!$J$48</f>
        <v>2</v>
      </c>
      <c r="AV121" s="113"/>
      <c r="AW121" s="113"/>
      <c r="AX121" s="113"/>
      <c r="AY121" s="113"/>
      <c r="AZ121" s="113"/>
      <c r="BA121" s="113"/>
      <c r="BB121" s="113">
        <f>SUM(AP121:INDEX(AP121:AR121,IF($B$3&lt;3,$B$3,3)))</f>
        <v>1</v>
      </c>
      <c r="BC121" s="113">
        <f>SUM(AS121:INDEX(AS121:AU121,IF(AND($B$3&gt;3,B119&lt;7),$B$3-3,0)))</f>
        <v>2</v>
      </c>
      <c r="BD121" s="113">
        <f>SUM(AV121:INDEX(AV121:AX121,IF(AND($B$3&gt;6,$B$3&lt;10),$B$3-6,0)))</f>
        <v>0</v>
      </c>
      <c r="BE121" s="113">
        <f>SUM(AY121:INDEX(AY121:BA121,IF($B$3&gt;9,$B$3-9,0)))</f>
        <v>0</v>
      </c>
      <c r="BF121" s="113">
        <f>SUM($AP121:INDEX(AP121:BA121,$B$3))</f>
        <v>3</v>
      </c>
      <c r="BG121" s="122">
        <f t="shared" ref="BG121:BG125" si="195">IFERROR(AP121/O121,0)</f>
        <v>0</v>
      </c>
      <c r="BH121" s="111">
        <f t="shared" si="193"/>
        <v>0</v>
      </c>
      <c r="BI121" s="111">
        <f t="shared" si="193"/>
        <v>0</v>
      </c>
      <c r="BJ121" s="111">
        <f t="shared" si="193"/>
        <v>0</v>
      </c>
      <c r="BK121" s="111">
        <f t="shared" si="193"/>
        <v>0</v>
      </c>
      <c r="BL121" s="111">
        <f t="shared" si="193"/>
        <v>0</v>
      </c>
      <c r="BM121" s="111">
        <f t="shared" si="193"/>
        <v>0</v>
      </c>
      <c r="BN121" s="111">
        <f t="shared" si="193"/>
        <v>0</v>
      </c>
      <c r="BO121" s="111">
        <f t="shared" si="193"/>
        <v>0</v>
      </c>
      <c r="BP121" s="111">
        <f t="shared" si="193"/>
        <v>0</v>
      </c>
      <c r="BQ121" s="111">
        <f t="shared" si="193"/>
        <v>0</v>
      </c>
      <c r="BR121" s="111">
        <f t="shared" si="193"/>
        <v>0</v>
      </c>
      <c r="BS121" s="111">
        <f>IFERROR(BB121/SUM(O121:INDEX(O121:Q121,IF($B$3&lt;3,$B$3,3))),0)</f>
        <v>0</v>
      </c>
      <c r="BT121" s="111">
        <f>IFERROR(BC121/SUM(R121:INDEX(R121:T121,IF($C$3&lt;3,$C$3,3))),0)</f>
        <v>0</v>
      </c>
      <c r="BU121" s="111">
        <f>IFERROR(BD121/SUM(U121:INDEX(U121:W121,IF($B$3&lt;3,$B$3,3))),0)</f>
        <v>0</v>
      </c>
      <c r="BV121" s="111">
        <f>IFERROR(BE121/SUM(X121:INDEX(X121:Z121,IF($B$3&lt;3,$B$3,3))),0)</f>
        <v>0</v>
      </c>
      <c r="BW121" s="111">
        <f t="shared" ref="BW121:BW126" si="196">IFERROR(BF121/AA121,0)</f>
        <v>0</v>
      </c>
    </row>
    <row r="122" spans="1:75" hidden="1" outlineLevel="1" x14ac:dyDescent="0.25">
      <c r="A122" s="20"/>
      <c r="B122" t="s">
        <v>35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31" t="e">
        <f t="shared" si="194"/>
        <v>#DIV/0!</v>
      </c>
      <c r="AL122" s="31" t="e">
        <f t="shared" si="192"/>
        <v>#DIV/0!</v>
      </c>
      <c r="AM122" s="31" t="e">
        <f t="shared" si="192"/>
        <v>#DIV/0!</v>
      </c>
      <c r="AN122" s="31" t="e">
        <f t="shared" si="192"/>
        <v>#DIV/0!</v>
      </c>
      <c r="AO122" s="31" t="e">
        <f t="shared" si="192"/>
        <v>#DIV/0!</v>
      </c>
      <c r="AP122" s="113">
        <f>[16]Recruit!$J$46</f>
        <v>30</v>
      </c>
      <c r="AQ122" s="113">
        <f>[17]Recruit!$J$47</f>
        <v>48</v>
      </c>
      <c r="AR122" s="113">
        <f>[18]Recruit!$J$46</f>
        <v>27</v>
      </c>
      <c r="AS122" s="113">
        <f>[19]Recruit!$J$47</f>
        <v>27</v>
      </c>
      <c r="AT122" s="113">
        <f>[20]Recruit!$J$47</f>
        <v>23</v>
      </c>
      <c r="AU122" s="113">
        <f>[21]Recruit!$J$47</f>
        <v>28</v>
      </c>
      <c r="AV122" s="113"/>
      <c r="AW122" s="113"/>
      <c r="AX122" s="113"/>
      <c r="AY122" s="113"/>
      <c r="AZ122" s="113"/>
      <c r="BA122" s="113"/>
      <c r="BB122" s="113">
        <f>SUM(AP122:INDEX(AP122:AR122,IF($B$3&lt;3,$B$3,3)))</f>
        <v>105</v>
      </c>
      <c r="BC122" s="113">
        <f>SUM(AS122:INDEX(AS122:AU122,IF(AND($B$3&gt;3,B120&lt;7),$B$3-3,0)))</f>
        <v>78</v>
      </c>
      <c r="BD122" s="113">
        <f>SUM(AV122:INDEX(AV122:AX122,IF(AND($B$3&gt;6,$B$3&lt;10),$B$3-6,0)))</f>
        <v>0</v>
      </c>
      <c r="BE122" s="113">
        <f>SUM(AY122:INDEX(AY122:BA122,IF($B$3&gt;9,$B$3-9,0)))</f>
        <v>0</v>
      </c>
      <c r="BF122" s="113">
        <f>SUM($AP122:INDEX(AP122:BA122,$B$3))</f>
        <v>183</v>
      </c>
      <c r="BG122" s="122">
        <f t="shared" si="195"/>
        <v>0</v>
      </c>
      <c r="BH122" s="111">
        <f t="shared" si="193"/>
        <v>0</v>
      </c>
      <c r="BI122" s="111">
        <f t="shared" si="193"/>
        <v>0</v>
      </c>
      <c r="BJ122" s="111">
        <f t="shared" si="193"/>
        <v>0</v>
      </c>
      <c r="BK122" s="111">
        <f t="shared" si="193"/>
        <v>0</v>
      </c>
      <c r="BL122" s="111">
        <f t="shared" si="193"/>
        <v>0</v>
      </c>
      <c r="BM122" s="111">
        <f t="shared" si="193"/>
        <v>0</v>
      </c>
      <c r="BN122" s="111">
        <f t="shared" si="193"/>
        <v>0</v>
      </c>
      <c r="BO122" s="111">
        <f t="shared" si="193"/>
        <v>0</v>
      </c>
      <c r="BP122" s="111">
        <f t="shared" si="193"/>
        <v>0</v>
      </c>
      <c r="BQ122" s="111">
        <f t="shared" si="193"/>
        <v>0</v>
      </c>
      <c r="BR122" s="111">
        <f t="shared" si="193"/>
        <v>0</v>
      </c>
      <c r="BS122" s="111">
        <f>IFERROR(BB122/SUM(O122:INDEX(O122:Q122,IF($B$3&lt;3,$B$3,3))),0)</f>
        <v>0</v>
      </c>
      <c r="BT122" s="111">
        <f>IFERROR(BC122/SUM(R122:INDEX(R122:T122,IF($C$3&lt;3,$C$3,3))),0)</f>
        <v>0</v>
      </c>
      <c r="BU122" s="111">
        <f>IFERROR(BD122/SUM(U122:INDEX(U122:W122,IF($B$3&lt;3,$B$3,3))),0)</f>
        <v>0</v>
      </c>
      <c r="BV122" s="111">
        <f>IFERROR(BE122/SUM(X122:INDEX(X122:Z122,IF($B$3&lt;3,$B$3,3))),0)</f>
        <v>0</v>
      </c>
      <c r="BW122" s="111">
        <f t="shared" si="196"/>
        <v>0</v>
      </c>
    </row>
    <row r="123" spans="1:75" hidden="1" outlineLevel="1" x14ac:dyDescent="0.25">
      <c r="A123" s="20"/>
      <c r="B123" t="s">
        <v>36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31" t="e">
        <f t="shared" si="194"/>
        <v>#DIV/0!</v>
      </c>
      <c r="AL123" s="31" t="e">
        <f t="shared" si="192"/>
        <v>#DIV/0!</v>
      </c>
      <c r="AM123" s="31" t="e">
        <f t="shared" si="192"/>
        <v>#DIV/0!</v>
      </c>
      <c r="AN123" s="31" t="e">
        <f t="shared" si="192"/>
        <v>#DIV/0!</v>
      </c>
      <c r="AO123" s="31" t="e">
        <f t="shared" si="192"/>
        <v>#DIV/0!</v>
      </c>
      <c r="AP123" s="113">
        <f>[16]Recruit!$J$45</f>
        <v>8</v>
      </c>
      <c r="AQ123" s="113">
        <f>[17]Recruit!$J$46</f>
        <v>15</v>
      </c>
      <c r="AR123" s="113">
        <f>[18]Recruit!$J$45</f>
        <v>10</v>
      </c>
      <c r="AS123" s="113">
        <f>[19]Recruit!$J$46</f>
        <v>4</v>
      </c>
      <c r="AT123" s="113">
        <f>[20]Recruit!$J$46</f>
        <v>8</v>
      </c>
      <c r="AU123" s="113">
        <f>[21]Recruit!$J$46</f>
        <v>2</v>
      </c>
      <c r="AV123" s="113"/>
      <c r="AW123" s="113"/>
      <c r="AX123" s="113"/>
      <c r="AY123" s="113"/>
      <c r="AZ123" s="113"/>
      <c r="BA123" s="113"/>
      <c r="BB123" s="113">
        <f>SUM(AP123:INDEX(AP123:AR123,IF($B$3&lt;3,$B$3,3)))</f>
        <v>33</v>
      </c>
      <c r="BC123" s="113">
        <f>SUM(AS123:INDEX(AS123:AU123,IF(AND($B$3&gt;3,B121&lt;7),$B$3-3,0)))</f>
        <v>14</v>
      </c>
      <c r="BD123" s="113">
        <f>SUM(AV123:INDEX(AV123:AX123,IF(AND($B$3&gt;6,$B$3&lt;10),$B$3-6,0)))</f>
        <v>0</v>
      </c>
      <c r="BE123" s="113">
        <f>SUM(AY123:INDEX(AY123:BA123,IF($B$3&gt;9,$B$3-9,0)))</f>
        <v>0</v>
      </c>
      <c r="BF123" s="113">
        <f>SUM($AP123:INDEX(AP123:BA123,$B$3))</f>
        <v>47</v>
      </c>
      <c r="BG123" s="122">
        <f t="shared" si="195"/>
        <v>0</v>
      </c>
      <c r="BH123" s="111">
        <f t="shared" si="193"/>
        <v>0</v>
      </c>
      <c r="BI123" s="111">
        <f t="shared" si="193"/>
        <v>0</v>
      </c>
      <c r="BJ123" s="111">
        <f t="shared" si="193"/>
        <v>0</v>
      </c>
      <c r="BK123" s="111">
        <f t="shared" si="193"/>
        <v>0</v>
      </c>
      <c r="BL123" s="111">
        <f t="shared" si="193"/>
        <v>0</v>
      </c>
      <c r="BM123" s="111">
        <f t="shared" si="193"/>
        <v>0</v>
      </c>
      <c r="BN123" s="111">
        <f t="shared" si="193"/>
        <v>0</v>
      </c>
      <c r="BO123" s="111">
        <f t="shared" si="193"/>
        <v>0</v>
      </c>
      <c r="BP123" s="111">
        <f t="shared" si="193"/>
        <v>0</v>
      </c>
      <c r="BQ123" s="111">
        <f t="shared" si="193"/>
        <v>0</v>
      </c>
      <c r="BR123" s="111">
        <f t="shared" si="193"/>
        <v>0</v>
      </c>
      <c r="BS123" s="111">
        <f>IFERROR(BB123/SUM(O123:INDEX(O123:Q123,IF($B$3&lt;3,$B$3,3))),0)</f>
        <v>0</v>
      </c>
      <c r="BT123" s="111">
        <f>IFERROR(BC123/SUM(R123:INDEX(R123:T123,IF($C$3&lt;3,$C$3,3))),0)</f>
        <v>0</v>
      </c>
      <c r="BU123" s="111">
        <f>IFERROR(BD123/SUM(U123:INDEX(U123:W123,IF($B$3&lt;3,$B$3,3))),0)</f>
        <v>0</v>
      </c>
      <c r="BV123" s="111">
        <f>IFERROR(BE123/SUM(X123:INDEX(X123:Z123,IF($B$3&lt;3,$B$3,3))),0)</f>
        <v>0</v>
      </c>
      <c r="BW123" s="111">
        <f t="shared" si="196"/>
        <v>0</v>
      </c>
    </row>
    <row r="124" spans="1:75" hidden="1" outlineLevel="1" x14ac:dyDescent="0.25">
      <c r="A124" s="20"/>
      <c r="B124" t="s">
        <v>37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31" t="e">
        <f t="shared" si="194"/>
        <v>#DIV/0!</v>
      </c>
      <c r="AL124" s="31" t="e">
        <f t="shared" si="192"/>
        <v>#DIV/0!</v>
      </c>
      <c r="AM124" s="31" t="e">
        <f t="shared" si="192"/>
        <v>#DIV/0!</v>
      </c>
      <c r="AN124" s="31" t="e">
        <f t="shared" si="192"/>
        <v>#DIV/0!</v>
      </c>
      <c r="AO124" s="31" t="e">
        <f t="shared" si="192"/>
        <v>#DIV/0!</v>
      </c>
      <c r="AP124" s="113">
        <f>[16]Recruit!$J$44</f>
        <v>1</v>
      </c>
      <c r="AQ124" s="113">
        <f>[17]Recruit!J44</f>
        <v>8</v>
      </c>
      <c r="AR124" s="113">
        <f>[18]Recruit!$J$44</f>
        <v>1</v>
      </c>
      <c r="AS124" s="113">
        <f>[19]Recruit!J44</f>
        <v>1</v>
      </c>
      <c r="AT124" s="113">
        <f>[20]Recruit!J44</f>
        <v>4</v>
      </c>
      <c r="AU124" s="113">
        <f>[21]Recruit!J44</f>
        <v>2</v>
      </c>
      <c r="AV124" s="113"/>
      <c r="AW124" s="113"/>
      <c r="AX124" s="113"/>
      <c r="AY124" s="113"/>
      <c r="AZ124" s="113"/>
      <c r="BA124" s="113"/>
      <c r="BB124" s="113">
        <f>SUM(AP124:INDEX(AP124:AR124,IF($B$3&lt;3,$B$3,3)))</f>
        <v>10</v>
      </c>
      <c r="BC124" s="113">
        <f>SUM(AS124:INDEX(AS124:AU124,IF(AND($B$3&gt;3,B122&lt;7),$B$3-3,0)))</f>
        <v>7</v>
      </c>
      <c r="BD124" s="113">
        <f>SUM(AV124:INDEX(AV124:AX124,IF(AND($B$3&gt;6,$B$3&lt;10),$B$3-6,0)))</f>
        <v>0</v>
      </c>
      <c r="BE124" s="113">
        <f>SUM(AY124:INDEX(AY124:BA124,IF($B$3&gt;9,$B$3-9,0)))</f>
        <v>0</v>
      </c>
      <c r="BF124" s="113">
        <f>SUM($AP124:INDEX(AP124:BA124,$B$3))</f>
        <v>17</v>
      </c>
      <c r="BG124" s="122">
        <f t="shared" si="195"/>
        <v>0</v>
      </c>
      <c r="BH124" s="111">
        <f t="shared" si="193"/>
        <v>0</v>
      </c>
      <c r="BI124" s="111">
        <f t="shared" si="193"/>
        <v>0</v>
      </c>
      <c r="BJ124" s="111">
        <f t="shared" si="193"/>
        <v>0</v>
      </c>
      <c r="BK124" s="111">
        <f t="shared" si="193"/>
        <v>0</v>
      </c>
      <c r="BL124" s="111">
        <f t="shared" si="193"/>
        <v>0</v>
      </c>
      <c r="BM124" s="111">
        <f t="shared" si="193"/>
        <v>0</v>
      </c>
      <c r="BN124" s="111">
        <f t="shared" si="193"/>
        <v>0</v>
      </c>
      <c r="BO124" s="111">
        <f t="shared" si="193"/>
        <v>0</v>
      </c>
      <c r="BP124" s="111">
        <f t="shared" si="193"/>
        <v>0</v>
      </c>
      <c r="BQ124" s="111">
        <f t="shared" si="193"/>
        <v>0</v>
      </c>
      <c r="BR124" s="111">
        <f t="shared" si="193"/>
        <v>0</v>
      </c>
      <c r="BS124" s="111">
        <f>IFERROR(BB124/SUM(O124:INDEX(O124:Q124,IF($B$3&lt;3,$B$3,3))),0)</f>
        <v>0</v>
      </c>
      <c r="BT124" s="111">
        <f>IFERROR(BC124/SUM(R124:INDEX(R124:T124,IF($C$3&lt;3,$C$3,3))),0)</f>
        <v>0</v>
      </c>
      <c r="BU124" s="111">
        <f>IFERROR(BD124/SUM(U124:INDEX(U124:W124,IF($B$3&lt;3,$B$3,3))),0)</f>
        <v>0</v>
      </c>
      <c r="BV124" s="111">
        <f>IFERROR(BE124/SUM(X124:INDEX(X124:Z124,IF($B$3&lt;3,$B$3,3))),0)</f>
        <v>0</v>
      </c>
      <c r="BW124" s="111">
        <f t="shared" si="196"/>
        <v>0</v>
      </c>
    </row>
    <row r="125" spans="1:75" hidden="1" outlineLevel="1" x14ac:dyDescent="0.25">
      <c r="A125" s="20"/>
      <c r="B125" t="s">
        <v>38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31" t="e">
        <f t="shared" si="194"/>
        <v>#DIV/0!</v>
      </c>
      <c r="AL125" s="31" t="e">
        <f t="shared" si="192"/>
        <v>#DIV/0!</v>
      </c>
      <c r="AM125" s="31" t="e">
        <f t="shared" si="192"/>
        <v>#DIV/0!</v>
      </c>
      <c r="AN125" s="31" t="e">
        <f t="shared" si="192"/>
        <v>#DIV/0!</v>
      </c>
      <c r="AO125" s="31" t="e">
        <f t="shared" si="192"/>
        <v>#DIV/0!</v>
      </c>
      <c r="AP125" s="113"/>
      <c r="AQ125" s="113">
        <f>[17]Recruit!J45</f>
        <v>2</v>
      </c>
      <c r="AR125" s="113"/>
      <c r="AS125" s="113">
        <f>[19]Recruit!J45</f>
        <v>3</v>
      </c>
      <c r="AT125" s="113">
        <f>[20]Recruit!J45</f>
        <v>1</v>
      </c>
      <c r="AU125" s="113">
        <f>[21]Recruit!J45</f>
        <v>1</v>
      </c>
      <c r="AV125" s="113"/>
      <c r="AW125" s="113"/>
      <c r="AX125" s="113"/>
      <c r="AY125" s="113"/>
      <c r="AZ125" s="113"/>
      <c r="BA125" s="113"/>
      <c r="BB125" s="113">
        <f>SUM(AP125:INDEX(AP125:AR125,IF($B$3&lt;3,$B$3,3)))</f>
        <v>2</v>
      </c>
      <c r="BC125" s="113">
        <f>SUM(AS125:INDEX(AS125:AU125,IF(AND($B$3&gt;3,B123&lt;7),$B$3-3,0)))</f>
        <v>5</v>
      </c>
      <c r="BD125" s="113">
        <f>SUM(AV125:INDEX(AV125:AX125,IF(AND($B$3&gt;6,$B$3&lt;10),$B$3-6,0)))</f>
        <v>0</v>
      </c>
      <c r="BE125" s="113">
        <f>SUM(AY125:INDEX(AY125:BA125,IF($B$3&gt;9,$B$3-9,0)))</f>
        <v>0</v>
      </c>
      <c r="BF125" s="113">
        <f>SUM($AP125:INDEX(AP125:BA125,$B$3))</f>
        <v>7</v>
      </c>
      <c r="BG125" s="122">
        <f t="shared" si="195"/>
        <v>0</v>
      </c>
      <c r="BH125" s="111">
        <f t="shared" si="193"/>
        <v>0</v>
      </c>
      <c r="BI125" s="111">
        <f t="shared" si="193"/>
        <v>0</v>
      </c>
      <c r="BJ125" s="111">
        <f t="shared" si="193"/>
        <v>0</v>
      </c>
      <c r="BK125" s="111">
        <f t="shared" si="193"/>
        <v>0</v>
      </c>
      <c r="BL125" s="111">
        <f t="shared" si="193"/>
        <v>0</v>
      </c>
      <c r="BM125" s="111">
        <f t="shared" si="193"/>
        <v>0</v>
      </c>
      <c r="BN125" s="111">
        <f t="shared" si="193"/>
        <v>0</v>
      </c>
      <c r="BO125" s="111">
        <f t="shared" si="193"/>
        <v>0</v>
      </c>
      <c r="BP125" s="111">
        <f t="shared" si="193"/>
        <v>0</v>
      </c>
      <c r="BQ125" s="111">
        <f t="shared" si="193"/>
        <v>0</v>
      </c>
      <c r="BR125" s="111">
        <f t="shared" si="193"/>
        <v>0</v>
      </c>
      <c r="BS125" s="111">
        <f>IFERROR(BB125/SUM(O125:INDEX(O125:Q125,IF($B$3&lt;3,$B$3,3))),0)</f>
        <v>0</v>
      </c>
      <c r="BT125" s="111">
        <f>IFERROR(BC125/SUM(R125:INDEX(R125:T125,IF($C$3&lt;3,$C$3,3))),0)</f>
        <v>0</v>
      </c>
      <c r="BU125" s="111">
        <f>IFERROR(BD125/SUM(U125:INDEX(U125:W125,IF($B$3&lt;3,$B$3,3))),0)</f>
        <v>0</v>
      </c>
      <c r="BV125" s="111">
        <f>IFERROR(BE125/SUM(X125:INDEX(X125:Z125,IF($B$3&lt;3,$B$3,3))),0)</f>
        <v>0</v>
      </c>
      <c r="BW125" s="111">
        <f t="shared" si="196"/>
        <v>0</v>
      </c>
    </row>
    <row r="126" spans="1:75" hidden="1" outlineLevel="1" x14ac:dyDescent="0.25">
      <c r="A126" s="20"/>
      <c r="B126" s="1" t="s">
        <v>3</v>
      </c>
      <c r="C126" s="7">
        <f t="shared" ref="C126:Z126" si="197">SUM(C120:C125)</f>
        <v>0</v>
      </c>
      <c r="D126" s="7">
        <f t="shared" si="197"/>
        <v>0</v>
      </c>
      <c r="E126" s="7">
        <f t="shared" si="197"/>
        <v>0</v>
      </c>
      <c r="F126" s="7">
        <f t="shared" si="197"/>
        <v>0</v>
      </c>
      <c r="G126" s="7">
        <f t="shared" si="197"/>
        <v>0</v>
      </c>
      <c r="H126" s="7">
        <f t="shared" si="197"/>
        <v>0</v>
      </c>
      <c r="I126" s="7">
        <f t="shared" si="197"/>
        <v>0</v>
      </c>
      <c r="J126" s="7">
        <f t="shared" si="197"/>
        <v>0</v>
      </c>
      <c r="K126" s="7">
        <f t="shared" si="197"/>
        <v>0</v>
      </c>
      <c r="L126" s="7">
        <f t="shared" si="197"/>
        <v>0</v>
      </c>
      <c r="M126" s="7">
        <f t="shared" si="197"/>
        <v>0</v>
      </c>
      <c r="N126" s="7">
        <f t="shared" si="197"/>
        <v>0</v>
      </c>
      <c r="O126" s="7">
        <f t="shared" si="197"/>
        <v>0</v>
      </c>
      <c r="P126" s="7">
        <f t="shared" si="197"/>
        <v>0</v>
      </c>
      <c r="Q126" s="7">
        <f t="shared" si="197"/>
        <v>0</v>
      </c>
      <c r="R126" s="7">
        <f t="shared" si="197"/>
        <v>0</v>
      </c>
      <c r="S126" s="7">
        <f t="shared" si="197"/>
        <v>0</v>
      </c>
      <c r="T126" s="7">
        <f t="shared" si="197"/>
        <v>0</v>
      </c>
      <c r="U126" s="7">
        <f t="shared" si="197"/>
        <v>0</v>
      </c>
      <c r="V126" s="7">
        <f t="shared" si="197"/>
        <v>0</v>
      </c>
      <c r="W126" s="7">
        <f t="shared" si="197"/>
        <v>0</v>
      </c>
      <c r="X126" s="7">
        <f t="shared" si="197"/>
        <v>0</v>
      </c>
      <c r="Y126" s="7">
        <f t="shared" si="197"/>
        <v>0</v>
      </c>
      <c r="Z126" s="7">
        <f t="shared" si="197"/>
        <v>0</v>
      </c>
      <c r="AA126" s="7">
        <f t="shared" ref="AA126" si="198">SUM(AA120:AA125)</f>
        <v>0</v>
      </c>
      <c r="AB126" s="7">
        <f>SUM(AB120:AB125)</f>
        <v>0</v>
      </c>
      <c r="AC126" s="7">
        <f>SUM(AC120:AC125)</f>
        <v>0</v>
      </c>
      <c r="AD126" s="7">
        <f>SUM(AD120:AD125)</f>
        <v>0</v>
      </c>
      <c r="AE126" s="7">
        <f>SUM(AE120:AE125)</f>
        <v>0</v>
      </c>
      <c r="AF126" s="7">
        <f>SUM(C126                                                                                : INDEX(C126:N126,$B$3))</f>
        <v>0</v>
      </c>
      <c r="AG126" s="7">
        <f t="shared" ref="AG126" si="199">SUM(C126:E126)</f>
        <v>0</v>
      </c>
      <c r="AH126" s="7">
        <f t="shared" ref="AH126" si="200">SUM(F126:H126)</f>
        <v>0</v>
      </c>
      <c r="AI126" s="7">
        <f t="shared" ref="AI126" si="201">SUM(I126:K126)</f>
        <v>0</v>
      </c>
      <c r="AJ126" s="7">
        <f t="shared" ref="AJ126" si="202">SUM(L126:N126)</f>
        <v>0</v>
      </c>
      <c r="AK126" s="32" t="e">
        <f t="shared" si="194"/>
        <v>#DIV/0!</v>
      </c>
      <c r="AL126" s="32" t="e">
        <f t="shared" si="192"/>
        <v>#DIV/0!</v>
      </c>
      <c r="AM126" s="32" t="e">
        <f t="shared" si="192"/>
        <v>#DIV/0!</v>
      </c>
      <c r="AN126" s="32" t="e">
        <f t="shared" si="192"/>
        <v>#DIV/0!</v>
      </c>
      <c r="AO126" s="32" t="e">
        <f t="shared" si="192"/>
        <v>#DIV/0!</v>
      </c>
      <c r="AP126" s="113">
        <f t="shared" ref="AP126:AU126" si="203">SUM(AP120:AP125)</f>
        <v>320</v>
      </c>
      <c r="AQ126" s="113">
        <f t="shared" si="203"/>
        <v>671</v>
      </c>
      <c r="AR126" s="113">
        <f t="shared" si="203"/>
        <v>861</v>
      </c>
      <c r="AS126" s="113">
        <f t="shared" si="203"/>
        <v>668</v>
      </c>
      <c r="AT126" s="113">
        <f t="shared" si="203"/>
        <v>601</v>
      </c>
      <c r="AU126" s="113">
        <f t="shared" si="203"/>
        <v>1327</v>
      </c>
      <c r="AV126" s="113"/>
      <c r="AW126" s="113"/>
      <c r="AX126" s="113"/>
      <c r="AY126" s="113"/>
      <c r="AZ126" s="113"/>
      <c r="BA126" s="113"/>
      <c r="BB126" s="117">
        <f>SUM(BB120:BB125)</f>
        <v>1852</v>
      </c>
      <c r="BC126" s="117">
        <f>SUM(AS126:INDEX(AS126:AU126,IF(AND($B$3&gt;3,B124&lt;7),$B$3-3,0)))</f>
        <v>2596</v>
      </c>
      <c r="BD126" s="117">
        <f>SUM(AV126:INDEX(AV126:AX126,IF(AND($B$3&gt;6,$B$3&lt;10),$B$3-6,0)))</f>
        <v>0</v>
      </c>
      <c r="BE126" s="117">
        <f>SUM(AY126:INDEX(AY126:BA126,IF($B$3&gt;9,$B$3-9,0)))</f>
        <v>0</v>
      </c>
      <c r="BF126" s="117">
        <f>SUM($AP126:INDEX(AP126:BA126,$B$3))</f>
        <v>4448</v>
      </c>
      <c r="BG126" s="123" t="e">
        <f t="shared" ref="BG126:BR126" si="204">AP126/O126</f>
        <v>#DIV/0!</v>
      </c>
      <c r="BH126" s="118" t="e">
        <f t="shared" si="204"/>
        <v>#DIV/0!</v>
      </c>
      <c r="BI126" s="118" t="e">
        <f t="shared" si="204"/>
        <v>#DIV/0!</v>
      </c>
      <c r="BJ126" s="118" t="e">
        <f t="shared" si="204"/>
        <v>#DIV/0!</v>
      </c>
      <c r="BK126" s="118" t="e">
        <f t="shared" si="204"/>
        <v>#DIV/0!</v>
      </c>
      <c r="BL126" s="118" t="e">
        <f t="shared" si="204"/>
        <v>#DIV/0!</v>
      </c>
      <c r="BM126" s="118" t="e">
        <f t="shared" si="204"/>
        <v>#DIV/0!</v>
      </c>
      <c r="BN126" s="118" t="e">
        <f t="shared" si="204"/>
        <v>#DIV/0!</v>
      </c>
      <c r="BO126" s="118" t="e">
        <f t="shared" si="204"/>
        <v>#DIV/0!</v>
      </c>
      <c r="BP126" s="118" t="e">
        <f t="shared" si="204"/>
        <v>#DIV/0!</v>
      </c>
      <c r="BQ126" s="118" t="e">
        <f t="shared" si="204"/>
        <v>#DIV/0!</v>
      </c>
      <c r="BR126" s="118" t="e">
        <f t="shared" si="204"/>
        <v>#DIV/0!</v>
      </c>
      <c r="BS126" s="118">
        <f>IFERROR(BB126/SUM(O126:INDEX(O126:Q126,IF($B$3&lt;3,$B$3,3))),0)</f>
        <v>0</v>
      </c>
      <c r="BT126" s="118">
        <f>IFERROR(BC126/SUM(R126:INDEX(R126:T126,IF($C$3&lt;3,$C$3,3))),0)</f>
        <v>0</v>
      </c>
      <c r="BU126" s="118">
        <f>IFERROR(BD126/SUM(U126:INDEX(U126:W126,IF($B$3&lt;3,$B$3,3))),0)</f>
        <v>0</v>
      </c>
      <c r="BV126" s="118">
        <f>IFERROR(BE126/SUM(X126:INDEX(X126:Z126,IF($B$3&lt;3,$B$3,3))),0)</f>
        <v>0</v>
      </c>
      <c r="BW126" s="118">
        <f t="shared" si="196"/>
        <v>0</v>
      </c>
    </row>
    <row r="127" spans="1:75" hidden="1" outlineLevel="1" x14ac:dyDescent="0.25"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24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</row>
    <row r="128" spans="1:75" hidden="1" outlineLevel="1" x14ac:dyDescent="0.25"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24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</row>
    <row r="129" spans="1:75" s="19" customFormat="1" collapsed="1" x14ac:dyDescent="0.25">
      <c r="A129" s="17"/>
      <c r="B129" s="2" t="s">
        <v>121</v>
      </c>
      <c r="C129" s="3">
        <v>42005</v>
      </c>
      <c r="D129" s="3">
        <v>42036</v>
      </c>
      <c r="E129" s="3">
        <v>42064</v>
      </c>
      <c r="F129" s="3">
        <v>42095</v>
      </c>
      <c r="G129" s="3">
        <v>42125</v>
      </c>
      <c r="H129" s="3">
        <v>42156</v>
      </c>
      <c r="I129" s="3">
        <v>42186</v>
      </c>
      <c r="J129" s="3">
        <v>42217</v>
      </c>
      <c r="K129" s="3">
        <v>42248</v>
      </c>
      <c r="L129" s="3">
        <v>42278</v>
      </c>
      <c r="M129" s="3">
        <v>42309</v>
      </c>
      <c r="N129" s="3">
        <v>42339</v>
      </c>
      <c r="O129" s="3">
        <v>42370</v>
      </c>
      <c r="P129" s="3">
        <v>42401</v>
      </c>
      <c r="Q129" s="3">
        <v>42430</v>
      </c>
      <c r="R129" s="3">
        <v>42461</v>
      </c>
      <c r="S129" s="3">
        <v>42491</v>
      </c>
      <c r="T129" s="3">
        <v>42522</v>
      </c>
      <c r="U129" s="3">
        <v>42552</v>
      </c>
      <c r="V129" s="3">
        <v>42583</v>
      </c>
      <c r="W129" s="3">
        <v>42614</v>
      </c>
      <c r="X129" s="3">
        <v>42644</v>
      </c>
      <c r="Y129" s="3">
        <v>42675</v>
      </c>
      <c r="Z129" s="3">
        <v>42705</v>
      </c>
      <c r="AA129" s="29" t="str">
        <f>$AA$89</f>
        <v>YTD 7/16</v>
      </c>
      <c r="AB129" s="29" t="s">
        <v>19</v>
      </c>
      <c r="AC129" s="29" t="s">
        <v>20</v>
      </c>
      <c r="AD129" s="29" t="s">
        <v>21</v>
      </c>
      <c r="AE129" s="29" t="s">
        <v>22</v>
      </c>
      <c r="AF129" s="26" t="str">
        <f>"YTD " &amp; B128 &amp;"/15"</f>
        <v>YTD /15</v>
      </c>
      <c r="AG129" s="26" t="s">
        <v>23</v>
      </c>
      <c r="AH129" s="26" t="s">
        <v>24</v>
      </c>
      <c r="AI129" s="26" t="s">
        <v>25</v>
      </c>
      <c r="AJ129" s="26" t="s">
        <v>26</v>
      </c>
      <c r="AK129" s="30" t="s">
        <v>27</v>
      </c>
      <c r="AL129" s="30" t="s">
        <v>29</v>
      </c>
      <c r="AM129" s="30" t="s">
        <v>30</v>
      </c>
      <c r="AN129" s="30" t="s">
        <v>31</v>
      </c>
      <c r="AO129" s="30" t="s">
        <v>32</v>
      </c>
      <c r="AP129" s="108">
        <v>42736</v>
      </c>
      <c r="AQ129" s="108">
        <v>42767</v>
      </c>
      <c r="AR129" s="108">
        <v>42795</v>
      </c>
      <c r="AS129" s="108">
        <v>42826</v>
      </c>
      <c r="AT129" s="108">
        <v>42856</v>
      </c>
      <c r="AU129" s="108">
        <v>42887</v>
      </c>
      <c r="AV129" s="108">
        <v>42917</v>
      </c>
      <c r="AW129" s="108">
        <v>42948</v>
      </c>
      <c r="AX129" s="108">
        <v>42979</v>
      </c>
      <c r="AY129" s="108">
        <v>43009</v>
      </c>
      <c r="AZ129" s="108">
        <v>43040</v>
      </c>
      <c r="BA129" s="108">
        <v>43070</v>
      </c>
      <c r="BB129" s="29" t="s">
        <v>123</v>
      </c>
      <c r="BC129" s="29" t="s">
        <v>124</v>
      </c>
      <c r="BD129" s="29" t="s">
        <v>125</v>
      </c>
      <c r="BE129" s="29" t="s">
        <v>126</v>
      </c>
      <c r="BF129" s="29" t="str">
        <f>$BF$4</f>
        <v>YTD 7/17</v>
      </c>
      <c r="BG129" s="121">
        <v>42736</v>
      </c>
      <c r="BH129" s="108">
        <v>42767</v>
      </c>
      <c r="BI129" s="108">
        <v>42795</v>
      </c>
      <c r="BJ129" s="108">
        <v>42826</v>
      </c>
      <c r="BK129" s="108">
        <v>42856</v>
      </c>
      <c r="BL129" s="108">
        <v>42887</v>
      </c>
      <c r="BM129" s="108">
        <v>42917</v>
      </c>
      <c r="BN129" s="108">
        <v>42948</v>
      </c>
      <c r="BO129" s="108">
        <v>42979</v>
      </c>
      <c r="BP129" s="108">
        <v>43009</v>
      </c>
      <c r="BQ129" s="108">
        <v>43040</v>
      </c>
      <c r="BR129" s="108">
        <v>43070</v>
      </c>
      <c r="BS129" s="29" t="s">
        <v>127</v>
      </c>
      <c r="BT129" s="29" t="s">
        <v>128</v>
      </c>
      <c r="BU129" s="29" t="s">
        <v>96</v>
      </c>
      <c r="BV129" s="29" t="s">
        <v>129</v>
      </c>
      <c r="BW129" s="112" t="s">
        <v>130</v>
      </c>
    </row>
    <row r="130" spans="1:75" x14ac:dyDescent="0.25">
      <c r="A130" s="20" t="str">
        <f>$B$129&amp;"_by_rookie_GENLION:"&amp;TRIM(B130)</f>
        <v>RYP_by_rookie_GENLION:MDRT/ GEN Lion (from Apr '17)</v>
      </c>
      <c r="B130" t="s">
        <v>157</v>
      </c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6"/>
      <c r="X130" s="6"/>
      <c r="Y130" s="6"/>
      <c r="Z130" s="6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31" t="e">
        <f>AA130/AF130-1</f>
        <v>#DIV/0!</v>
      </c>
      <c r="AL130" s="31" t="e">
        <f t="shared" ref="AL130:AO138" si="205">AB130/AG130-1</f>
        <v>#DIV/0!</v>
      </c>
      <c r="AM130" s="31" t="e">
        <f t="shared" si="205"/>
        <v>#DIV/0!</v>
      </c>
      <c r="AN130" s="31" t="e">
        <f t="shared" si="205"/>
        <v>#DIV/0!</v>
      </c>
      <c r="AO130" s="31" t="e">
        <f t="shared" si="205"/>
        <v>#DIV/0!</v>
      </c>
      <c r="AP130" s="6">
        <f>[16]APE!L27</f>
        <v>1686.0008</v>
      </c>
      <c r="AQ130" s="6">
        <f>[17]APE!L27</f>
        <v>2554.1039000000001</v>
      </c>
      <c r="AR130" s="6">
        <f>[18]APE!L27</f>
        <v>1955.31</v>
      </c>
      <c r="AS130" s="6">
        <f>[19]APE!V28</f>
        <v>1640.23</v>
      </c>
      <c r="AT130" s="6">
        <f>[20]APE!V28</f>
        <v>2893.19</v>
      </c>
      <c r="AU130" s="6">
        <f>[21]APE!V28</f>
        <v>3360.45</v>
      </c>
      <c r="AV130" s="6">
        <f>[22]APE!V28</f>
        <v>3188.19</v>
      </c>
      <c r="AW130" s="6"/>
      <c r="AX130" s="6"/>
      <c r="AY130" s="6"/>
      <c r="AZ130" s="6"/>
      <c r="BA130" s="6"/>
      <c r="BB130" s="110">
        <f>SUM(AP130:INDEX(AP130:AR130,IF($B$3&lt;3,$B$3,3)))</f>
        <v>6195.4146999999994</v>
      </c>
      <c r="BC130" s="110">
        <f>SUM(AS130:INDEX(AS130:AU130,IF(AND($B$3&gt;3,$B$3&lt;7),$B$3-3,0)))</f>
        <v>7893.87</v>
      </c>
      <c r="BD130" s="110">
        <f>SUM(AV130:INDEX(AV130:AX130,IF(AND($B$3&gt;6,$B$3&lt;10),$B$3-6,0)))</f>
        <v>3188.19</v>
      </c>
      <c r="BE130" s="110">
        <f>SUM(AY130:INDEX(AY130:BA130,IF($B$3&gt;9,$B$3-9,0)))</f>
        <v>0</v>
      </c>
      <c r="BF130" s="110">
        <f>SUM($AP130:INDEX(AP130:BA130,$B$3))</f>
        <v>17277.474699999999</v>
      </c>
      <c r="BG130" s="125">
        <f>IFERROR(AP130/O130,0)</f>
        <v>0</v>
      </c>
      <c r="BH130" s="111">
        <f t="shared" ref="BH130:BR138" si="206">IFERROR(AQ130/P130,0)</f>
        <v>0</v>
      </c>
      <c r="BI130" s="111">
        <f t="shared" si="206"/>
        <v>0</v>
      </c>
      <c r="BJ130" s="111">
        <f t="shared" si="206"/>
        <v>0</v>
      </c>
      <c r="BK130" s="111">
        <f t="shared" si="206"/>
        <v>0</v>
      </c>
      <c r="BL130" s="111">
        <f t="shared" si="206"/>
        <v>0</v>
      </c>
      <c r="BM130" s="111">
        <f t="shared" si="206"/>
        <v>0</v>
      </c>
      <c r="BN130" s="111">
        <f t="shared" si="206"/>
        <v>0</v>
      </c>
      <c r="BO130" s="111">
        <f t="shared" si="206"/>
        <v>0</v>
      </c>
      <c r="BP130" s="111">
        <f t="shared" si="206"/>
        <v>0</v>
      </c>
      <c r="BQ130" s="111">
        <f t="shared" si="206"/>
        <v>0</v>
      </c>
      <c r="BR130" s="111">
        <f t="shared" si="206"/>
        <v>0</v>
      </c>
      <c r="BS130" s="111">
        <f>IFERROR(BB130/SUM(O130:INDEX(O130:Q130,IF($B$3&lt;3,$B$3,3))),0)</f>
        <v>0</v>
      </c>
      <c r="BT130" s="111">
        <f>IFERROR(BC130/SUM(R130:INDEX(R130:T130,IF($B$3&lt;7,$B$3-3,3))),0)</f>
        <v>0</v>
      </c>
      <c r="BU130" s="111">
        <f>IFERROR(BD130/SUM(Q130:INDEX(Q130:S130,IF($B$3&lt;3,$B$3,3))),0)</f>
        <v>0</v>
      </c>
      <c r="BV130" s="111">
        <f>IFERROR(BE130/SUM(R130:INDEX(R130:T130,IF($B$3&lt;3,$B$3,3))),0)</f>
        <v>0</v>
      </c>
      <c r="BW130" s="111">
        <f>IFERROR(BF130/AA130,0)</f>
        <v>0</v>
      </c>
    </row>
    <row r="131" spans="1:75" x14ac:dyDescent="0.25">
      <c r="A131" s="20" t="str">
        <f t="shared" ref="A131:A138" si="207">$B$129&amp;"_by_rookie_GENLION:"&amp;TRIM(B131)</f>
        <v>RYP_by_rookie_GENLION:Rookie in month</v>
      </c>
      <c r="B131" t="s">
        <v>5</v>
      </c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6"/>
      <c r="X131" s="6"/>
      <c r="Y131" s="6"/>
      <c r="Z131" s="6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31">
        <f>IFERROR(AA131/AF131-1,0)</f>
        <v>0</v>
      </c>
      <c r="AL131" s="31">
        <f t="shared" ref="AL131:AO132" si="208">IFERROR(AB131/AG131-1,0)</f>
        <v>0</v>
      </c>
      <c r="AM131" s="31">
        <f t="shared" si="208"/>
        <v>0</v>
      </c>
      <c r="AN131" s="31">
        <f t="shared" si="208"/>
        <v>0</v>
      </c>
      <c r="AO131" s="31">
        <f t="shared" si="208"/>
        <v>0</v>
      </c>
      <c r="AP131" s="6">
        <f>[16]APE!L28</f>
        <v>0</v>
      </c>
      <c r="AQ131" s="6">
        <f>[17]APE!L28</f>
        <v>0</v>
      </c>
      <c r="AR131" s="6">
        <f>[18]APE!L28</f>
        <v>0</v>
      </c>
      <c r="AS131" s="6">
        <f>[19]APE!V29</f>
        <v>0</v>
      </c>
      <c r="AT131" s="6">
        <f>[20]APE!V29</f>
        <v>0</v>
      </c>
      <c r="AU131" s="6">
        <f>[21]APE!V29</f>
        <v>0</v>
      </c>
      <c r="AV131" s="6">
        <f>[22]APE!V29</f>
        <v>0</v>
      </c>
      <c r="AW131" s="6"/>
      <c r="AX131" s="6"/>
      <c r="AY131" s="6"/>
      <c r="AZ131" s="6"/>
      <c r="BA131" s="6"/>
      <c r="BB131" s="110">
        <f>SUM(AP131:INDEX(AP131:AR131,IF($B$3&lt;3,$B$3,3)))</f>
        <v>0</v>
      </c>
      <c r="BC131" s="110">
        <f>SUM(AS131:INDEX(AS131:AU131,IF(AND($B$3&gt;3,$B$3&lt;7),$B$3-3,0)))</f>
        <v>0</v>
      </c>
      <c r="BD131" s="110">
        <f>SUM(AV131:INDEX(AV131:AX131,IF(AND($B$3&gt;6,$B$3&lt;10),$B$3-6,0)))</f>
        <v>0</v>
      </c>
      <c r="BE131" s="110">
        <f>SUM(AY131:INDEX(AY131:BA131,IF($B$3&gt;9,$B$3-9,0)))</f>
        <v>0</v>
      </c>
      <c r="BF131" s="110">
        <f>SUM($AP131:INDEX(AP131:BA131,$B$3))</f>
        <v>0</v>
      </c>
      <c r="BG131" s="125">
        <f t="shared" ref="BG131:BG138" si="209">IFERROR(AP131/O131,0)</f>
        <v>0</v>
      </c>
      <c r="BH131" s="111">
        <f t="shared" si="206"/>
        <v>0</v>
      </c>
      <c r="BI131" s="111">
        <f t="shared" si="206"/>
        <v>0</v>
      </c>
      <c r="BJ131" s="111">
        <f t="shared" si="206"/>
        <v>0</v>
      </c>
      <c r="BK131" s="111">
        <f t="shared" si="206"/>
        <v>0</v>
      </c>
      <c r="BL131" s="111">
        <f t="shared" si="206"/>
        <v>0</v>
      </c>
      <c r="BM131" s="111">
        <f t="shared" si="206"/>
        <v>0</v>
      </c>
      <c r="BN131" s="111">
        <f t="shared" si="206"/>
        <v>0</v>
      </c>
      <c r="BO131" s="111">
        <f t="shared" si="206"/>
        <v>0</v>
      </c>
      <c r="BP131" s="111">
        <f t="shared" si="206"/>
        <v>0</v>
      </c>
      <c r="BQ131" s="111">
        <f t="shared" si="206"/>
        <v>0</v>
      </c>
      <c r="BR131" s="111">
        <f t="shared" si="206"/>
        <v>0</v>
      </c>
      <c r="BS131" s="111">
        <f>IFERROR(BB131/SUM(O131:INDEX(O131:Q131,IF($B$3&lt;3,$B$3,3))),0)</f>
        <v>0</v>
      </c>
      <c r="BT131" s="111">
        <f>IFERROR(BC131/SUM(R131:INDEX(R131:T131,IF($B$3&lt;7,$B$3-3,3))),0)</f>
        <v>0</v>
      </c>
      <c r="BU131" s="111">
        <f>IFERROR(BD131/SUM(Q131:INDEX(Q131:S131,IF($B$3&lt;3,$B$3,3))),0)</f>
        <v>0</v>
      </c>
      <c r="BV131" s="111">
        <f>IFERROR(BE131/SUM(R131:INDEX(R131:T131,IF($B$3&lt;3,$B$3,3))),0)</f>
        <v>0</v>
      </c>
      <c r="BW131" s="111">
        <f t="shared" ref="BW131:BW138" si="210">IFERROR(BF131/AA131,0)</f>
        <v>0</v>
      </c>
    </row>
    <row r="132" spans="1:75" x14ac:dyDescent="0.25">
      <c r="A132" s="20" t="str">
        <f t="shared" si="207"/>
        <v>RYP_by_rookie_GENLION:Rookie last month</v>
      </c>
      <c r="B132" t="s">
        <v>6</v>
      </c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6"/>
      <c r="X132" s="6"/>
      <c r="Y132" s="6"/>
      <c r="Z132" s="6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31" t="e">
        <f t="shared" ref="AK132:AK138" si="211">AA132/AF132-1</f>
        <v>#DIV/0!</v>
      </c>
      <c r="AL132" s="31">
        <f>IFERROR(AB132/AG132-1,0)</f>
        <v>0</v>
      </c>
      <c r="AM132" s="31">
        <f t="shared" si="208"/>
        <v>0</v>
      </c>
      <c r="AN132" s="31">
        <f t="shared" si="208"/>
        <v>0</v>
      </c>
      <c r="AO132" s="31">
        <f t="shared" si="208"/>
        <v>0</v>
      </c>
      <c r="AP132" s="6">
        <f>[16]APE!L29</f>
        <v>0</v>
      </c>
      <c r="AQ132" s="6">
        <f>[17]APE!L29</f>
        <v>0</v>
      </c>
      <c r="AR132" s="6">
        <f>[18]APE!L29</f>
        <v>0</v>
      </c>
      <c r="AS132" s="6">
        <f>[19]APE!V30</f>
        <v>0</v>
      </c>
      <c r="AT132" s="6">
        <f>[20]APE!V30</f>
        <v>0</v>
      </c>
      <c r="AU132" s="6">
        <f>[21]APE!V30</f>
        <v>0</v>
      </c>
      <c r="AV132" s="6">
        <f>[22]APE!V30</f>
        <v>0</v>
      </c>
      <c r="AW132" s="6"/>
      <c r="AX132" s="6"/>
      <c r="AY132" s="6"/>
      <c r="AZ132" s="6"/>
      <c r="BA132" s="6"/>
      <c r="BB132" s="110">
        <f>SUM(AP132:INDEX(AP132:AR132,IF($B$3&lt;3,$B$3,3)))</f>
        <v>0</v>
      </c>
      <c r="BC132" s="110">
        <f>SUM(AS132:INDEX(AS132:AU132,IF(AND($B$3&gt;3,$B$3&lt;7),$B$3-3,0)))</f>
        <v>0</v>
      </c>
      <c r="BD132" s="110">
        <f>SUM(AV132:INDEX(AV132:AX132,IF(AND($B$3&gt;6,$B$3&lt;10),$B$3-6,0)))</f>
        <v>0</v>
      </c>
      <c r="BE132" s="110">
        <f>SUM(AY132:INDEX(AY132:BA132,IF($B$3&gt;9,$B$3-9,0)))</f>
        <v>0</v>
      </c>
      <c r="BF132" s="110">
        <f>SUM($AP132:INDEX(AP132:BA132,$B$3))</f>
        <v>0</v>
      </c>
      <c r="BG132" s="125">
        <f t="shared" si="209"/>
        <v>0</v>
      </c>
      <c r="BH132" s="111">
        <f t="shared" si="206"/>
        <v>0</v>
      </c>
      <c r="BI132" s="111">
        <f t="shared" si="206"/>
        <v>0</v>
      </c>
      <c r="BJ132" s="111">
        <f t="shared" si="206"/>
        <v>0</v>
      </c>
      <c r="BK132" s="111">
        <f t="shared" si="206"/>
        <v>0</v>
      </c>
      <c r="BL132" s="111">
        <f t="shared" si="206"/>
        <v>0</v>
      </c>
      <c r="BM132" s="111">
        <f t="shared" si="206"/>
        <v>0</v>
      </c>
      <c r="BN132" s="111">
        <f t="shared" si="206"/>
        <v>0</v>
      </c>
      <c r="BO132" s="111">
        <f t="shared" si="206"/>
        <v>0</v>
      </c>
      <c r="BP132" s="111">
        <f t="shared" si="206"/>
        <v>0</v>
      </c>
      <c r="BQ132" s="111">
        <f t="shared" si="206"/>
        <v>0</v>
      </c>
      <c r="BR132" s="111">
        <f t="shared" si="206"/>
        <v>0</v>
      </c>
      <c r="BS132" s="111">
        <f>IFERROR(BB132/SUM(O132:INDEX(O132:Q132,IF($B$3&lt;3,$B$3,3))),0)</f>
        <v>0</v>
      </c>
      <c r="BT132" s="111">
        <f>IFERROR(BC132/SUM(R132:INDEX(R132:T132,IF($B$3&lt;7,$B$3-3,3))),0)</f>
        <v>0</v>
      </c>
      <c r="BU132" s="111">
        <f>IFERROR(BD132/SUM(Q132:INDEX(Q132:S132,IF($B$3&lt;3,$B$3,3))),0)</f>
        <v>0</v>
      </c>
      <c r="BV132" s="111">
        <f>IFERROR(BE132/SUM(R132:INDEX(R132:T132,IF($B$3&lt;3,$B$3,3))),0)</f>
        <v>0</v>
      </c>
      <c r="BW132" s="111">
        <f t="shared" si="210"/>
        <v>0</v>
      </c>
    </row>
    <row r="133" spans="1:75" x14ac:dyDescent="0.25">
      <c r="A133" s="20" t="str">
        <f t="shared" si="207"/>
        <v>RYP_by_rookie_GENLION:2-3 months</v>
      </c>
      <c r="B133" t="s">
        <v>7</v>
      </c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6"/>
      <c r="X133" s="6"/>
      <c r="Y133" s="6"/>
      <c r="Z133" s="6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31" t="e">
        <f t="shared" si="211"/>
        <v>#DIV/0!</v>
      </c>
      <c r="AL133" s="31" t="e">
        <f t="shared" si="205"/>
        <v>#DIV/0!</v>
      </c>
      <c r="AM133" s="31" t="e">
        <f t="shared" si="205"/>
        <v>#DIV/0!</v>
      </c>
      <c r="AN133" s="31" t="e">
        <f t="shared" si="205"/>
        <v>#DIV/0!</v>
      </c>
      <c r="AO133" s="31" t="e">
        <f t="shared" si="205"/>
        <v>#DIV/0!</v>
      </c>
      <c r="AP133" s="6">
        <f>[16]APE!L30</f>
        <v>10.595000000000001</v>
      </c>
      <c r="AQ133" s="6">
        <f>[17]APE!L30</f>
        <v>0</v>
      </c>
      <c r="AR133" s="6">
        <f>[18]APE!L30</f>
        <v>0</v>
      </c>
      <c r="AS133" s="6">
        <f>[19]APE!V31</f>
        <v>0</v>
      </c>
      <c r="AT133" s="6">
        <f>[20]APE!V31</f>
        <v>0</v>
      </c>
      <c r="AU133" s="6">
        <f>[21]APE!V31</f>
        <v>0</v>
      </c>
      <c r="AV133" s="6">
        <f>[22]APE!V31</f>
        <v>11.36</v>
      </c>
      <c r="AW133" s="6"/>
      <c r="AX133" s="6"/>
      <c r="AY133" s="6"/>
      <c r="AZ133" s="6"/>
      <c r="BA133" s="6"/>
      <c r="BB133" s="110">
        <f>SUM(AP133:INDEX(AP133:AR133,IF($B$3&lt;3,$B$3,3)))</f>
        <v>10.595000000000001</v>
      </c>
      <c r="BC133" s="110">
        <f>SUM(AS133:INDEX(AS133:AU133,IF(AND($B$3&gt;3,$B$3&lt;7),$B$3-3,0)))</f>
        <v>0</v>
      </c>
      <c r="BD133" s="110">
        <f>SUM(AV133:INDEX(AV133:AX133,IF(AND($B$3&gt;6,$B$3&lt;10),$B$3-6,0)))</f>
        <v>11.36</v>
      </c>
      <c r="BE133" s="110">
        <f>SUM(AY133:INDEX(AY133:BA133,IF($B$3&gt;9,$B$3-9,0)))</f>
        <v>0</v>
      </c>
      <c r="BF133" s="110">
        <f>SUM($AP133:INDEX(AP133:BA133,$B$3))</f>
        <v>21.954999999999998</v>
      </c>
      <c r="BG133" s="125">
        <f t="shared" si="209"/>
        <v>0</v>
      </c>
      <c r="BH133" s="111">
        <f t="shared" si="206"/>
        <v>0</v>
      </c>
      <c r="BI133" s="111">
        <f t="shared" si="206"/>
        <v>0</v>
      </c>
      <c r="BJ133" s="111">
        <f t="shared" si="206"/>
        <v>0</v>
      </c>
      <c r="BK133" s="111">
        <f t="shared" si="206"/>
        <v>0</v>
      </c>
      <c r="BL133" s="111">
        <f t="shared" si="206"/>
        <v>0</v>
      </c>
      <c r="BM133" s="111">
        <f t="shared" si="206"/>
        <v>0</v>
      </c>
      <c r="BN133" s="111">
        <f t="shared" si="206"/>
        <v>0</v>
      </c>
      <c r="BO133" s="111">
        <f t="shared" si="206"/>
        <v>0</v>
      </c>
      <c r="BP133" s="111">
        <f t="shared" si="206"/>
        <v>0</v>
      </c>
      <c r="BQ133" s="111">
        <f t="shared" si="206"/>
        <v>0</v>
      </c>
      <c r="BR133" s="111">
        <f t="shared" si="206"/>
        <v>0</v>
      </c>
      <c r="BS133" s="111">
        <f>IFERROR(BB133/SUM(O133:INDEX(O133:Q133,IF($B$3&lt;3,$B$3,3))),0)</f>
        <v>0</v>
      </c>
      <c r="BT133" s="111">
        <f>IFERROR(BC133/SUM(R133:INDEX(R133:T133,IF($B$3&lt;7,$B$3-3,3))),0)</f>
        <v>0</v>
      </c>
      <c r="BU133" s="111">
        <f>IFERROR(BD133/SUM(Q133:INDEX(Q133:S133,IF($B$3&lt;3,$B$3,3))),0)</f>
        <v>0</v>
      </c>
      <c r="BV133" s="111">
        <f>IFERROR(BE133/SUM(R133:INDEX(R133:T133,IF($B$3&lt;3,$B$3,3))),0)</f>
        <v>0</v>
      </c>
      <c r="BW133" s="111">
        <f t="shared" si="210"/>
        <v>0</v>
      </c>
    </row>
    <row r="134" spans="1:75" x14ac:dyDescent="0.25">
      <c r="A134" s="20" t="str">
        <f t="shared" si="207"/>
        <v>RYP_by_rookie_GENLION:4 - 6 mths</v>
      </c>
      <c r="B134" t="s">
        <v>8</v>
      </c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6"/>
      <c r="X134" s="6"/>
      <c r="Y134" s="6"/>
      <c r="Z134" s="6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31" t="e">
        <f t="shared" si="211"/>
        <v>#DIV/0!</v>
      </c>
      <c r="AL134" s="31" t="e">
        <f t="shared" si="205"/>
        <v>#DIV/0!</v>
      </c>
      <c r="AM134" s="31" t="e">
        <f t="shared" si="205"/>
        <v>#DIV/0!</v>
      </c>
      <c r="AN134" s="31" t="e">
        <f t="shared" si="205"/>
        <v>#DIV/0!</v>
      </c>
      <c r="AO134" s="31" t="e">
        <f t="shared" si="205"/>
        <v>#DIV/0!</v>
      </c>
      <c r="AP134" s="6">
        <f>[16]APE!L31</f>
        <v>10.239000000000001</v>
      </c>
      <c r="AQ134" s="6">
        <f>[17]APE!L31</f>
        <v>21.611000000000001</v>
      </c>
      <c r="AR134" s="6">
        <f>[18]APE!L31</f>
        <v>26.43</v>
      </c>
      <c r="AS134" s="6">
        <f>[19]APE!V32</f>
        <v>10.55</v>
      </c>
      <c r="AT134" s="6">
        <f>[20]APE!V32</f>
        <v>2.48</v>
      </c>
      <c r="AU134" s="6">
        <f>[21]APE!V32</f>
        <v>0</v>
      </c>
      <c r="AV134" s="6">
        <f>[22]APE!V32</f>
        <v>0</v>
      </c>
      <c r="AW134" s="6"/>
      <c r="AX134" s="6"/>
      <c r="AY134" s="6"/>
      <c r="AZ134" s="6"/>
      <c r="BA134" s="6"/>
      <c r="BB134" s="110">
        <f>SUM(AP134:INDEX(AP134:AR134,IF($B$3&lt;3,$B$3,3)))</f>
        <v>58.28</v>
      </c>
      <c r="BC134" s="110">
        <f>SUM(AS134:INDEX(AS134:AU134,IF(AND($B$3&gt;3,$B$3&lt;7),$B$3-3,0)))</f>
        <v>13.030000000000001</v>
      </c>
      <c r="BD134" s="110">
        <f>SUM(AV134:INDEX(AV134:AX134,IF(AND($B$3&gt;6,$B$3&lt;10),$B$3-6,0)))</f>
        <v>0</v>
      </c>
      <c r="BE134" s="110">
        <f>SUM(AY134:INDEX(AY134:BA134,IF($B$3&gt;9,$B$3-9,0)))</f>
        <v>0</v>
      </c>
      <c r="BF134" s="110">
        <f>SUM($AP134:INDEX(AP134:BA134,$B$3))</f>
        <v>71.31</v>
      </c>
      <c r="BG134" s="125">
        <f t="shared" si="209"/>
        <v>0</v>
      </c>
      <c r="BH134" s="111">
        <f t="shared" si="206"/>
        <v>0</v>
      </c>
      <c r="BI134" s="111">
        <f t="shared" si="206"/>
        <v>0</v>
      </c>
      <c r="BJ134" s="111">
        <f t="shared" si="206"/>
        <v>0</v>
      </c>
      <c r="BK134" s="111">
        <f t="shared" si="206"/>
        <v>0</v>
      </c>
      <c r="BL134" s="111">
        <f t="shared" si="206"/>
        <v>0</v>
      </c>
      <c r="BM134" s="111">
        <f t="shared" si="206"/>
        <v>0</v>
      </c>
      <c r="BN134" s="111">
        <f t="shared" si="206"/>
        <v>0</v>
      </c>
      <c r="BO134" s="111">
        <f t="shared" si="206"/>
        <v>0</v>
      </c>
      <c r="BP134" s="111">
        <f t="shared" si="206"/>
        <v>0</v>
      </c>
      <c r="BQ134" s="111">
        <f t="shared" si="206"/>
        <v>0</v>
      </c>
      <c r="BR134" s="111">
        <f t="shared" si="206"/>
        <v>0</v>
      </c>
      <c r="BS134" s="111">
        <f>IFERROR(BB134/SUM(O134:INDEX(O134:Q134,IF($B$3&lt;3,$B$3,3))),0)</f>
        <v>0</v>
      </c>
      <c r="BT134" s="111">
        <f>IFERROR(BC134/SUM(R134:INDEX(R134:T134,IF($B$3&lt;7,$B$3-3,3))),0)</f>
        <v>0</v>
      </c>
      <c r="BU134" s="111">
        <f>IFERROR(BD134/SUM(Q134:INDEX(Q134:S134,IF($B$3&lt;3,$B$3,3))),0)</f>
        <v>0</v>
      </c>
      <c r="BV134" s="111">
        <f>IFERROR(BE134/SUM(R134:INDEX(R134:T134,IF($B$3&lt;3,$B$3,3))),0)</f>
        <v>0</v>
      </c>
      <c r="BW134" s="111">
        <f t="shared" si="210"/>
        <v>0</v>
      </c>
    </row>
    <row r="135" spans="1:75" x14ac:dyDescent="0.25">
      <c r="A135" s="20" t="str">
        <f t="shared" si="207"/>
        <v>RYP_by_rookie_GENLION:7-12mth</v>
      </c>
      <c r="B135" t="s">
        <v>1</v>
      </c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6"/>
      <c r="X135" s="6"/>
      <c r="Y135" s="6"/>
      <c r="Z135" s="6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31" t="e">
        <f t="shared" si="211"/>
        <v>#DIV/0!</v>
      </c>
      <c r="AL135" s="31" t="e">
        <f t="shared" si="205"/>
        <v>#DIV/0!</v>
      </c>
      <c r="AM135" s="31" t="e">
        <f t="shared" si="205"/>
        <v>#DIV/0!</v>
      </c>
      <c r="AN135" s="31" t="e">
        <f t="shared" si="205"/>
        <v>#DIV/0!</v>
      </c>
      <c r="AO135" s="31" t="e">
        <f t="shared" si="205"/>
        <v>#DIV/0!</v>
      </c>
      <c r="AP135" s="6">
        <f>[16]APE!L32</f>
        <v>214.21299999999999</v>
      </c>
      <c r="AQ135" s="6">
        <f>[17]APE!L32</f>
        <v>208.959</v>
      </c>
      <c r="AR135" s="6">
        <f>[18]APE!L32</f>
        <v>338.12</v>
      </c>
      <c r="AS135" s="6">
        <f>[19]APE!V33</f>
        <v>331.86</v>
      </c>
      <c r="AT135" s="6">
        <f>[20]APE!V33</f>
        <v>235.16</v>
      </c>
      <c r="AU135" s="6">
        <f>[21]APE!V33</f>
        <v>879.45</v>
      </c>
      <c r="AV135" s="6">
        <f>[22]APE!V33</f>
        <v>427.74</v>
      </c>
      <c r="AW135" s="6"/>
      <c r="AX135" s="6"/>
      <c r="AY135" s="6"/>
      <c r="AZ135" s="6"/>
      <c r="BA135" s="6"/>
      <c r="BB135" s="110">
        <f>SUM(AP135:INDEX(AP135:AR135,IF($B$3&lt;3,$B$3,3)))</f>
        <v>761.29200000000003</v>
      </c>
      <c r="BC135" s="110">
        <f>SUM(AS135:INDEX(AS135:AU135,IF(AND($B$3&gt;3,$B$3&lt;7),$B$3-3,0)))</f>
        <v>1446.47</v>
      </c>
      <c r="BD135" s="110">
        <f>SUM(AV135:INDEX(AV135:AX135,IF(AND($B$3&gt;6,$B$3&lt;10),$B$3-6,0)))</f>
        <v>427.74</v>
      </c>
      <c r="BE135" s="110">
        <f>SUM(AY135:INDEX(AY135:BA135,IF($B$3&gt;9,$B$3-9,0)))</f>
        <v>0</v>
      </c>
      <c r="BF135" s="110">
        <f>SUM($AP135:INDEX(AP135:BA135,$B$3))</f>
        <v>2635.5020000000004</v>
      </c>
      <c r="BG135" s="125">
        <f t="shared" si="209"/>
        <v>0</v>
      </c>
      <c r="BH135" s="111">
        <f t="shared" si="206"/>
        <v>0</v>
      </c>
      <c r="BI135" s="111">
        <f t="shared" si="206"/>
        <v>0</v>
      </c>
      <c r="BJ135" s="111">
        <f t="shared" si="206"/>
        <v>0</v>
      </c>
      <c r="BK135" s="111">
        <f t="shared" si="206"/>
        <v>0</v>
      </c>
      <c r="BL135" s="111">
        <f t="shared" si="206"/>
        <v>0</v>
      </c>
      <c r="BM135" s="111">
        <f t="shared" si="206"/>
        <v>0</v>
      </c>
      <c r="BN135" s="111">
        <f t="shared" si="206"/>
        <v>0</v>
      </c>
      <c r="BO135" s="111">
        <f t="shared" si="206"/>
        <v>0</v>
      </c>
      <c r="BP135" s="111">
        <f t="shared" si="206"/>
        <v>0</v>
      </c>
      <c r="BQ135" s="111">
        <f t="shared" si="206"/>
        <v>0</v>
      </c>
      <c r="BR135" s="111">
        <f t="shared" si="206"/>
        <v>0</v>
      </c>
      <c r="BS135" s="111">
        <f>IFERROR(BB135/SUM(O135:INDEX(O135:Q135,IF($B$3&lt;3,$B$3,3))),0)</f>
        <v>0</v>
      </c>
      <c r="BT135" s="111">
        <f>IFERROR(BC135/SUM(R135:INDEX(R135:T135,IF($B$3&lt;7,$B$3-3,3))),0)</f>
        <v>0</v>
      </c>
      <c r="BU135" s="111">
        <f>IFERROR(BD135/SUM(Q135:INDEX(Q135:S135,IF($B$3&lt;3,$B$3,3))),0)</f>
        <v>0</v>
      </c>
      <c r="BV135" s="111">
        <f>IFERROR(BE135/SUM(R135:INDEX(R135:T135,IF($B$3&lt;3,$B$3,3))),0)</f>
        <v>0</v>
      </c>
      <c r="BW135" s="111">
        <f t="shared" si="210"/>
        <v>0</v>
      </c>
    </row>
    <row r="136" spans="1:75" x14ac:dyDescent="0.25">
      <c r="A136" s="20" t="str">
        <f t="shared" si="207"/>
        <v>RYP_by_rookie_GENLION:13+mth</v>
      </c>
      <c r="B136" t="s">
        <v>2</v>
      </c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6"/>
      <c r="X136" s="6"/>
      <c r="Y136" s="6"/>
      <c r="Z136" s="6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31" t="e">
        <f t="shared" si="211"/>
        <v>#DIV/0!</v>
      </c>
      <c r="AL136" s="31" t="e">
        <f t="shared" si="205"/>
        <v>#DIV/0!</v>
      </c>
      <c r="AM136" s="31" t="e">
        <f t="shared" si="205"/>
        <v>#DIV/0!</v>
      </c>
      <c r="AN136" s="31" t="e">
        <f t="shared" si="205"/>
        <v>#DIV/0!</v>
      </c>
      <c r="AO136" s="31" t="e">
        <f t="shared" si="205"/>
        <v>#DIV/0!</v>
      </c>
      <c r="AP136" s="6">
        <f>[16]APE!L33</f>
        <v>12339.5870000001</v>
      </c>
      <c r="AQ136" s="6">
        <f>[17]APE!L33</f>
        <v>7086.4660000000304</v>
      </c>
      <c r="AR136" s="6">
        <f>[18]APE!L33</f>
        <v>5855.43</v>
      </c>
      <c r="AS136" s="6">
        <f>[19]APE!V34</f>
        <v>4464.28</v>
      </c>
      <c r="AT136" s="6">
        <f>[20]APE!V34</f>
        <v>8426.64</v>
      </c>
      <c r="AU136" s="6">
        <f>[21]APE!V34</f>
        <v>7393.82</v>
      </c>
      <c r="AV136" s="6">
        <f>[22]APE!V34</f>
        <v>7585.51</v>
      </c>
      <c r="AW136" s="6"/>
      <c r="AX136" s="6"/>
      <c r="AY136" s="6"/>
      <c r="AZ136" s="6"/>
      <c r="BA136" s="6"/>
      <c r="BB136" s="110">
        <f>SUM(AP136:INDEX(AP136:AR136,IF($B$3&lt;3,$B$3,3)))</f>
        <v>25281.483000000131</v>
      </c>
      <c r="BC136" s="110">
        <f>SUM(AS136:INDEX(AS136:AU136,IF(AND($B$3&gt;3,$B$3&lt;7),$B$3-3,0)))</f>
        <v>20284.739999999998</v>
      </c>
      <c r="BD136" s="110">
        <f>SUM(AV136:INDEX(AV136:AX136,IF(AND($B$3&gt;6,$B$3&lt;10),$B$3-6,0)))</f>
        <v>7585.51</v>
      </c>
      <c r="BE136" s="110">
        <f>SUM(AY136:INDEX(AY136:BA136,IF($B$3&gt;9,$B$3-9,0)))</f>
        <v>0</v>
      </c>
      <c r="BF136" s="110">
        <f>SUM($AP136:INDEX(AP136:BA136,$B$3))</f>
        <v>53151.733000000131</v>
      </c>
      <c r="BG136" s="125">
        <f t="shared" si="209"/>
        <v>0</v>
      </c>
      <c r="BH136" s="111">
        <f t="shared" si="206"/>
        <v>0</v>
      </c>
      <c r="BI136" s="111">
        <f t="shared" si="206"/>
        <v>0</v>
      </c>
      <c r="BJ136" s="111">
        <f t="shared" si="206"/>
        <v>0</v>
      </c>
      <c r="BK136" s="111">
        <f t="shared" si="206"/>
        <v>0</v>
      </c>
      <c r="BL136" s="111">
        <f t="shared" si="206"/>
        <v>0</v>
      </c>
      <c r="BM136" s="111">
        <f t="shared" si="206"/>
        <v>0</v>
      </c>
      <c r="BN136" s="111">
        <f t="shared" si="206"/>
        <v>0</v>
      </c>
      <c r="BO136" s="111">
        <f t="shared" si="206"/>
        <v>0</v>
      </c>
      <c r="BP136" s="111">
        <f t="shared" si="206"/>
        <v>0</v>
      </c>
      <c r="BQ136" s="111">
        <f t="shared" si="206"/>
        <v>0</v>
      </c>
      <c r="BR136" s="111">
        <f t="shared" si="206"/>
        <v>0</v>
      </c>
      <c r="BS136" s="111">
        <f>IFERROR(BB136/SUM(O136:INDEX(O136:Q136,IF($B$3&lt;3,$B$3,3))),0)</f>
        <v>0</v>
      </c>
      <c r="BT136" s="111">
        <f>IFERROR(BC136/SUM(R136:INDEX(R136:T136,IF($B$3&lt;7,$B$3-3,3))),0)</f>
        <v>0</v>
      </c>
      <c r="BU136" s="111">
        <f>IFERROR(BD136/SUM(Q136:INDEX(Q136:S136,IF($B$3&lt;3,$B$3,3))),0)</f>
        <v>0</v>
      </c>
      <c r="BV136" s="111">
        <f>IFERROR(BE136/SUM(R136:INDEX(R136:T136,IF($B$3&lt;3,$B$3,3))),0)</f>
        <v>0</v>
      </c>
      <c r="BW136" s="111">
        <f t="shared" si="210"/>
        <v>0</v>
      </c>
    </row>
    <row r="137" spans="1:75" x14ac:dyDescent="0.25">
      <c r="A137" s="20" t="str">
        <f t="shared" si="207"/>
        <v>RYP_by_rookie_GENLION:SA</v>
      </c>
      <c r="B137" s="135" t="s">
        <v>136</v>
      </c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6"/>
      <c r="X137" s="6"/>
      <c r="Y137" s="6"/>
      <c r="Z137" s="6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31"/>
      <c r="AL137" s="31"/>
      <c r="AM137" s="31"/>
      <c r="AN137" s="31"/>
      <c r="AO137" s="31"/>
      <c r="AP137" s="6"/>
      <c r="AQ137" s="6">
        <f>[17]APE!L34</f>
        <v>3185.58</v>
      </c>
      <c r="AR137" s="6">
        <f>[18]APE!L34</f>
        <v>3131.26</v>
      </c>
      <c r="AS137" s="6">
        <f>[19]APE!V35</f>
        <v>2542.54</v>
      </c>
      <c r="AT137" s="6">
        <f>[20]APE!V35</f>
        <v>5669.87</v>
      </c>
      <c r="AU137" s="6">
        <f>[21]APE!V35</f>
        <v>4640.75</v>
      </c>
      <c r="AV137" s="6">
        <f>[22]APE!V35</f>
        <v>5708.34</v>
      </c>
      <c r="AW137" s="6"/>
      <c r="AX137" s="6"/>
      <c r="AY137" s="6"/>
      <c r="AZ137" s="6"/>
      <c r="BA137" s="6"/>
      <c r="BB137" s="110"/>
      <c r="BC137" s="110"/>
      <c r="BD137" s="110"/>
      <c r="BE137" s="110"/>
      <c r="BF137" s="110"/>
      <c r="BG137" s="125"/>
      <c r="BH137" s="111"/>
      <c r="BI137" s="111"/>
      <c r="BJ137" s="111"/>
      <c r="BK137" s="111"/>
      <c r="BL137" s="111"/>
      <c r="BM137" s="111"/>
      <c r="BN137" s="111"/>
      <c r="BO137" s="111"/>
      <c r="BP137" s="111"/>
      <c r="BQ137" s="111"/>
      <c r="BR137" s="111"/>
      <c r="BS137" s="111"/>
      <c r="BT137" s="111"/>
      <c r="BU137" s="111"/>
      <c r="BV137" s="111"/>
      <c r="BW137" s="111"/>
    </row>
    <row r="138" spans="1:75" s="19" customFormat="1" x14ac:dyDescent="0.25">
      <c r="A138" s="20" t="str">
        <f t="shared" si="207"/>
        <v>RYP_by_rookie_GENLION:Total</v>
      </c>
      <c r="B138" s="1" t="s">
        <v>3</v>
      </c>
      <c r="C138" s="15">
        <f>SUM(C130:C136)</f>
        <v>0</v>
      </c>
      <c r="D138" s="15">
        <f t="shared" ref="D138:AE138" si="212">SUM(D130:D136)</f>
        <v>0</v>
      </c>
      <c r="E138" s="15">
        <f t="shared" si="212"/>
        <v>0</v>
      </c>
      <c r="F138" s="15">
        <f t="shared" si="212"/>
        <v>0</v>
      </c>
      <c r="G138" s="15">
        <f t="shared" si="212"/>
        <v>0</v>
      </c>
      <c r="H138" s="15">
        <f t="shared" si="212"/>
        <v>0</v>
      </c>
      <c r="I138" s="15">
        <f t="shared" si="212"/>
        <v>0</v>
      </c>
      <c r="J138" s="15">
        <f t="shared" si="212"/>
        <v>0</v>
      </c>
      <c r="K138" s="15">
        <f t="shared" si="212"/>
        <v>0</v>
      </c>
      <c r="L138" s="15">
        <f t="shared" si="212"/>
        <v>0</v>
      </c>
      <c r="M138" s="15">
        <f t="shared" si="212"/>
        <v>0</v>
      </c>
      <c r="N138" s="15">
        <f t="shared" si="212"/>
        <v>0</v>
      </c>
      <c r="O138" s="15">
        <f t="shared" si="212"/>
        <v>0</v>
      </c>
      <c r="P138" s="15">
        <f t="shared" si="212"/>
        <v>0</v>
      </c>
      <c r="Q138" s="15">
        <f t="shared" si="212"/>
        <v>0</v>
      </c>
      <c r="R138" s="15">
        <f t="shared" si="212"/>
        <v>0</v>
      </c>
      <c r="S138" s="15">
        <f t="shared" si="212"/>
        <v>0</v>
      </c>
      <c r="T138" s="15">
        <f t="shared" si="212"/>
        <v>0</v>
      </c>
      <c r="U138" s="15">
        <f t="shared" si="212"/>
        <v>0</v>
      </c>
      <c r="V138" s="15">
        <f t="shared" si="212"/>
        <v>0</v>
      </c>
      <c r="W138" s="15">
        <f t="shared" si="212"/>
        <v>0</v>
      </c>
      <c r="X138" s="15">
        <f t="shared" si="212"/>
        <v>0</v>
      </c>
      <c r="Y138" s="15">
        <f t="shared" si="212"/>
        <v>0</v>
      </c>
      <c r="Z138" s="15">
        <f t="shared" si="212"/>
        <v>0</v>
      </c>
      <c r="AA138" s="7">
        <f t="shared" si="212"/>
        <v>0</v>
      </c>
      <c r="AB138" s="7">
        <f t="shared" si="212"/>
        <v>0</v>
      </c>
      <c r="AC138" s="7">
        <f t="shared" si="212"/>
        <v>0</v>
      </c>
      <c r="AD138" s="7">
        <f t="shared" si="212"/>
        <v>0</v>
      </c>
      <c r="AE138" s="7">
        <f t="shared" si="212"/>
        <v>0</v>
      </c>
      <c r="AF138" s="7">
        <f>SUM(AF130:AF136)</f>
        <v>0</v>
      </c>
      <c r="AG138" s="7">
        <f t="shared" ref="AG138:AJ138" si="213">SUM(AG130:AG136)</f>
        <v>0</v>
      </c>
      <c r="AH138" s="7">
        <f t="shared" si="213"/>
        <v>0</v>
      </c>
      <c r="AI138" s="7">
        <f t="shared" si="213"/>
        <v>0</v>
      </c>
      <c r="AJ138" s="7">
        <f t="shared" si="213"/>
        <v>0</v>
      </c>
      <c r="AK138" s="31" t="e">
        <f t="shared" si="211"/>
        <v>#DIV/0!</v>
      </c>
      <c r="AL138" s="31" t="e">
        <f t="shared" si="205"/>
        <v>#DIV/0!</v>
      </c>
      <c r="AM138" s="31" t="e">
        <f t="shared" si="205"/>
        <v>#DIV/0!</v>
      </c>
      <c r="AN138" s="31" t="e">
        <f t="shared" si="205"/>
        <v>#DIV/0!</v>
      </c>
      <c r="AO138" s="31" t="e">
        <f t="shared" si="205"/>
        <v>#DIV/0!</v>
      </c>
      <c r="AP138" s="15">
        <f t="shared" ref="AP138" si="214">SUM(AP130:AP136)</f>
        <v>14260.6348000001</v>
      </c>
      <c r="AQ138" s="15">
        <f t="shared" ref="AQ138:AV138" si="215">SUM(AQ130:AQ137)</f>
        <v>13056.719900000031</v>
      </c>
      <c r="AR138" s="15">
        <f t="shared" si="215"/>
        <v>11306.550000000001</v>
      </c>
      <c r="AS138" s="15">
        <f t="shared" si="215"/>
        <v>8989.4599999999991</v>
      </c>
      <c r="AT138" s="15">
        <f t="shared" si="215"/>
        <v>17227.34</v>
      </c>
      <c r="AU138" s="15">
        <f t="shared" si="215"/>
        <v>16274.47</v>
      </c>
      <c r="AV138" s="15">
        <f t="shared" si="215"/>
        <v>16921.14</v>
      </c>
      <c r="AW138" s="15"/>
      <c r="AX138" s="15"/>
      <c r="AY138" s="15"/>
      <c r="AZ138" s="15"/>
      <c r="BA138" s="15"/>
      <c r="BB138" s="116">
        <f>SUM(AP138:INDEX(AP138:AR138,IF($B$3&lt;3,$B$3,3)))</f>
        <v>38623.90470000013</v>
      </c>
      <c r="BC138" s="116">
        <f>SUM(AS138:INDEX(AS138:AU138,IF(AND($B$3&gt;3,$B$3&lt;7),$B$3-3,0)))</f>
        <v>42491.27</v>
      </c>
      <c r="BD138" s="116">
        <f>SUM(AV138:INDEX(AV138:AX138,IF(AND($B$3&gt;6,$B$3&lt;10),$B$3-6,0)))</f>
        <v>16921.14</v>
      </c>
      <c r="BE138" s="116">
        <f>SUM(AY138:INDEX(AY138:BA138,IF($B$3&gt;9,$B$3-9,0)))</f>
        <v>0</v>
      </c>
      <c r="BF138" s="116">
        <f>SUM($AP138:INDEX(AP138:BA138,$B$3))</f>
        <v>98036.314700000134</v>
      </c>
      <c r="BG138" s="134">
        <f t="shared" si="209"/>
        <v>0</v>
      </c>
      <c r="BH138" s="118">
        <f t="shared" si="206"/>
        <v>0</v>
      </c>
      <c r="BI138" s="118">
        <f t="shared" si="206"/>
        <v>0</v>
      </c>
      <c r="BJ138" s="118">
        <f t="shared" si="206"/>
        <v>0</v>
      </c>
      <c r="BK138" s="118">
        <f t="shared" si="206"/>
        <v>0</v>
      </c>
      <c r="BL138" s="118">
        <f t="shared" si="206"/>
        <v>0</v>
      </c>
      <c r="BM138" s="118">
        <f t="shared" si="206"/>
        <v>0</v>
      </c>
      <c r="BN138" s="118">
        <f t="shared" si="206"/>
        <v>0</v>
      </c>
      <c r="BO138" s="118">
        <f t="shared" si="206"/>
        <v>0</v>
      </c>
      <c r="BP138" s="118">
        <f t="shared" si="206"/>
        <v>0</v>
      </c>
      <c r="BQ138" s="118">
        <f t="shared" si="206"/>
        <v>0</v>
      </c>
      <c r="BR138" s="118">
        <f t="shared" si="206"/>
        <v>0</v>
      </c>
      <c r="BS138" s="118">
        <f>IFERROR(BB138/SUM(O138:INDEX(O138:Q138,IF($B$3&lt;3,$B$3,3))),0)</f>
        <v>0</v>
      </c>
      <c r="BT138" s="118">
        <f>IFERROR(BC138/SUM(R138:INDEX(R138:T138,IF($B$3&lt;7,$B$3-3,3))),0)</f>
        <v>0</v>
      </c>
      <c r="BU138" s="118">
        <f>IFERROR(BD138/SUM(Q138:INDEX(Q138:S138,IF($B$3&lt;3,$B$3,3))),0)</f>
        <v>0</v>
      </c>
      <c r="BV138" s="118">
        <f>IFERROR(BE138/SUM(R138:INDEX(R138:T138,IF($B$3&lt;3,$B$3,3))),0)</f>
        <v>0</v>
      </c>
      <c r="BW138" s="118">
        <f t="shared" si="210"/>
        <v>0</v>
      </c>
    </row>
    <row r="139" spans="1:75" x14ac:dyDescent="0.25">
      <c r="B139" s="135" t="s">
        <v>139</v>
      </c>
      <c r="AR139" s="22">
        <f>[18]APE!$L$35</f>
        <v>67.77</v>
      </c>
      <c r="AS139" s="22">
        <f>[19]APE!$V$27</f>
        <v>141.29</v>
      </c>
      <c r="AT139" s="22">
        <f>[20]APE!$L$27</f>
        <v>147.07</v>
      </c>
      <c r="AU139" s="22">
        <f>[21]APE!$L$27</f>
        <v>169.29</v>
      </c>
      <c r="AV139" s="22">
        <f>[22]APE!$L$27</f>
        <v>138.24799999999999</v>
      </c>
    </row>
    <row r="140" spans="1:75" x14ac:dyDescent="0.25">
      <c r="B140" s="1" t="s">
        <v>140</v>
      </c>
      <c r="AR140" s="115">
        <f>SUM(AR138:AR139)</f>
        <v>11374.320000000002</v>
      </c>
      <c r="AS140" s="115">
        <f>SUM(AS138:AS139)</f>
        <v>9130.75</v>
      </c>
      <c r="AT140" s="115">
        <f>SUM(AT138:AT139)</f>
        <v>17374.41</v>
      </c>
      <c r="AU140" s="115">
        <f>SUM(AU138:AU139)</f>
        <v>16443.759999999998</v>
      </c>
      <c r="AV140" s="115">
        <f>SUM(AV138:AV139)</f>
        <v>17059.387999999999</v>
      </c>
    </row>
  </sheetData>
  <mergeCells count="3">
    <mergeCell ref="AK3:AO3"/>
    <mergeCell ref="BB3:BF3"/>
    <mergeCell ref="AK95:AO95"/>
  </mergeCells>
  <conditionalFormatting sqref="AO5:AO1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30:AO3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54:AO6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62:BA62 AX50:BA50">
    <cfRule type="expression" dxfId="31" priority="16">
      <formula>$B$3=COLUMNS($O50:AP50)</formula>
    </cfRule>
  </conditionalFormatting>
  <conditionalFormatting sqref="AP86">
    <cfRule type="expression" dxfId="30" priority="15">
      <formula>$B$3=COLUMNS($O86:AP86)</formula>
    </cfRule>
  </conditionalFormatting>
  <conditionalFormatting sqref="BB86:BF86">
    <cfRule type="expression" dxfId="29" priority="14">
      <formula>$B$3=COLUMNS($O86:BB86)</formula>
    </cfRule>
  </conditionalFormatting>
  <conditionalFormatting sqref="BB116:BF116">
    <cfRule type="expression" dxfId="28" priority="13">
      <formula>$B$3=COLUMNS($O116:BB116)</formula>
    </cfRule>
  </conditionalFormatting>
  <conditionalFormatting sqref="O50:Z50">
    <cfRule type="expression" dxfId="27" priority="12">
      <formula>$B$3=COLUMNS($O50:O50)</formula>
    </cfRule>
  </conditionalFormatting>
  <conditionalFormatting sqref="AP50">
    <cfRule type="expression" dxfId="26" priority="11">
      <formula>$B$3=COLUMNS($O50:AP50)</formula>
    </cfRule>
  </conditionalFormatting>
  <conditionalFormatting sqref="AQ50">
    <cfRule type="expression" dxfId="25" priority="10">
      <formula>$B$3=COLUMNS($O50:AQ50)</formula>
    </cfRule>
  </conditionalFormatting>
  <conditionalFormatting sqref="AQ86">
    <cfRule type="expression" dxfId="24" priority="9">
      <formula>$B$3=COLUMNS($O86:AQ86)</formula>
    </cfRule>
  </conditionalFormatting>
  <conditionalFormatting sqref="AR50">
    <cfRule type="expression" dxfId="23" priority="8">
      <formula>$B$3=COLUMNS($O50:AR50)</formula>
    </cfRule>
  </conditionalFormatting>
  <conditionalFormatting sqref="AR86">
    <cfRule type="expression" dxfId="22" priority="7">
      <formula>$B$3=COLUMNS($O86:AR86)</formula>
    </cfRule>
  </conditionalFormatting>
  <conditionalFormatting sqref="AS50">
    <cfRule type="expression" dxfId="21" priority="6">
      <formula>$B$3=COLUMNS($O50:AS50)</formula>
    </cfRule>
  </conditionalFormatting>
  <conditionalFormatting sqref="AS86">
    <cfRule type="expression" dxfId="20" priority="5">
      <formula>$B$3=COLUMNS($O86:AS86)</formula>
    </cfRule>
  </conditionalFormatting>
  <conditionalFormatting sqref="AT50">
    <cfRule type="expression" dxfId="19" priority="4">
      <formula>$B$3=COLUMNS($O50:AT50)</formula>
    </cfRule>
  </conditionalFormatting>
  <conditionalFormatting sqref="AT86">
    <cfRule type="expression" dxfId="18" priority="3">
      <formula>$B$3=COLUMNS($O86:AT86)</formula>
    </cfRule>
  </conditionalFormatting>
  <conditionalFormatting sqref="AU50:AV50">
    <cfRule type="expression" dxfId="17" priority="2">
      <formula>$B$3=COLUMNS($O50:AU50)</formula>
    </cfRule>
  </conditionalFormatting>
  <conditionalFormatting sqref="AU86">
    <cfRule type="expression" dxfId="16" priority="1">
      <formula>$B$3=COLUMNS($O86:AU86)</formula>
    </cfRule>
  </conditionalFormatting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X138"/>
  <sheetViews>
    <sheetView showGridLines="0" zoomScale="80" zoomScaleNormal="80" workbookViewId="0">
      <pane xSplit="2" ySplit="4" topLeftCell="AP5" activePane="bottomRight" state="frozen"/>
      <selection pane="topRight" activeCell="B1" sqref="B1"/>
      <selection pane="bottomLeft" activeCell="A4" sqref="A4"/>
      <selection pane="bottomRight" activeCell="AV15" sqref="AV15"/>
    </sheetView>
  </sheetViews>
  <sheetFormatPr defaultColWidth="28.125" defaultRowHeight="15" outlineLevelRow="1" outlineLevelCol="1" x14ac:dyDescent="0.25"/>
  <cols>
    <col min="1" max="1" width="64.875" style="18" bestFit="1" customWidth="1"/>
    <col min="2" max="2" width="28.375" bestFit="1" customWidth="1"/>
    <col min="3" max="25" width="9.125" hidden="1" customWidth="1" outlineLevel="1"/>
    <col min="26" max="26" width="7.625" hidden="1" customWidth="1" outlineLevel="1"/>
    <col min="27" max="36" width="11" style="18" hidden="1" customWidth="1" outlineLevel="1"/>
    <col min="37" max="41" width="10.125" style="18" hidden="1" customWidth="1" outlineLevel="1"/>
    <col min="42" max="42" width="9.875" style="18" customWidth="1" collapsed="1"/>
    <col min="43" max="48" width="9.875" style="18" customWidth="1"/>
    <col min="49" max="53" width="9.875" style="18" customWidth="1" outlineLevel="1"/>
    <col min="54" max="58" width="9.875" style="18" customWidth="1"/>
    <col min="59" max="70" width="9.875" style="18" hidden="1" customWidth="1" outlineLevel="1"/>
    <col min="71" max="75" width="11.625" style="18" hidden="1" customWidth="1" outlineLevel="1"/>
    <col min="76" max="76" width="28.125" style="18" collapsed="1"/>
    <col min="77" max="16384" width="28.125" style="18"/>
  </cols>
  <sheetData>
    <row r="1" spans="1:75" x14ac:dyDescent="0.25">
      <c r="A1" s="18" t="s">
        <v>158</v>
      </c>
      <c r="AP1" s="304">
        <v>201701</v>
      </c>
      <c r="AQ1" s="304">
        <v>201702</v>
      </c>
      <c r="AR1" s="304">
        <v>201703</v>
      </c>
      <c r="AS1" s="304">
        <v>201704</v>
      </c>
      <c r="AT1" s="304">
        <v>201705</v>
      </c>
      <c r="AU1" s="304">
        <v>201706</v>
      </c>
      <c r="AV1" s="304">
        <v>201707</v>
      </c>
      <c r="AW1" s="304">
        <v>201708</v>
      </c>
      <c r="AX1" s="304">
        <v>201709</v>
      </c>
      <c r="AY1" s="304">
        <v>201710</v>
      </c>
      <c r="AZ1" s="304">
        <v>201711</v>
      </c>
      <c r="BA1" s="304">
        <v>201712</v>
      </c>
    </row>
    <row r="2" spans="1:75" x14ac:dyDescent="0.25">
      <c r="M2" s="6">
        <f>SUM(I13:J13)</f>
        <v>0</v>
      </c>
      <c r="N2" s="6">
        <f>SUM(U13:V13)</f>
        <v>0</v>
      </c>
      <c r="O2" s="35" t="e">
        <f>N2/M2</f>
        <v>#DIV/0!</v>
      </c>
    </row>
    <row r="3" spans="1:75" x14ac:dyDescent="0.25">
      <c r="B3" s="109">
        <f>'Full Agency'!A2</f>
        <v>7</v>
      </c>
      <c r="C3" s="109">
        <f>'Full Agency'!B2</f>
        <v>1</v>
      </c>
      <c r="AK3" s="321" t="s">
        <v>131</v>
      </c>
      <c r="AL3" s="321"/>
      <c r="AM3" s="321"/>
      <c r="AN3" s="321"/>
      <c r="AO3" s="321"/>
      <c r="AP3" s="131" t="s">
        <v>135</v>
      </c>
      <c r="AQ3" s="132"/>
      <c r="AR3" s="132"/>
      <c r="AS3" s="132"/>
      <c r="AT3" s="132"/>
      <c r="AU3" s="132"/>
      <c r="AV3" s="132"/>
      <c r="AW3" s="132"/>
      <c r="AX3" s="132"/>
      <c r="AY3" s="132"/>
      <c r="AZ3" s="132"/>
      <c r="BA3" s="132"/>
      <c r="BB3" s="322" t="s">
        <v>134</v>
      </c>
      <c r="BC3" s="324"/>
      <c r="BD3" s="324"/>
      <c r="BE3" s="324"/>
      <c r="BF3" s="324"/>
      <c r="BG3" s="127" t="s">
        <v>132</v>
      </c>
      <c r="BH3" s="128"/>
      <c r="BI3" s="128"/>
      <c r="BJ3" s="133"/>
      <c r="BK3" s="133"/>
      <c r="BL3" s="133"/>
      <c r="BM3" s="133"/>
      <c r="BN3" s="133"/>
      <c r="BO3" s="133"/>
      <c r="BP3" s="133"/>
      <c r="BQ3" s="133"/>
      <c r="BR3" s="133"/>
      <c r="BS3" s="129" t="s">
        <v>133</v>
      </c>
      <c r="BT3" s="130"/>
      <c r="BU3" s="130"/>
      <c r="BV3" s="130"/>
      <c r="BW3" s="120" t="s">
        <v>130</v>
      </c>
    </row>
    <row r="4" spans="1:75" s="17" customFormat="1" x14ac:dyDescent="0.25">
      <c r="B4" s="2" t="s">
        <v>0</v>
      </c>
      <c r="C4" s="3">
        <f>'Agency North'!C3</f>
        <v>42005</v>
      </c>
      <c r="D4" s="3">
        <f>'Agency North'!D3</f>
        <v>42036</v>
      </c>
      <c r="E4" s="3">
        <f>'Agency North'!E3</f>
        <v>42064</v>
      </c>
      <c r="F4" s="3">
        <f>'Agency North'!F3</f>
        <v>42095</v>
      </c>
      <c r="G4" s="3">
        <f>'Agency North'!G3</f>
        <v>42125</v>
      </c>
      <c r="H4" s="3">
        <f>'Agency North'!H3</f>
        <v>42156</v>
      </c>
      <c r="I4" s="3">
        <f>'Agency North'!I3</f>
        <v>42186</v>
      </c>
      <c r="J4" s="3">
        <f>'Agency North'!J3</f>
        <v>42217</v>
      </c>
      <c r="K4" s="3">
        <f>'Agency North'!K3</f>
        <v>42248</v>
      </c>
      <c r="L4" s="3">
        <f>'Agency North'!L3</f>
        <v>42278</v>
      </c>
      <c r="M4" s="3">
        <f>'Agency North'!M3</f>
        <v>42309</v>
      </c>
      <c r="N4" s="3">
        <f>'Agency North'!N3</f>
        <v>42339</v>
      </c>
      <c r="O4" s="3">
        <f>'Agency North'!O3</f>
        <v>42370</v>
      </c>
      <c r="P4" s="3">
        <f>'Agency North'!P3</f>
        <v>42401</v>
      </c>
      <c r="Q4" s="3">
        <f>'Agency North'!Q3</f>
        <v>42430</v>
      </c>
      <c r="R4" s="3">
        <f>'Agency North'!R3</f>
        <v>42461</v>
      </c>
      <c r="S4" s="3">
        <f>'Agency North'!S3</f>
        <v>42491</v>
      </c>
      <c r="T4" s="3">
        <f>'Agency North'!T3</f>
        <v>42522</v>
      </c>
      <c r="U4" s="3">
        <f>'Agency North'!U3</f>
        <v>42552</v>
      </c>
      <c r="V4" s="3">
        <f>'Agency North'!V3</f>
        <v>42583</v>
      </c>
      <c r="W4" s="3">
        <f>'Agency North'!W3</f>
        <v>42614</v>
      </c>
      <c r="X4" s="3">
        <f>'Agency North'!X3</f>
        <v>42644</v>
      </c>
      <c r="Y4" s="3">
        <f>'Agency North'!Y3</f>
        <v>42675</v>
      </c>
      <c r="Z4" s="3">
        <f>'Agency North'!Z3</f>
        <v>42705</v>
      </c>
      <c r="AA4" s="29" t="str">
        <f>"YTD " &amp; B3 &amp;"/16"</f>
        <v>YTD 7/16</v>
      </c>
      <c r="AB4" s="29" t="s">
        <v>19</v>
      </c>
      <c r="AC4" s="29" t="s">
        <v>20</v>
      </c>
      <c r="AD4" s="29" t="s">
        <v>21</v>
      </c>
      <c r="AE4" s="29" t="s">
        <v>22</v>
      </c>
      <c r="AF4" s="26" t="str">
        <f>"YTD " &amp; B3 &amp;"/15"</f>
        <v>YTD 7/15</v>
      </c>
      <c r="AG4" s="26" t="s">
        <v>23</v>
      </c>
      <c r="AH4" s="26" t="s">
        <v>24</v>
      </c>
      <c r="AI4" s="26" t="s">
        <v>25</v>
      </c>
      <c r="AJ4" s="26" t="s">
        <v>26</v>
      </c>
      <c r="AK4" s="30" t="s">
        <v>27</v>
      </c>
      <c r="AL4" s="30" t="s">
        <v>29</v>
      </c>
      <c r="AM4" s="30" t="s">
        <v>30</v>
      </c>
      <c r="AN4" s="30" t="s">
        <v>31</v>
      </c>
      <c r="AO4" s="30" t="s">
        <v>32</v>
      </c>
      <c r="AP4" s="108">
        <v>42736</v>
      </c>
      <c r="AQ4" s="108">
        <v>42767</v>
      </c>
      <c r="AR4" s="108">
        <v>42795</v>
      </c>
      <c r="AS4" s="108">
        <v>42826</v>
      </c>
      <c r="AT4" s="108">
        <v>42856</v>
      </c>
      <c r="AU4" s="108">
        <v>42887</v>
      </c>
      <c r="AV4" s="108">
        <v>42917</v>
      </c>
      <c r="AW4" s="108">
        <v>42948</v>
      </c>
      <c r="AX4" s="108">
        <v>42979</v>
      </c>
      <c r="AY4" s="108">
        <v>43009</v>
      </c>
      <c r="AZ4" s="108">
        <v>43040</v>
      </c>
      <c r="BA4" s="108">
        <v>43070</v>
      </c>
      <c r="BB4" s="29" t="s">
        <v>123</v>
      </c>
      <c r="BC4" s="29" t="s">
        <v>124</v>
      </c>
      <c r="BD4" s="29" t="s">
        <v>125</v>
      </c>
      <c r="BE4" s="29" t="s">
        <v>126</v>
      </c>
      <c r="BF4" s="29" t="str">
        <f>"YTD " &amp; B3 &amp;"/17"</f>
        <v>YTD 7/17</v>
      </c>
      <c r="BG4" s="121">
        <v>42736</v>
      </c>
      <c r="BH4" s="108">
        <v>42767</v>
      </c>
      <c r="BI4" s="108">
        <v>42795</v>
      </c>
      <c r="BJ4" s="108">
        <v>42826</v>
      </c>
      <c r="BK4" s="108">
        <v>42856</v>
      </c>
      <c r="BL4" s="108">
        <v>42887</v>
      </c>
      <c r="BM4" s="108">
        <v>42917</v>
      </c>
      <c r="BN4" s="108">
        <v>42948</v>
      </c>
      <c r="BO4" s="108">
        <v>42979</v>
      </c>
      <c r="BP4" s="108">
        <v>43009</v>
      </c>
      <c r="BQ4" s="108">
        <v>43040</v>
      </c>
      <c r="BR4" s="108">
        <v>43070</v>
      </c>
      <c r="BS4" s="29" t="s">
        <v>127</v>
      </c>
      <c r="BT4" s="29" t="s">
        <v>128</v>
      </c>
      <c r="BU4" s="29" t="s">
        <v>96</v>
      </c>
      <c r="BV4" s="29" t="s">
        <v>129</v>
      </c>
      <c r="BW4" s="112"/>
    </row>
    <row r="5" spans="1:75" x14ac:dyDescent="0.25">
      <c r="A5" s="20" t="str">
        <f t="shared" ref="A5:A14" si="0">$B$4&amp;"_by_rookie_GENLION:"&amp;B5</f>
        <v>APE_by_rookie_GENLION:MDRT/ GEN Lion (from Apr '17)</v>
      </c>
      <c r="B5" t="s">
        <v>157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X5" s="6"/>
      <c r="Y5" s="6"/>
      <c r="Z5" s="6"/>
      <c r="AA5" s="22"/>
      <c r="AB5" s="22"/>
      <c r="AC5" s="22"/>
      <c r="AD5" s="22"/>
      <c r="AE5" s="22"/>
      <c r="AF5" s="6"/>
      <c r="AG5" s="6"/>
      <c r="AH5" s="6"/>
      <c r="AI5" s="6"/>
      <c r="AJ5" s="6"/>
      <c r="AK5" s="31"/>
      <c r="AL5" s="31"/>
      <c r="AM5" s="31"/>
      <c r="AN5" s="31"/>
      <c r="AO5" s="31"/>
      <c r="AP5" s="166">
        <f>[16]APE!J34</f>
        <v>3933.4949999999999</v>
      </c>
      <c r="AQ5" s="166">
        <f>[17]APE!J35</f>
        <v>7272.9260000000104</v>
      </c>
      <c r="AR5" s="166">
        <f>[18]APE!J36</f>
        <v>7970.6</v>
      </c>
      <c r="AS5" s="165">
        <f>[19]APE!T36</f>
        <v>10699.83</v>
      </c>
      <c r="AT5" s="165">
        <f>[20]APE!T36</f>
        <v>10940.55</v>
      </c>
      <c r="AU5" s="165">
        <f>[21]APE!T36</f>
        <v>14188.19</v>
      </c>
      <c r="AV5" s="165">
        <f>[22]APE!T36</f>
        <v>8205.51</v>
      </c>
      <c r="BB5" s="110">
        <f>SUM(AP5:INDEX(AP5:AR5,IF($B$3&lt;3,$B$3,3)))</f>
        <v>19177.021000000008</v>
      </c>
      <c r="BC5" s="110">
        <f>SUM(AS5:INDEX(AS5:AU5,IF(AND($B$3&gt;3,$B$3&lt;7),$B$3-3,0)))</f>
        <v>35828.57</v>
      </c>
      <c r="BD5" s="110">
        <f>SUM(AV5:INDEX(AV5:AX5,IF(AND($B$3&gt;6,$B$3&lt;10),$B$3-6,0)))</f>
        <v>8205.51</v>
      </c>
      <c r="BE5" s="110">
        <f>SUM(AY5:INDEX(AY5:BA5,IF($B$3&gt;9,$B$3-9,0)))</f>
        <v>0</v>
      </c>
      <c r="BF5" s="110">
        <f>SUM($AP5:INDEX(AP5:BA5,$B$3))</f>
        <v>63211.101000000017</v>
      </c>
      <c r="BG5" s="125" t="e">
        <f>AP5/O5</f>
        <v>#DIV/0!</v>
      </c>
      <c r="BH5" s="111" t="e">
        <f t="shared" ref="BH5:BR15" si="1">AQ5/P5</f>
        <v>#DIV/0!</v>
      </c>
      <c r="BI5" s="111" t="e">
        <f t="shared" si="1"/>
        <v>#DIV/0!</v>
      </c>
      <c r="BJ5" s="111" t="e">
        <f t="shared" si="1"/>
        <v>#DIV/0!</v>
      </c>
      <c r="BK5" s="111" t="e">
        <f t="shared" si="1"/>
        <v>#DIV/0!</v>
      </c>
      <c r="BL5" s="111" t="e">
        <f t="shared" si="1"/>
        <v>#DIV/0!</v>
      </c>
      <c r="BM5" s="111" t="e">
        <f t="shared" si="1"/>
        <v>#DIV/0!</v>
      </c>
      <c r="BN5" s="111" t="e">
        <f t="shared" si="1"/>
        <v>#DIV/0!</v>
      </c>
      <c r="BO5" s="111" t="e">
        <f t="shared" si="1"/>
        <v>#DIV/0!</v>
      </c>
      <c r="BP5" s="111" t="e">
        <f t="shared" si="1"/>
        <v>#DIV/0!</v>
      </c>
      <c r="BQ5" s="111" t="e">
        <f t="shared" si="1"/>
        <v>#DIV/0!</v>
      </c>
      <c r="BR5" s="111" t="e">
        <f t="shared" si="1"/>
        <v>#DIV/0!</v>
      </c>
      <c r="BS5" s="111" t="e">
        <f>BB5/SUM(O5:INDEX(O5:Q5,IF($B$3&lt;3,$B$3,3)))</f>
        <v>#DIV/0!</v>
      </c>
      <c r="BT5" s="111" t="e">
        <f>BC5/SUM(R5:INDEX(R5:T5,IF($B$3&lt;7,$B$3-3,3)))</f>
        <v>#DIV/0!</v>
      </c>
      <c r="BU5" s="111" t="e">
        <f t="shared" ref="BU5:BV14" si="2">BD5/AD5</f>
        <v>#DIV/0!</v>
      </c>
      <c r="BV5" s="111" t="e">
        <f t="shared" si="2"/>
        <v>#DIV/0!</v>
      </c>
      <c r="BW5" s="111" t="e">
        <f>BF5/AA5</f>
        <v>#DIV/0!</v>
      </c>
    </row>
    <row r="6" spans="1:75" x14ac:dyDescent="0.25">
      <c r="A6" s="20" t="str">
        <f t="shared" si="0"/>
        <v>APE_by_rookie_GENLION:Rookie in month</v>
      </c>
      <c r="B6" t="s">
        <v>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X6" s="6"/>
      <c r="Y6" s="6"/>
      <c r="Z6" s="6"/>
      <c r="AA6" s="22"/>
      <c r="AB6" s="22"/>
      <c r="AC6" s="22"/>
      <c r="AD6" s="22"/>
      <c r="AE6" s="22"/>
      <c r="AF6" s="6"/>
      <c r="AG6" s="6"/>
      <c r="AH6" s="6"/>
      <c r="AI6" s="6"/>
      <c r="AJ6" s="6"/>
      <c r="AK6" s="31"/>
      <c r="AL6" s="31"/>
      <c r="AM6" s="31"/>
      <c r="AN6" s="31"/>
      <c r="AO6" s="31"/>
      <c r="AP6" s="166">
        <f>[16]APE!J35</f>
        <v>1264.491</v>
      </c>
      <c r="AQ6" s="166">
        <f>[17]APE!J36</f>
        <v>2129.3139999999999</v>
      </c>
      <c r="AR6" s="166">
        <f>[18]APE!J37</f>
        <v>4333.7</v>
      </c>
      <c r="AS6" s="165">
        <f>[19]APE!T37</f>
        <v>3917.58</v>
      </c>
      <c r="AT6" s="165">
        <f>[20]APE!T37</f>
        <v>3298.59</v>
      </c>
      <c r="AU6" s="165">
        <f>[21]APE!T37</f>
        <v>5003.32</v>
      </c>
      <c r="AV6" s="165">
        <f>[22]APE!T37</f>
        <v>3396.44</v>
      </c>
      <c r="BB6" s="110">
        <f>SUM(AP6:INDEX(AP6:AR6,IF($B$3&lt;3,$B$3,3)))</f>
        <v>7727.5049999999992</v>
      </c>
      <c r="BC6" s="110">
        <f>SUM(AS6:INDEX(AS6:AU6,IF(AND($B$3&gt;3,$B$3&lt;7),$B$3-3,0)))</f>
        <v>12219.49</v>
      </c>
      <c r="BD6" s="110">
        <f>SUM(AV6:INDEX(AV6:AX6,IF(AND($B$3&gt;6,$B$3&lt;10),$B$3-6,0)))</f>
        <v>3396.44</v>
      </c>
      <c r="BE6" s="110">
        <f>SUM(AY6:INDEX(AY6:BA6,IF($B$3&gt;9,$B$3-9,0)))</f>
        <v>0</v>
      </c>
      <c r="BF6" s="110">
        <f>SUM($AP6:INDEX(AP6:BA6,$B$3))</f>
        <v>23343.434999999998</v>
      </c>
      <c r="BG6" s="125" t="e">
        <f t="shared" ref="BG6:BH15" si="3">AP6/O6</f>
        <v>#DIV/0!</v>
      </c>
      <c r="BH6" s="111" t="e">
        <f t="shared" si="1"/>
        <v>#DIV/0!</v>
      </c>
      <c r="BI6" s="111" t="e">
        <f t="shared" si="1"/>
        <v>#DIV/0!</v>
      </c>
      <c r="BJ6" s="111" t="e">
        <f t="shared" si="1"/>
        <v>#DIV/0!</v>
      </c>
      <c r="BK6" s="111" t="e">
        <f t="shared" si="1"/>
        <v>#DIV/0!</v>
      </c>
      <c r="BL6" s="111" t="e">
        <f t="shared" si="1"/>
        <v>#DIV/0!</v>
      </c>
      <c r="BM6" s="111" t="e">
        <f t="shared" si="1"/>
        <v>#DIV/0!</v>
      </c>
      <c r="BN6" s="111" t="e">
        <f t="shared" si="1"/>
        <v>#DIV/0!</v>
      </c>
      <c r="BO6" s="111" t="e">
        <f t="shared" si="1"/>
        <v>#DIV/0!</v>
      </c>
      <c r="BP6" s="111" t="e">
        <f t="shared" si="1"/>
        <v>#DIV/0!</v>
      </c>
      <c r="BQ6" s="111" t="e">
        <f t="shared" si="1"/>
        <v>#DIV/0!</v>
      </c>
      <c r="BR6" s="111" t="e">
        <f t="shared" si="1"/>
        <v>#DIV/0!</v>
      </c>
      <c r="BS6" s="111" t="e">
        <f>BB6/SUM(O6:INDEX(O6:Q6,IF($B$3&lt;3,$B$3,3)))</f>
        <v>#DIV/0!</v>
      </c>
      <c r="BT6" s="111" t="e">
        <f>BC6/SUM(R6:INDEX(R6:T6,IF($B$3&lt;7,$B$3-3,3)))</f>
        <v>#DIV/0!</v>
      </c>
      <c r="BU6" s="111" t="e">
        <f t="shared" si="2"/>
        <v>#DIV/0!</v>
      </c>
      <c r="BV6" s="111" t="e">
        <f t="shared" si="2"/>
        <v>#DIV/0!</v>
      </c>
      <c r="BW6" s="111" t="e">
        <f t="shared" ref="BW6:BW14" si="4">BF6/AA6</f>
        <v>#DIV/0!</v>
      </c>
    </row>
    <row r="7" spans="1:75" x14ac:dyDescent="0.25">
      <c r="A7" s="20" t="str">
        <f t="shared" si="0"/>
        <v>APE_by_rookie_GENLION:Rookie last month</v>
      </c>
      <c r="B7" t="s">
        <v>6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X7" s="6"/>
      <c r="Y7" s="6"/>
      <c r="Z7" s="6"/>
      <c r="AA7" s="22"/>
      <c r="AB7" s="22"/>
      <c r="AC7" s="22"/>
      <c r="AD7" s="22"/>
      <c r="AE7" s="22"/>
      <c r="AF7" s="6"/>
      <c r="AG7" s="6"/>
      <c r="AH7" s="6"/>
      <c r="AI7" s="6"/>
      <c r="AJ7" s="6"/>
      <c r="AK7" s="31"/>
      <c r="AL7" s="31"/>
      <c r="AM7" s="31"/>
      <c r="AN7" s="31"/>
      <c r="AO7" s="31"/>
      <c r="AP7" s="166">
        <f>[16]APE!J36</f>
        <v>1266.1579999999999</v>
      </c>
      <c r="AQ7" s="166">
        <f>[17]APE!J37</f>
        <v>1064.2650000000001</v>
      </c>
      <c r="AR7" s="166">
        <f>[18]APE!J38</f>
        <v>3299.38</v>
      </c>
      <c r="AS7" s="165">
        <f>[19]APE!T38</f>
        <v>1586.81</v>
      </c>
      <c r="AT7" s="165">
        <f>[20]APE!T38</f>
        <v>3248.4</v>
      </c>
      <c r="AU7" s="165">
        <f>[21]APE!T38</f>
        <v>2156.14</v>
      </c>
      <c r="AV7" s="165">
        <f>[22]APE!T38</f>
        <v>2176.9699999999998</v>
      </c>
      <c r="BB7" s="110">
        <f>SUM(AP7:INDEX(AP7:AR7,IF($B$3&lt;3,$B$3,3)))</f>
        <v>5629.8029999999999</v>
      </c>
      <c r="BC7" s="110">
        <f>SUM(AS7:INDEX(AS7:AU7,IF(AND($B$3&gt;3,$B$3&lt;7),$B$3-3,0)))</f>
        <v>6991.35</v>
      </c>
      <c r="BD7" s="110">
        <f>SUM(AV7:INDEX(AV7:AX7,IF(AND($B$3&gt;6,$B$3&lt;10),$B$3-6,0)))</f>
        <v>2176.9699999999998</v>
      </c>
      <c r="BE7" s="110">
        <f>SUM(AY7:INDEX(AY7:BA7,IF($B$3&gt;9,$B$3-9,0)))</f>
        <v>0</v>
      </c>
      <c r="BF7" s="110">
        <f>SUM($AP7:INDEX(AP7:BA7,$B$3))</f>
        <v>14798.122999999998</v>
      </c>
      <c r="BG7" s="125" t="e">
        <f t="shared" si="3"/>
        <v>#DIV/0!</v>
      </c>
      <c r="BH7" s="111" t="e">
        <f t="shared" si="1"/>
        <v>#DIV/0!</v>
      </c>
      <c r="BI7" s="111" t="e">
        <f t="shared" si="1"/>
        <v>#DIV/0!</v>
      </c>
      <c r="BJ7" s="111" t="e">
        <f t="shared" si="1"/>
        <v>#DIV/0!</v>
      </c>
      <c r="BK7" s="111" t="e">
        <f t="shared" si="1"/>
        <v>#DIV/0!</v>
      </c>
      <c r="BL7" s="111" t="e">
        <f t="shared" si="1"/>
        <v>#DIV/0!</v>
      </c>
      <c r="BM7" s="111" t="e">
        <f t="shared" si="1"/>
        <v>#DIV/0!</v>
      </c>
      <c r="BN7" s="111" t="e">
        <f t="shared" si="1"/>
        <v>#DIV/0!</v>
      </c>
      <c r="BO7" s="111" t="e">
        <f t="shared" si="1"/>
        <v>#DIV/0!</v>
      </c>
      <c r="BP7" s="111" t="e">
        <f t="shared" si="1"/>
        <v>#DIV/0!</v>
      </c>
      <c r="BQ7" s="111" t="e">
        <f t="shared" si="1"/>
        <v>#DIV/0!</v>
      </c>
      <c r="BR7" s="111" t="e">
        <f t="shared" si="1"/>
        <v>#DIV/0!</v>
      </c>
      <c r="BS7" s="111" t="e">
        <f>BB7/SUM(O7:INDEX(O7:Q7,IF($B$3&lt;3,$B$3,3)))</f>
        <v>#DIV/0!</v>
      </c>
      <c r="BT7" s="111" t="e">
        <f>BC7/SUM(R7:INDEX(R7:T7,IF($B$3&lt;7,$B$3-3,3)))</f>
        <v>#DIV/0!</v>
      </c>
      <c r="BU7" s="111" t="e">
        <f t="shared" si="2"/>
        <v>#DIV/0!</v>
      </c>
      <c r="BV7" s="111" t="e">
        <f t="shared" si="2"/>
        <v>#DIV/0!</v>
      </c>
      <c r="BW7" s="111" t="e">
        <f t="shared" si="4"/>
        <v>#DIV/0!</v>
      </c>
    </row>
    <row r="8" spans="1:75" x14ac:dyDescent="0.25">
      <c r="A8" s="20" t="str">
        <f t="shared" si="0"/>
        <v>APE_by_rookie_GENLION:2-3 months</v>
      </c>
      <c r="B8" t="s">
        <v>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X8" s="6"/>
      <c r="Y8" s="6"/>
      <c r="Z8" s="6"/>
      <c r="AA8" s="22"/>
      <c r="AB8" s="22"/>
      <c r="AC8" s="22"/>
      <c r="AD8" s="22"/>
      <c r="AE8" s="22"/>
      <c r="AF8" s="6"/>
      <c r="AG8" s="6"/>
      <c r="AH8" s="6"/>
      <c r="AI8" s="6"/>
      <c r="AJ8" s="6"/>
      <c r="AK8" s="31"/>
      <c r="AL8" s="31"/>
      <c r="AM8" s="31"/>
      <c r="AN8" s="31"/>
      <c r="AO8" s="31"/>
      <c r="AP8" s="166">
        <f>[16]APE!J37</f>
        <v>3012.2404999999999</v>
      </c>
      <c r="AQ8" s="166">
        <f>[17]APE!J38</f>
        <v>4534.0839999999998</v>
      </c>
      <c r="AR8" s="166">
        <f>[18]APE!J39</f>
        <v>2333.62</v>
      </c>
      <c r="AS8" s="165">
        <f>[19]APE!T39</f>
        <v>1563.44</v>
      </c>
      <c r="AT8" s="165">
        <f>[20]APE!T39</f>
        <v>1865.16</v>
      </c>
      <c r="AU8" s="165">
        <f>[21]APE!T39</f>
        <v>3365.75</v>
      </c>
      <c r="AV8" s="165">
        <f>[22]APE!T39</f>
        <v>2950.92</v>
      </c>
      <c r="BB8" s="110">
        <f>SUM(AP8:INDEX(AP8:AR8,IF($B$3&lt;3,$B$3,3)))</f>
        <v>9879.9444999999996</v>
      </c>
      <c r="BC8" s="110">
        <f>SUM(AS8:INDEX(AS8:AU8,IF(AND($B$3&gt;3,$B$3&lt;7),$B$3-3,0)))</f>
        <v>6794.35</v>
      </c>
      <c r="BD8" s="110">
        <f>SUM(AV8:INDEX(AV8:AX8,IF(AND($B$3&gt;6,$B$3&lt;10),$B$3-6,0)))</f>
        <v>2950.92</v>
      </c>
      <c r="BE8" s="110">
        <f>SUM(AY8:INDEX(AY8:BA8,IF($B$3&gt;9,$B$3-9,0)))</f>
        <v>0</v>
      </c>
      <c r="BF8" s="110">
        <f>SUM($AP8:INDEX(AP8:BA8,$B$3))</f>
        <v>19625.214500000002</v>
      </c>
      <c r="BG8" s="125" t="e">
        <f t="shared" si="3"/>
        <v>#DIV/0!</v>
      </c>
      <c r="BH8" s="111" t="e">
        <f t="shared" si="1"/>
        <v>#DIV/0!</v>
      </c>
      <c r="BI8" s="111" t="e">
        <f t="shared" si="1"/>
        <v>#DIV/0!</v>
      </c>
      <c r="BJ8" s="111" t="e">
        <f t="shared" si="1"/>
        <v>#DIV/0!</v>
      </c>
      <c r="BK8" s="111" t="e">
        <f t="shared" si="1"/>
        <v>#DIV/0!</v>
      </c>
      <c r="BL8" s="111" t="e">
        <f t="shared" si="1"/>
        <v>#DIV/0!</v>
      </c>
      <c r="BM8" s="111" t="e">
        <f t="shared" si="1"/>
        <v>#DIV/0!</v>
      </c>
      <c r="BN8" s="111" t="e">
        <f t="shared" si="1"/>
        <v>#DIV/0!</v>
      </c>
      <c r="BO8" s="111" t="e">
        <f t="shared" si="1"/>
        <v>#DIV/0!</v>
      </c>
      <c r="BP8" s="111" t="e">
        <f t="shared" si="1"/>
        <v>#DIV/0!</v>
      </c>
      <c r="BQ8" s="111" t="e">
        <f t="shared" si="1"/>
        <v>#DIV/0!</v>
      </c>
      <c r="BR8" s="111" t="e">
        <f t="shared" si="1"/>
        <v>#DIV/0!</v>
      </c>
      <c r="BS8" s="111" t="e">
        <f>BB8/SUM(O8:INDEX(O8:Q8,IF($B$3&lt;3,$B$3,3)))</f>
        <v>#DIV/0!</v>
      </c>
      <c r="BT8" s="111" t="e">
        <f>BC8/SUM(R8:INDEX(R8:T8,IF($B$3&lt;7,$B$3-3,3)))</f>
        <v>#DIV/0!</v>
      </c>
      <c r="BU8" s="111" t="e">
        <f t="shared" si="2"/>
        <v>#DIV/0!</v>
      </c>
      <c r="BV8" s="111" t="e">
        <f t="shared" si="2"/>
        <v>#DIV/0!</v>
      </c>
      <c r="BW8" s="111" t="e">
        <f t="shared" si="4"/>
        <v>#DIV/0!</v>
      </c>
    </row>
    <row r="9" spans="1:75" x14ac:dyDescent="0.25">
      <c r="A9" s="20" t="str">
        <f t="shared" si="0"/>
        <v>APE_by_rookie_GENLION:4 - 6 mths</v>
      </c>
      <c r="B9" t="s">
        <v>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X9" s="6"/>
      <c r="Y9" s="6"/>
      <c r="Z9" s="6"/>
      <c r="AA9" s="22"/>
      <c r="AB9" s="22"/>
      <c r="AC9" s="22"/>
      <c r="AD9" s="22"/>
      <c r="AE9" s="22"/>
      <c r="AF9" s="6"/>
      <c r="AG9" s="6"/>
      <c r="AH9" s="6"/>
      <c r="AI9" s="6"/>
      <c r="AJ9" s="6"/>
      <c r="AK9" s="31"/>
      <c r="AL9" s="31"/>
      <c r="AM9" s="31"/>
      <c r="AN9" s="31"/>
      <c r="AO9" s="31"/>
      <c r="AP9" s="166">
        <f>[16]APE!J38</f>
        <v>1240.9359999999999</v>
      </c>
      <c r="AQ9" s="166">
        <f>[17]APE!J39</f>
        <v>3796.6129999999998</v>
      </c>
      <c r="AR9" s="166">
        <f>[18]APE!J40</f>
        <v>5473.45</v>
      </c>
      <c r="AS9" s="165">
        <f>[19]APE!T40</f>
        <v>1200.6199999999999</v>
      </c>
      <c r="AT9" s="165">
        <f>[20]APE!T40</f>
        <v>1020.13</v>
      </c>
      <c r="AU9" s="165">
        <f>[21]APE!T40</f>
        <v>1004.7</v>
      </c>
      <c r="AV9" s="165">
        <f>[22]APE!T40</f>
        <v>1023.41</v>
      </c>
      <c r="BB9" s="110">
        <f>SUM(AP9:INDEX(AP9:AR9,IF($B$3&lt;3,$B$3,3)))</f>
        <v>10510.999</v>
      </c>
      <c r="BC9" s="110">
        <f>SUM(AS9:INDEX(AS9:AU9,IF(AND($B$3&gt;3,$B$3&lt;7),$B$3-3,0)))</f>
        <v>3225.45</v>
      </c>
      <c r="BD9" s="110">
        <f>SUM(AV9:INDEX(AV9:AX9,IF(AND($B$3&gt;6,$B$3&lt;10),$B$3-6,0)))</f>
        <v>1023.41</v>
      </c>
      <c r="BE9" s="110">
        <f>SUM(AY9:INDEX(AY9:BA9,IF($B$3&gt;9,$B$3-9,0)))</f>
        <v>0</v>
      </c>
      <c r="BF9" s="110">
        <f>SUM($AP9:INDEX(AP9:BA9,$B$3))</f>
        <v>14759.858999999999</v>
      </c>
      <c r="BG9" s="125" t="e">
        <f t="shared" si="3"/>
        <v>#DIV/0!</v>
      </c>
      <c r="BH9" s="111" t="e">
        <f t="shared" si="1"/>
        <v>#DIV/0!</v>
      </c>
      <c r="BI9" s="111" t="e">
        <f t="shared" si="1"/>
        <v>#DIV/0!</v>
      </c>
      <c r="BJ9" s="111" t="e">
        <f t="shared" si="1"/>
        <v>#DIV/0!</v>
      </c>
      <c r="BK9" s="111" t="e">
        <f t="shared" si="1"/>
        <v>#DIV/0!</v>
      </c>
      <c r="BL9" s="111" t="e">
        <f t="shared" si="1"/>
        <v>#DIV/0!</v>
      </c>
      <c r="BM9" s="111" t="e">
        <f t="shared" si="1"/>
        <v>#DIV/0!</v>
      </c>
      <c r="BN9" s="111" t="e">
        <f t="shared" si="1"/>
        <v>#DIV/0!</v>
      </c>
      <c r="BO9" s="111" t="e">
        <f t="shared" si="1"/>
        <v>#DIV/0!</v>
      </c>
      <c r="BP9" s="111" t="e">
        <f t="shared" si="1"/>
        <v>#DIV/0!</v>
      </c>
      <c r="BQ9" s="111" t="e">
        <f t="shared" si="1"/>
        <v>#DIV/0!</v>
      </c>
      <c r="BR9" s="111" t="e">
        <f t="shared" si="1"/>
        <v>#DIV/0!</v>
      </c>
      <c r="BS9" s="111" t="e">
        <f>BB9/SUM(O9:INDEX(O9:Q9,IF($B$3&lt;3,$B$3,3)))</f>
        <v>#DIV/0!</v>
      </c>
      <c r="BT9" s="111" t="e">
        <f>BC9/SUM(R9:INDEX(R9:T9,IF($B$3&lt;7,$B$3-3,3)))</f>
        <v>#DIV/0!</v>
      </c>
      <c r="BU9" s="111" t="e">
        <f t="shared" si="2"/>
        <v>#DIV/0!</v>
      </c>
      <c r="BV9" s="111" t="e">
        <f t="shared" si="2"/>
        <v>#DIV/0!</v>
      </c>
      <c r="BW9" s="111" t="e">
        <f t="shared" si="4"/>
        <v>#DIV/0!</v>
      </c>
    </row>
    <row r="10" spans="1:75" x14ac:dyDescent="0.25">
      <c r="A10" s="20" t="str">
        <f t="shared" si="0"/>
        <v>APE_by_rookie_GENLION:7-12mth</v>
      </c>
      <c r="B10" t="s">
        <v>1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X10" s="6"/>
      <c r="Y10" s="6"/>
      <c r="Z10" s="6"/>
      <c r="AA10" s="22"/>
      <c r="AB10" s="22"/>
      <c r="AC10" s="22"/>
      <c r="AD10" s="22"/>
      <c r="AE10" s="22"/>
      <c r="AF10" s="6"/>
      <c r="AG10" s="6"/>
      <c r="AH10" s="6"/>
      <c r="AI10" s="6"/>
      <c r="AJ10" s="6"/>
      <c r="AK10" s="31"/>
      <c r="AL10" s="31"/>
      <c r="AM10" s="31"/>
      <c r="AN10" s="31"/>
      <c r="AO10" s="31"/>
      <c r="AP10" s="166">
        <f>[16]APE!J39</f>
        <v>485.90499999999997</v>
      </c>
      <c r="AQ10" s="166">
        <f>[17]APE!J40</f>
        <v>536.13</v>
      </c>
      <c r="AR10" s="166">
        <f>[18]APE!J41</f>
        <v>1310.55</v>
      </c>
      <c r="AS10" s="165">
        <f>[19]APE!T41</f>
        <v>2466.52</v>
      </c>
      <c r="AT10" s="165">
        <f>[20]APE!T41</f>
        <v>7865.96</v>
      </c>
      <c r="AU10" s="165">
        <f>[21]APE!T41</f>
        <v>2594.13</v>
      </c>
      <c r="AV10" s="165">
        <f>[22]APE!T41</f>
        <v>2362.84</v>
      </c>
      <c r="BB10" s="110">
        <f>SUM(AP10:INDEX(AP10:AR10,IF($B$3&lt;3,$B$3,3)))</f>
        <v>2332.585</v>
      </c>
      <c r="BC10" s="110">
        <f>SUM(AS10:INDEX(AS10:AU10,IF(AND($B$3&gt;3,$B$3&lt;7),$B$3-3,0)))</f>
        <v>12926.61</v>
      </c>
      <c r="BD10" s="110">
        <f>SUM(AV10:INDEX(AV10:AX10,IF(AND($B$3&gt;6,$B$3&lt;10),$B$3-6,0)))</f>
        <v>2362.84</v>
      </c>
      <c r="BE10" s="110">
        <f>SUM(AY10:INDEX(AY10:BA10,IF($B$3&gt;9,$B$3-9,0)))</f>
        <v>0</v>
      </c>
      <c r="BF10" s="110">
        <f>SUM($AP10:INDEX(AP10:BA10,$B$3))</f>
        <v>17622.035</v>
      </c>
      <c r="BG10" s="125" t="e">
        <f t="shared" si="3"/>
        <v>#DIV/0!</v>
      </c>
      <c r="BH10" s="111" t="e">
        <f t="shared" si="1"/>
        <v>#DIV/0!</v>
      </c>
      <c r="BI10" s="111" t="e">
        <f t="shared" si="1"/>
        <v>#DIV/0!</v>
      </c>
      <c r="BJ10" s="111" t="e">
        <f t="shared" si="1"/>
        <v>#DIV/0!</v>
      </c>
      <c r="BK10" s="111" t="e">
        <f t="shared" si="1"/>
        <v>#DIV/0!</v>
      </c>
      <c r="BL10" s="111" t="e">
        <f t="shared" si="1"/>
        <v>#DIV/0!</v>
      </c>
      <c r="BM10" s="111" t="e">
        <f t="shared" si="1"/>
        <v>#DIV/0!</v>
      </c>
      <c r="BN10" s="111" t="e">
        <f t="shared" si="1"/>
        <v>#DIV/0!</v>
      </c>
      <c r="BO10" s="111" t="e">
        <f t="shared" si="1"/>
        <v>#DIV/0!</v>
      </c>
      <c r="BP10" s="111" t="e">
        <f t="shared" si="1"/>
        <v>#DIV/0!</v>
      </c>
      <c r="BQ10" s="111" t="e">
        <f t="shared" si="1"/>
        <v>#DIV/0!</v>
      </c>
      <c r="BR10" s="111" t="e">
        <f t="shared" si="1"/>
        <v>#DIV/0!</v>
      </c>
      <c r="BS10" s="111" t="e">
        <f>BB10/SUM(O10:INDEX(O10:Q10,IF($B$3&lt;3,$B$3,3)))</f>
        <v>#DIV/0!</v>
      </c>
      <c r="BT10" s="111" t="e">
        <f>BC10/SUM(R10:INDEX(R10:T10,IF($B$3&lt;7,$B$3-3,3)))</f>
        <v>#DIV/0!</v>
      </c>
      <c r="BU10" s="111" t="e">
        <f t="shared" si="2"/>
        <v>#DIV/0!</v>
      </c>
      <c r="BV10" s="111" t="e">
        <f t="shared" si="2"/>
        <v>#DIV/0!</v>
      </c>
      <c r="BW10" s="111" t="e">
        <f t="shared" si="4"/>
        <v>#DIV/0!</v>
      </c>
    </row>
    <row r="11" spans="1:75" x14ac:dyDescent="0.25">
      <c r="A11" s="20" t="str">
        <f t="shared" si="0"/>
        <v>APE_by_rookie_GENLION:13+mth</v>
      </c>
      <c r="B11" t="s">
        <v>2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X11" s="6"/>
      <c r="Y11" s="6"/>
      <c r="Z11" s="6"/>
      <c r="AA11" s="22"/>
      <c r="AB11" s="22"/>
      <c r="AC11" s="22"/>
      <c r="AD11" s="22"/>
      <c r="AE11" s="22"/>
      <c r="AF11" s="6"/>
      <c r="AG11" s="6"/>
      <c r="AH11" s="6"/>
      <c r="AI11" s="6"/>
      <c r="AJ11" s="6"/>
      <c r="AK11" s="31"/>
      <c r="AL11" s="31"/>
      <c r="AM11" s="31"/>
      <c r="AN11" s="31"/>
      <c r="AO11" s="31"/>
      <c r="AP11" s="166">
        <f>[16]APE!J40</f>
        <v>1566.4295</v>
      </c>
      <c r="AQ11" s="166">
        <f>[17]APE!J41</f>
        <v>1094.9259999999999</v>
      </c>
      <c r="AR11" s="166">
        <f>[18]APE!J42</f>
        <v>2230.5300000000002</v>
      </c>
      <c r="AS11" s="165">
        <f>[19]APE!T42</f>
        <v>2197.79</v>
      </c>
      <c r="AT11" s="165">
        <f>[20]APE!T42</f>
        <v>2466.1999999999998</v>
      </c>
      <c r="AU11" s="165">
        <f>[21]APE!T42</f>
        <v>2195.75</v>
      </c>
      <c r="AV11" s="165">
        <f>[22]APE!T42</f>
        <v>2720.18</v>
      </c>
      <c r="BB11" s="110">
        <f>SUM(AP11:INDEX(AP11:AR11,IF($B$3&lt;3,$B$3,3)))</f>
        <v>4891.8855000000003</v>
      </c>
      <c r="BC11" s="110">
        <f>SUM(AS11:INDEX(AS11:AU11,IF(AND($B$3&gt;3,$B$3&lt;7),$B$3-3,0)))</f>
        <v>6859.74</v>
      </c>
      <c r="BD11" s="110">
        <f>SUM(AV11:INDEX(AV11:AX11,IF(AND($B$3&gt;6,$B$3&lt;10),$B$3-6,0)))</f>
        <v>2720.18</v>
      </c>
      <c r="BE11" s="110">
        <f>SUM(AY11:INDEX(AY11:BA11,IF($B$3&gt;9,$B$3-9,0)))</f>
        <v>0</v>
      </c>
      <c r="BF11" s="110">
        <f>SUM($AP11:INDEX(AP11:BA11,$B$3))</f>
        <v>14471.8055</v>
      </c>
      <c r="BG11" s="125" t="e">
        <f t="shared" si="3"/>
        <v>#DIV/0!</v>
      </c>
      <c r="BH11" s="111" t="e">
        <f t="shared" si="1"/>
        <v>#DIV/0!</v>
      </c>
      <c r="BI11" s="111" t="e">
        <f t="shared" si="1"/>
        <v>#DIV/0!</v>
      </c>
      <c r="BJ11" s="111" t="e">
        <f t="shared" si="1"/>
        <v>#DIV/0!</v>
      </c>
      <c r="BK11" s="111" t="e">
        <f t="shared" si="1"/>
        <v>#DIV/0!</v>
      </c>
      <c r="BL11" s="111" t="e">
        <f t="shared" si="1"/>
        <v>#DIV/0!</v>
      </c>
      <c r="BM11" s="111" t="e">
        <f t="shared" si="1"/>
        <v>#DIV/0!</v>
      </c>
      <c r="BN11" s="111" t="e">
        <f t="shared" si="1"/>
        <v>#DIV/0!</v>
      </c>
      <c r="BO11" s="111" t="e">
        <f t="shared" si="1"/>
        <v>#DIV/0!</v>
      </c>
      <c r="BP11" s="111" t="e">
        <f t="shared" si="1"/>
        <v>#DIV/0!</v>
      </c>
      <c r="BQ11" s="111" t="e">
        <f t="shared" si="1"/>
        <v>#DIV/0!</v>
      </c>
      <c r="BR11" s="111" t="e">
        <f t="shared" si="1"/>
        <v>#DIV/0!</v>
      </c>
      <c r="BS11" s="111" t="e">
        <f>BB11/SUM(O11:INDEX(O11:Q11,IF($B$3&lt;3,$B$3,3)))</f>
        <v>#DIV/0!</v>
      </c>
      <c r="BT11" s="111" t="e">
        <f>BC11/SUM(R11:INDEX(R11:T11,IF($B$3&lt;7,$B$3-3,3)))</f>
        <v>#DIV/0!</v>
      </c>
      <c r="BU11" s="111" t="e">
        <f t="shared" si="2"/>
        <v>#DIV/0!</v>
      </c>
      <c r="BV11" s="111" t="e">
        <f t="shared" si="2"/>
        <v>#DIV/0!</v>
      </c>
      <c r="BW11" s="111" t="e">
        <f t="shared" si="4"/>
        <v>#DIV/0!</v>
      </c>
    </row>
    <row r="12" spans="1:75" x14ac:dyDescent="0.25">
      <c r="A12" s="20" t="str">
        <f t="shared" si="0"/>
        <v>APE_by_rookie_GENLION:SA</v>
      </c>
      <c r="B12" s="135" t="s">
        <v>136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X12" s="6"/>
      <c r="Y12" s="6"/>
      <c r="Z12" s="6"/>
      <c r="AA12" s="22"/>
      <c r="AB12" s="22"/>
      <c r="AC12" s="22"/>
      <c r="AD12" s="22"/>
      <c r="AE12" s="22"/>
      <c r="AF12" s="6"/>
      <c r="AG12" s="6"/>
      <c r="AH12" s="6"/>
      <c r="AI12" s="6"/>
      <c r="AJ12" s="6"/>
      <c r="AK12" s="31"/>
      <c r="AL12" s="31"/>
      <c r="AM12" s="31"/>
      <c r="AN12" s="31"/>
      <c r="AO12" s="31"/>
      <c r="AP12" s="166"/>
      <c r="AQ12" s="166">
        <f>[17]APE!J42</f>
        <v>541.452</v>
      </c>
      <c r="AR12" s="166">
        <f>[18]APE!J43</f>
        <v>608.25</v>
      </c>
      <c r="AS12" s="165">
        <f>[19]APE!T43</f>
        <v>830.05</v>
      </c>
      <c r="AT12" s="165">
        <f>[20]APE!T43</f>
        <v>482.97</v>
      </c>
      <c r="AU12" s="165">
        <f>[21]APE!T43</f>
        <v>254.37</v>
      </c>
      <c r="AV12" s="165">
        <f>[22]APE!T43</f>
        <v>387.69</v>
      </c>
      <c r="BB12" s="110">
        <f>SUM(AP12:INDEX(AP12:AR12,IF($B$3&lt;3,$B$3,3)))</f>
        <v>1149.702</v>
      </c>
      <c r="BC12" s="110">
        <f>SUM(AS12:INDEX(AS12:AU12,IF(AND($B$3&gt;3,$B$3&lt;7),$B$3-3,0)))</f>
        <v>1567.3899999999999</v>
      </c>
      <c r="BD12" s="110">
        <f>SUM(AV12:INDEX(AV12:AX12,IF(AND($B$3&gt;6,$B$3&lt;10),$B$3-6,0)))</f>
        <v>387.69</v>
      </c>
      <c r="BE12" s="110"/>
      <c r="BF12" s="110">
        <f>SUM($AP12:INDEX(AP12:BA12,$B$3))</f>
        <v>3104.7819999999997</v>
      </c>
      <c r="BG12" s="125"/>
      <c r="BH12" s="111"/>
      <c r="BI12" s="111"/>
      <c r="BJ12" s="111"/>
      <c r="BK12" s="111"/>
      <c r="BL12" s="111"/>
      <c r="BM12" s="111"/>
      <c r="BN12" s="111"/>
      <c r="BO12" s="111"/>
      <c r="BP12" s="111"/>
      <c r="BQ12" s="111"/>
      <c r="BR12" s="111"/>
      <c r="BS12" s="111"/>
      <c r="BT12" s="111"/>
      <c r="BU12" s="111"/>
      <c r="BV12" s="111"/>
      <c r="BW12" s="111"/>
    </row>
    <row r="13" spans="1:75" s="17" customFormat="1" x14ac:dyDescent="0.25">
      <c r="A13" s="20" t="str">
        <f t="shared" si="0"/>
        <v xml:space="preserve">APE_by_rookie_GENLION:Total </v>
      </c>
      <c r="B13" s="1" t="s">
        <v>3</v>
      </c>
      <c r="C13" s="7">
        <f>SUM(C5:C11)</f>
        <v>0</v>
      </c>
      <c r="D13" s="7">
        <f t="shared" ref="D13:AE13" si="5">SUM(D5:D11)</f>
        <v>0</v>
      </c>
      <c r="E13" s="7">
        <f t="shared" si="5"/>
        <v>0</v>
      </c>
      <c r="F13" s="7">
        <f t="shared" si="5"/>
        <v>0</v>
      </c>
      <c r="G13" s="7">
        <f t="shared" si="5"/>
        <v>0</v>
      </c>
      <c r="H13" s="7">
        <f t="shared" si="5"/>
        <v>0</v>
      </c>
      <c r="I13" s="7">
        <f t="shared" si="5"/>
        <v>0</v>
      </c>
      <c r="J13" s="7">
        <f t="shared" si="5"/>
        <v>0</v>
      </c>
      <c r="K13" s="7">
        <f t="shared" si="5"/>
        <v>0</v>
      </c>
      <c r="L13" s="7">
        <f t="shared" si="5"/>
        <v>0</v>
      </c>
      <c r="M13" s="7">
        <f t="shared" si="5"/>
        <v>0</v>
      </c>
      <c r="N13" s="7">
        <f t="shared" si="5"/>
        <v>0</v>
      </c>
      <c r="O13" s="7">
        <f t="shared" si="5"/>
        <v>0</v>
      </c>
      <c r="P13" s="7">
        <f t="shared" si="5"/>
        <v>0</v>
      </c>
      <c r="Q13" s="7">
        <f t="shared" si="5"/>
        <v>0</v>
      </c>
      <c r="R13" s="7">
        <f t="shared" si="5"/>
        <v>0</v>
      </c>
      <c r="S13" s="7">
        <f t="shared" si="5"/>
        <v>0</v>
      </c>
      <c r="T13" s="7">
        <f t="shared" si="5"/>
        <v>0</v>
      </c>
      <c r="U13" s="7">
        <f t="shared" si="5"/>
        <v>0</v>
      </c>
      <c r="V13" s="7">
        <f t="shared" si="5"/>
        <v>0</v>
      </c>
      <c r="W13" s="7">
        <f t="shared" si="5"/>
        <v>0</v>
      </c>
      <c r="X13" s="7">
        <f t="shared" si="5"/>
        <v>0</v>
      </c>
      <c r="Y13" s="7">
        <f t="shared" si="5"/>
        <v>0</v>
      </c>
      <c r="Z13" s="7">
        <f t="shared" si="5"/>
        <v>0</v>
      </c>
      <c r="AA13" s="7">
        <f t="shared" si="5"/>
        <v>0</v>
      </c>
      <c r="AB13" s="7">
        <f t="shared" si="5"/>
        <v>0</v>
      </c>
      <c r="AC13" s="7">
        <f t="shared" si="5"/>
        <v>0</v>
      </c>
      <c r="AD13" s="7">
        <f t="shared" si="5"/>
        <v>0</v>
      </c>
      <c r="AE13" s="7">
        <f t="shared" si="5"/>
        <v>0</v>
      </c>
      <c r="AF13" s="7">
        <f>SUM(AF5:AF11)</f>
        <v>0</v>
      </c>
      <c r="AG13" s="7">
        <f t="shared" ref="AG13:AJ13" si="6">SUM(AG5:AG11)</f>
        <v>0</v>
      </c>
      <c r="AH13" s="7">
        <f t="shared" si="6"/>
        <v>0</v>
      </c>
      <c r="AI13" s="7">
        <f t="shared" ref="AI13:AI15" si="7">SUM(I13:K13)</f>
        <v>0</v>
      </c>
      <c r="AJ13" s="7">
        <f t="shared" si="6"/>
        <v>0</v>
      </c>
      <c r="AK13" s="31" t="e">
        <f t="shared" ref="AK13" si="8">AA13/AF13-1</f>
        <v>#DIV/0!</v>
      </c>
      <c r="AL13" s="31" t="e">
        <f t="shared" ref="AL13:AM13" si="9">AB13/AG13-1</f>
        <v>#DIV/0!</v>
      </c>
      <c r="AM13" s="31" t="e">
        <f t="shared" si="9"/>
        <v>#DIV/0!</v>
      </c>
      <c r="AN13" s="31" t="e">
        <f>SUM(U13:W13)/SUM(I13:INDEX(I13:K13,MOD($B$3,3)))-1</f>
        <v>#DIV/0!</v>
      </c>
      <c r="AO13" s="31" t="e">
        <f>AE13/SUM(L13:INDEX(L13:N13,MOD($B$3,3)))-1</f>
        <v>#DIV/0!</v>
      </c>
      <c r="AP13" s="7">
        <f t="shared" ref="AP13" si="10">SUM(AP5:AP11)</f>
        <v>12769.655000000001</v>
      </c>
      <c r="AQ13" s="7">
        <f t="shared" ref="AQ13:AV13" si="11">SUM(AQ5:AQ12)</f>
        <v>20969.710000000014</v>
      </c>
      <c r="AR13" s="7">
        <f t="shared" si="11"/>
        <v>27560.079999999998</v>
      </c>
      <c r="AS13" s="7">
        <f t="shared" si="11"/>
        <v>24462.639999999999</v>
      </c>
      <c r="AT13" s="7">
        <f t="shared" si="11"/>
        <v>31187.960000000003</v>
      </c>
      <c r="AU13" s="7">
        <f t="shared" si="11"/>
        <v>30762.350000000002</v>
      </c>
      <c r="AV13" s="7">
        <f t="shared" si="11"/>
        <v>23223.96</v>
      </c>
      <c r="BB13" s="116">
        <f>SUM(AP13:INDEX(AP13:AR13,IF($B$3&lt;3,$B$3,3)))</f>
        <v>61299.445000000007</v>
      </c>
      <c r="BC13" s="116">
        <f>SUM(AS13:INDEX(AS13:AU13,IF(AND($B$3&gt;3,$B$3&lt;7),$B$3-3,0)))</f>
        <v>86412.950000000012</v>
      </c>
      <c r="BD13" s="116">
        <f>SUM(AV13:INDEX(AV13:AX13,IF(AND($B$3&gt;6,$B$3&lt;10),$B$3-6,0)))</f>
        <v>23223.96</v>
      </c>
      <c r="BE13" s="116">
        <f>SUM(AY13:INDEX(AY13:BA13,IF($B$3&gt;9,$B$3-9,0)))</f>
        <v>0</v>
      </c>
      <c r="BF13" s="116">
        <f>SUM($AP13:INDEX(AP13:BA13,$B$3))</f>
        <v>170936.35500000001</v>
      </c>
      <c r="BG13" s="126" t="e">
        <f t="shared" si="3"/>
        <v>#DIV/0!</v>
      </c>
      <c r="BH13" s="111" t="e">
        <f t="shared" si="1"/>
        <v>#DIV/0!</v>
      </c>
      <c r="BI13" s="111" t="e">
        <f t="shared" si="1"/>
        <v>#DIV/0!</v>
      </c>
      <c r="BJ13" s="111" t="e">
        <f t="shared" si="1"/>
        <v>#DIV/0!</v>
      </c>
      <c r="BK13" s="111" t="e">
        <f t="shared" si="1"/>
        <v>#DIV/0!</v>
      </c>
      <c r="BL13" s="111" t="e">
        <f t="shared" si="1"/>
        <v>#DIV/0!</v>
      </c>
      <c r="BM13" s="111" t="e">
        <f t="shared" si="1"/>
        <v>#DIV/0!</v>
      </c>
      <c r="BN13" s="111" t="e">
        <f t="shared" si="1"/>
        <v>#DIV/0!</v>
      </c>
      <c r="BO13" s="111" t="e">
        <f t="shared" si="1"/>
        <v>#DIV/0!</v>
      </c>
      <c r="BP13" s="111" t="e">
        <f t="shared" si="1"/>
        <v>#DIV/0!</v>
      </c>
      <c r="BQ13" s="111" t="e">
        <f t="shared" si="1"/>
        <v>#DIV/0!</v>
      </c>
      <c r="BR13" s="111" t="e">
        <f t="shared" si="1"/>
        <v>#DIV/0!</v>
      </c>
      <c r="BS13" s="111" t="e">
        <f>BB13/SUM(O13:INDEX(O13:Q13,IF($B$3&lt;3,$B$3,3)))</f>
        <v>#DIV/0!</v>
      </c>
      <c r="BT13" s="111" t="e">
        <f>BC13/SUM(R13:INDEX(R13:T13,IF($B$3&lt;7,$B$3-3,3)))</f>
        <v>#DIV/0!</v>
      </c>
      <c r="BU13" s="111" t="e">
        <f t="shared" si="2"/>
        <v>#DIV/0!</v>
      </c>
      <c r="BV13" s="111" t="e">
        <f t="shared" si="2"/>
        <v>#DIV/0!</v>
      </c>
      <c r="BW13" s="111" t="e">
        <f t="shared" si="4"/>
        <v>#DIV/0!</v>
      </c>
    </row>
    <row r="14" spans="1:75" x14ac:dyDescent="0.25">
      <c r="A14" s="20" t="str">
        <f t="shared" si="0"/>
        <v>APE_by_rookie_GENLION:SP 100%</v>
      </c>
      <c r="B14" s="68" t="s">
        <v>63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70"/>
      <c r="AB14" s="22"/>
      <c r="AC14" s="22"/>
      <c r="AD14" s="22"/>
      <c r="AE14" s="22"/>
      <c r="AF14" s="6"/>
      <c r="AG14" s="6"/>
      <c r="AH14" s="6"/>
      <c r="AI14" s="6"/>
      <c r="AJ14" s="6"/>
      <c r="AK14" s="31"/>
      <c r="AL14" s="31"/>
      <c r="AM14" s="31"/>
      <c r="AN14" s="31"/>
      <c r="AO14" s="31"/>
      <c r="AP14" s="69">
        <f>SUM([16]APE!$N34:N$40)</f>
        <v>4861.7790000000005</v>
      </c>
      <c r="AQ14" s="69">
        <f>SUM([16]APE!$N34:O$40)</f>
        <v>4861.7790000000005</v>
      </c>
      <c r="AR14" s="69">
        <f>SUM([18]APE!$N$36:$N$43)</f>
        <v>3315.1</v>
      </c>
      <c r="AS14" s="69">
        <f>SUM([19]APE!$N$36:$N$43)</f>
        <v>744.16</v>
      </c>
      <c r="AT14" s="69">
        <f>SUM([20]APE!$N$36:$N$43)</f>
        <v>2678.91</v>
      </c>
      <c r="AU14" s="69">
        <f>SUM([21]APE!$N$36:$N$43)</f>
        <v>4838.45</v>
      </c>
      <c r="AV14" s="22">
        <f>SUM([22]APE!$N$36:$N$43)</f>
        <v>2121.7335999999996</v>
      </c>
      <c r="BB14" s="116">
        <f>SUM(AP14:INDEX(AP14:AR14,IF($B$3&lt;3,$B$3,3)))</f>
        <v>13038.658000000001</v>
      </c>
      <c r="BC14" s="116">
        <f>SUM(AS14:INDEX(AS14:AU14,IF(AND($B$3&gt;3,$B$3&lt;7),$B$3-3,0)))</f>
        <v>8261.52</v>
      </c>
      <c r="BD14" s="116">
        <f>SUM(AV14:INDEX(AV14:AX14,IF(AND($B$3&gt;6,$B$3&lt;10),$B$3-6,0)))</f>
        <v>2121.7335999999996</v>
      </c>
      <c r="BE14" s="116">
        <f>SUM(AY14:INDEX(AY14:BA14,IF($B$3&gt;9,$B$3-9,0)))</f>
        <v>0</v>
      </c>
      <c r="BF14" s="116">
        <f>SUM($AP14:INDEX(AP14:BA14,$B$3))</f>
        <v>23421.911600000003</v>
      </c>
      <c r="BG14" s="125" t="e">
        <f t="shared" si="3"/>
        <v>#DIV/0!</v>
      </c>
      <c r="BH14" s="111" t="e">
        <f t="shared" si="1"/>
        <v>#DIV/0!</v>
      </c>
      <c r="BI14" s="111" t="e">
        <f t="shared" si="1"/>
        <v>#DIV/0!</v>
      </c>
      <c r="BJ14" s="111" t="e">
        <f t="shared" si="1"/>
        <v>#DIV/0!</v>
      </c>
      <c r="BK14" s="111" t="e">
        <f t="shared" si="1"/>
        <v>#DIV/0!</v>
      </c>
      <c r="BL14" s="111" t="e">
        <f t="shared" si="1"/>
        <v>#DIV/0!</v>
      </c>
      <c r="BM14" s="111" t="e">
        <f t="shared" si="1"/>
        <v>#DIV/0!</v>
      </c>
      <c r="BN14" s="111" t="e">
        <f t="shared" si="1"/>
        <v>#DIV/0!</v>
      </c>
      <c r="BO14" s="111" t="e">
        <f t="shared" si="1"/>
        <v>#DIV/0!</v>
      </c>
      <c r="BP14" s="111" t="e">
        <f t="shared" si="1"/>
        <v>#DIV/0!</v>
      </c>
      <c r="BQ14" s="111" t="e">
        <f t="shared" si="1"/>
        <v>#DIV/0!</v>
      </c>
      <c r="BR14" s="111" t="e">
        <f t="shared" si="1"/>
        <v>#DIV/0!</v>
      </c>
      <c r="BS14" s="111" t="e">
        <f>BB14/SUM(O14:INDEX(O14:Q14,IF($B$3&lt;3,$B$3,3)))</f>
        <v>#DIV/0!</v>
      </c>
      <c r="BT14" s="111" t="e">
        <f>BC14/SUM(R14:INDEX(R14:T14,IF($B$3&lt;7,$B$3-3,3)))</f>
        <v>#DIV/0!</v>
      </c>
      <c r="BU14" s="111" t="e">
        <f t="shared" si="2"/>
        <v>#DIV/0!</v>
      </c>
      <c r="BV14" s="111" t="e">
        <f t="shared" si="2"/>
        <v>#DIV/0!</v>
      </c>
      <c r="BW14" s="111" t="e">
        <f t="shared" si="4"/>
        <v>#DIV/0!</v>
      </c>
    </row>
    <row r="15" spans="1:75" x14ac:dyDescent="0.25">
      <c r="A15" s="20" t="s">
        <v>229</v>
      </c>
      <c r="C15" s="6">
        <f t="shared" ref="C15:AJ15" si="12">C13+C14*0.1</f>
        <v>0</v>
      </c>
      <c r="D15" s="6">
        <f t="shared" si="12"/>
        <v>0</v>
      </c>
      <c r="E15" s="6">
        <f t="shared" si="12"/>
        <v>0</v>
      </c>
      <c r="F15" s="6">
        <f t="shared" si="12"/>
        <v>0</v>
      </c>
      <c r="G15" s="6">
        <f t="shared" si="12"/>
        <v>0</v>
      </c>
      <c r="H15" s="6">
        <f t="shared" si="12"/>
        <v>0</v>
      </c>
      <c r="I15" s="6">
        <f t="shared" si="12"/>
        <v>0</v>
      </c>
      <c r="J15" s="6">
        <f t="shared" si="12"/>
        <v>0</v>
      </c>
      <c r="K15" s="6">
        <f t="shared" si="12"/>
        <v>0</v>
      </c>
      <c r="L15" s="6">
        <f t="shared" si="12"/>
        <v>0</v>
      </c>
      <c r="M15" s="6">
        <f t="shared" si="12"/>
        <v>0</v>
      </c>
      <c r="N15" s="6">
        <f t="shared" si="12"/>
        <v>0</v>
      </c>
      <c r="O15" s="6">
        <f t="shared" si="12"/>
        <v>0</v>
      </c>
      <c r="P15" s="6">
        <f t="shared" si="12"/>
        <v>0</v>
      </c>
      <c r="Q15" s="6">
        <f t="shared" si="12"/>
        <v>0</v>
      </c>
      <c r="R15" s="6">
        <f t="shared" si="12"/>
        <v>0</v>
      </c>
      <c r="S15" s="6">
        <f t="shared" si="12"/>
        <v>0</v>
      </c>
      <c r="T15" s="6">
        <f t="shared" si="12"/>
        <v>0</v>
      </c>
      <c r="U15" s="6">
        <f t="shared" si="12"/>
        <v>0</v>
      </c>
      <c r="V15" s="6">
        <f t="shared" si="12"/>
        <v>0</v>
      </c>
      <c r="W15" s="6">
        <f t="shared" si="12"/>
        <v>0</v>
      </c>
      <c r="X15" s="6">
        <f t="shared" si="12"/>
        <v>0</v>
      </c>
      <c r="Y15" s="6">
        <f t="shared" si="12"/>
        <v>0</v>
      </c>
      <c r="Z15" s="6">
        <f t="shared" si="12"/>
        <v>0</v>
      </c>
      <c r="AA15" s="22">
        <f t="shared" si="12"/>
        <v>0</v>
      </c>
      <c r="AB15" s="22">
        <f t="shared" si="12"/>
        <v>0</v>
      </c>
      <c r="AC15" s="22">
        <f t="shared" si="12"/>
        <v>0</v>
      </c>
      <c r="AD15" s="22">
        <f t="shared" si="12"/>
        <v>0</v>
      </c>
      <c r="AE15" s="22">
        <f t="shared" si="12"/>
        <v>0</v>
      </c>
      <c r="AF15" s="22">
        <f t="shared" si="12"/>
        <v>0</v>
      </c>
      <c r="AG15" s="22">
        <f t="shared" si="12"/>
        <v>0</v>
      </c>
      <c r="AH15" s="22">
        <f t="shared" si="12"/>
        <v>0</v>
      </c>
      <c r="AI15" s="22">
        <f t="shared" si="7"/>
        <v>0</v>
      </c>
      <c r="AJ15" s="22">
        <f t="shared" si="12"/>
        <v>0</v>
      </c>
      <c r="AP15" s="6">
        <f t="shared" ref="AP15:AV15" si="13">AP13+AP14*0.1</f>
        <v>13255.832900000001</v>
      </c>
      <c r="AQ15" s="6">
        <f t="shared" si="13"/>
        <v>21455.887900000012</v>
      </c>
      <c r="AR15" s="6">
        <f t="shared" si="13"/>
        <v>27891.589999999997</v>
      </c>
      <c r="AS15" s="6">
        <f t="shared" si="13"/>
        <v>24537.056</v>
      </c>
      <c r="AT15" s="6">
        <f t="shared" si="13"/>
        <v>31455.851000000002</v>
      </c>
      <c r="AU15" s="6">
        <f t="shared" si="13"/>
        <v>31246.195000000003</v>
      </c>
      <c r="AV15" s="6">
        <f t="shared" si="13"/>
        <v>23436.13336</v>
      </c>
      <c r="BB15" s="117">
        <f t="shared" ref="BB15:BF15" si="14">BB13+BB14*0.1</f>
        <v>62603.310800000007</v>
      </c>
      <c r="BC15" s="117">
        <f t="shared" si="14"/>
        <v>87239.102000000014</v>
      </c>
      <c r="BD15" s="117">
        <f t="shared" si="14"/>
        <v>23436.13336</v>
      </c>
      <c r="BE15" s="117">
        <f t="shared" si="14"/>
        <v>0</v>
      </c>
      <c r="BF15" s="117">
        <f t="shared" si="14"/>
        <v>173278.54616</v>
      </c>
      <c r="BG15" s="125" t="e">
        <f t="shared" si="3"/>
        <v>#DIV/0!</v>
      </c>
      <c r="BH15" s="111" t="e">
        <f t="shared" si="3"/>
        <v>#DIV/0!</v>
      </c>
      <c r="BI15" s="111" t="e">
        <f t="shared" si="1"/>
        <v>#DIV/0!</v>
      </c>
      <c r="BJ15" s="111" t="e">
        <f t="shared" si="1"/>
        <v>#DIV/0!</v>
      </c>
      <c r="BK15" s="111" t="e">
        <f t="shared" si="1"/>
        <v>#DIV/0!</v>
      </c>
      <c r="BL15" s="111" t="e">
        <f t="shared" si="1"/>
        <v>#DIV/0!</v>
      </c>
      <c r="BS15" s="111" t="e">
        <f>BB15/SUM(O15:INDEX(O15:Q15,IF($B$3&lt;3,$B$3,3)))</f>
        <v>#DIV/0!</v>
      </c>
      <c r="BT15" s="111" t="e">
        <f>BC15/SUM(R15:INDEX(R15:T15,IF($B$3&lt;7,$B$3-3,3)))</f>
        <v>#DIV/0!</v>
      </c>
      <c r="BW15" s="111" t="e">
        <f>BF15/AA15</f>
        <v>#DIV/0!</v>
      </c>
    </row>
    <row r="16" spans="1:75" x14ac:dyDescent="0.25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P16" s="6"/>
      <c r="AQ16" s="6"/>
      <c r="AR16" s="6"/>
      <c r="AS16" s="6"/>
      <c r="AT16" s="6"/>
      <c r="AU16" s="6"/>
      <c r="AV16" s="6"/>
      <c r="BB16" s="117"/>
      <c r="BC16" s="117"/>
      <c r="BD16" s="117"/>
      <c r="BE16" s="117"/>
      <c r="BF16" s="117"/>
      <c r="BG16" s="125"/>
      <c r="BH16" s="111"/>
      <c r="BI16" s="111"/>
      <c r="BJ16" s="111"/>
      <c r="BK16" s="111"/>
      <c r="BL16" s="111"/>
      <c r="BS16" s="111"/>
      <c r="BT16" s="111"/>
      <c r="BW16" s="111"/>
    </row>
    <row r="17" spans="1:75" s="17" customFormat="1" x14ac:dyDescent="0.25">
      <c r="B17" s="2" t="s">
        <v>9</v>
      </c>
      <c r="C17" s="3">
        <f t="shared" ref="C17:Z17" si="15">C4</f>
        <v>42005</v>
      </c>
      <c r="D17" s="3">
        <f t="shared" si="15"/>
        <v>42036</v>
      </c>
      <c r="E17" s="3">
        <f t="shared" si="15"/>
        <v>42064</v>
      </c>
      <c r="F17" s="3">
        <f t="shared" si="15"/>
        <v>42095</v>
      </c>
      <c r="G17" s="3">
        <f t="shared" si="15"/>
        <v>42125</v>
      </c>
      <c r="H17" s="3">
        <f t="shared" si="15"/>
        <v>42156</v>
      </c>
      <c r="I17" s="3">
        <f t="shared" si="15"/>
        <v>42186</v>
      </c>
      <c r="J17" s="3">
        <f t="shared" si="15"/>
        <v>42217</v>
      </c>
      <c r="K17" s="3">
        <f t="shared" si="15"/>
        <v>42248</v>
      </c>
      <c r="L17" s="3">
        <f t="shared" si="15"/>
        <v>42278</v>
      </c>
      <c r="M17" s="3">
        <f t="shared" si="15"/>
        <v>42309</v>
      </c>
      <c r="N17" s="3">
        <f t="shared" si="15"/>
        <v>42339</v>
      </c>
      <c r="O17" s="3">
        <f t="shared" si="15"/>
        <v>42370</v>
      </c>
      <c r="P17" s="3">
        <f t="shared" si="15"/>
        <v>42401</v>
      </c>
      <c r="Q17" s="3">
        <f t="shared" si="15"/>
        <v>42430</v>
      </c>
      <c r="R17" s="3">
        <f t="shared" si="15"/>
        <v>42461</v>
      </c>
      <c r="S17" s="3">
        <f t="shared" si="15"/>
        <v>42491</v>
      </c>
      <c r="T17" s="3">
        <f t="shared" si="15"/>
        <v>42522</v>
      </c>
      <c r="U17" s="3">
        <f t="shared" si="15"/>
        <v>42552</v>
      </c>
      <c r="V17" s="3">
        <f t="shared" si="15"/>
        <v>42583</v>
      </c>
      <c r="W17" s="3">
        <f t="shared" si="15"/>
        <v>42614</v>
      </c>
      <c r="X17" s="3">
        <f t="shared" si="15"/>
        <v>42644</v>
      </c>
      <c r="Y17" s="3">
        <f t="shared" si="15"/>
        <v>42675</v>
      </c>
      <c r="Z17" s="3">
        <f t="shared" si="15"/>
        <v>42705</v>
      </c>
      <c r="AA17" s="29" t="str">
        <f>$AA$4</f>
        <v>YTD 7/16</v>
      </c>
      <c r="AB17" s="29" t="s">
        <v>19</v>
      </c>
      <c r="AC17" s="29" t="s">
        <v>20</v>
      </c>
      <c r="AD17" s="29" t="s">
        <v>21</v>
      </c>
      <c r="AE17" s="29" t="s">
        <v>22</v>
      </c>
      <c r="AF17" s="26" t="str">
        <f t="shared" ref="AF17:AJ17" si="16">AF4</f>
        <v>YTD 7/15</v>
      </c>
      <c r="AG17" s="26" t="str">
        <f t="shared" si="16"/>
        <v>Q1 '15</v>
      </c>
      <c r="AH17" s="26" t="str">
        <f t="shared" si="16"/>
        <v>Q2 '15</v>
      </c>
      <c r="AI17" s="26" t="str">
        <f t="shared" si="16"/>
        <v>Q3 '15</v>
      </c>
      <c r="AJ17" s="26" t="str">
        <f t="shared" si="16"/>
        <v>Q4 '15</v>
      </c>
      <c r="AK17" s="30" t="s">
        <v>27</v>
      </c>
      <c r="AL17" s="30" t="s">
        <v>29</v>
      </c>
      <c r="AM17" s="30" t="s">
        <v>30</v>
      </c>
      <c r="AN17" s="30" t="s">
        <v>31</v>
      </c>
      <c r="AO17" s="30" t="s">
        <v>32</v>
      </c>
      <c r="AP17" s="108">
        <v>42736</v>
      </c>
      <c r="AQ17" s="108">
        <v>42767</v>
      </c>
      <c r="AR17" s="108">
        <v>42795</v>
      </c>
      <c r="AS17" s="108">
        <v>42826</v>
      </c>
      <c r="AT17" s="108">
        <v>42856</v>
      </c>
      <c r="AU17" s="108">
        <v>42887</v>
      </c>
      <c r="AV17" s="108">
        <v>42917</v>
      </c>
      <c r="AW17" s="108">
        <v>42948</v>
      </c>
      <c r="AX17" s="108">
        <v>42979</v>
      </c>
      <c r="AY17" s="108">
        <v>43009</v>
      </c>
      <c r="AZ17" s="108">
        <v>43040</v>
      </c>
      <c r="BA17" s="108">
        <v>43070</v>
      </c>
      <c r="BB17" s="29" t="s">
        <v>123</v>
      </c>
      <c r="BC17" s="29" t="s">
        <v>124</v>
      </c>
      <c r="BD17" s="29" t="s">
        <v>125</v>
      </c>
      <c r="BE17" s="29" t="s">
        <v>126</v>
      </c>
      <c r="BF17" s="29" t="str">
        <f>$BF$4</f>
        <v>YTD 7/17</v>
      </c>
      <c r="BG17" s="121">
        <v>42736</v>
      </c>
      <c r="BH17" s="108">
        <v>42767</v>
      </c>
      <c r="BI17" s="108">
        <v>42795</v>
      </c>
      <c r="BJ17" s="108">
        <v>42826</v>
      </c>
      <c r="BK17" s="108">
        <v>42856</v>
      </c>
      <c r="BL17" s="108">
        <v>42887</v>
      </c>
      <c r="BM17" s="108">
        <v>42917</v>
      </c>
      <c r="BN17" s="108">
        <v>42948</v>
      </c>
      <c r="BO17" s="108">
        <v>42979</v>
      </c>
      <c r="BP17" s="108">
        <v>43009</v>
      </c>
      <c r="BQ17" s="108">
        <v>43040</v>
      </c>
      <c r="BR17" s="108">
        <v>43070</v>
      </c>
      <c r="BS17" s="29" t="s">
        <v>127</v>
      </c>
      <c r="BT17" s="29" t="s">
        <v>128</v>
      </c>
      <c r="BU17" s="29" t="s">
        <v>96</v>
      </c>
      <c r="BV17" s="29" t="s">
        <v>129</v>
      </c>
      <c r="BW17" s="112" t="str">
        <f>BW3</f>
        <v>YoY</v>
      </c>
    </row>
    <row r="18" spans="1:75" x14ac:dyDescent="0.25">
      <c r="A18" s="20" t="str">
        <f>$B$17&amp;"_by_rookie_GENLION:"&amp;TRIM(B18)</f>
        <v># Manpower_by_rookie_GENLION:MDRT/ GEN Lion (from Apr '17)</v>
      </c>
      <c r="B18" t="s">
        <v>157</v>
      </c>
      <c r="C18" s="6"/>
      <c r="AA18"/>
      <c r="AB18"/>
      <c r="AC18"/>
      <c r="AD18"/>
      <c r="AE18" s="22"/>
      <c r="AF18" s="22"/>
      <c r="AG18" s="22"/>
      <c r="AH18" s="22"/>
      <c r="AI18" s="22"/>
      <c r="AJ18" s="22"/>
      <c r="AK18" s="31"/>
      <c r="AL18" s="31"/>
      <c r="AM18" s="31"/>
      <c r="AN18" s="31"/>
      <c r="AO18" s="31"/>
      <c r="AP18" s="6">
        <f>[16]MP!K40</f>
        <v>97</v>
      </c>
      <c r="AQ18" s="22">
        <f>[17]MP!K41</f>
        <v>95</v>
      </c>
      <c r="AR18" s="22">
        <f>[18]MP!K41</f>
        <v>95</v>
      </c>
      <c r="AS18" s="22">
        <f>[19]MP!K66</f>
        <v>249</v>
      </c>
      <c r="AT18" s="22">
        <f>[20]MP!K66</f>
        <v>241</v>
      </c>
      <c r="AU18" s="22">
        <f>[21]MP!K66</f>
        <v>234</v>
      </c>
      <c r="AV18" s="22">
        <f>[22]MP!K66</f>
        <v>216</v>
      </c>
      <c r="BB18" s="22">
        <f>INDEX(AP18:AR18,IF($B$3&lt;3,$B$3,3))</f>
        <v>95</v>
      </c>
      <c r="BC18" s="22">
        <f>INDEX(AS18:AU18,IF($B$3&lt;7,$B$3-3,3))</f>
        <v>234</v>
      </c>
      <c r="BD18" s="22">
        <f>INDEX(AT18:AV18,IF($B$3&lt;7,$B$3-3,3))</f>
        <v>216</v>
      </c>
      <c r="BF18" s="22">
        <f>INDEX(AP18:BA18,$B$3)</f>
        <v>216</v>
      </c>
      <c r="BG18" s="122" t="e">
        <f>AP18/O18</f>
        <v>#DIV/0!</v>
      </c>
      <c r="BH18" s="111" t="e">
        <f>AQ18/P18</f>
        <v>#DIV/0!</v>
      </c>
      <c r="BI18" s="111" t="e">
        <f t="shared" ref="BI18:BL24" si="17">AR18/Q18</f>
        <v>#DIV/0!</v>
      </c>
      <c r="BJ18" s="111" t="e">
        <f t="shared" si="17"/>
        <v>#DIV/0!</v>
      </c>
      <c r="BK18" s="111" t="e">
        <f t="shared" si="17"/>
        <v>#DIV/0!</v>
      </c>
      <c r="BL18" s="111" t="e">
        <f t="shared" si="17"/>
        <v>#DIV/0!</v>
      </c>
      <c r="BS18" s="111" t="e">
        <f>BB18/INDEX(O18:Q18,IF($B$3&lt;3,$B$3,3))</f>
        <v>#DIV/0!</v>
      </c>
      <c r="BT18" s="111" t="e">
        <f>BC18/INDEX(R18:T18,IF($B$3&lt;7,$B$3-3,3))</f>
        <v>#DIV/0!</v>
      </c>
      <c r="BW18" s="111" t="e">
        <f t="shared" ref="BW18:BW26" si="18">BF18/AA18</f>
        <v>#DIV/0!</v>
      </c>
    </row>
    <row r="19" spans="1:75" x14ac:dyDescent="0.25">
      <c r="A19" s="20" t="str">
        <f t="shared" ref="A19:A26" si="19">$B$17&amp;"_by_rookie_GENLION:"&amp;TRIM(B19)</f>
        <v># Manpower_by_rookie_GENLION:Rookie in month</v>
      </c>
      <c r="B19" t="s">
        <v>5</v>
      </c>
      <c r="C19" s="6"/>
      <c r="AA19"/>
      <c r="AB19"/>
      <c r="AC19"/>
      <c r="AD19"/>
      <c r="AE19" s="22"/>
      <c r="AF19" s="22"/>
      <c r="AG19" s="22"/>
      <c r="AH19" s="22"/>
      <c r="AI19" s="22"/>
      <c r="AJ19" s="22"/>
      <c r="AK19" s="31"/>
      <c r="AL19" s="31"/>
      <c r="AM19" s="31"/>
      <c r="AN19" s="31"/>
      <c r="AO19" s="31"/>
      <c r="AP19" s="6">
        <f>[16]MP!K41</f>
        <v>189</v>
      </c>
      <c r="AQ19" s="22">
        <f>[17]MP!K42</f>
        <v>379</v>
      </c>
      <c r="AR19" s="22">
        <f>[18]MP!K42</f>
        <v>346</v>
      </c>
      <c r="AS19" s="22">
        <f>[19]MP!K67</f>
        <v>289</v>
      </c>
      <c r="AT19" s="22">
        <f>[20]MP!K67</f>
        <v>347</v>
      </c>
      <c r="AU19" s="22">
        <f>[21]MP!K67</f>
        <v>405</v>
      </c>
      <c r="AV19" s="22">
        <f>[22]MP!K67</f>
        <v>338</v>
      </c>
      <c r="BB19" s="22">
        <f t="shared" ref="BB19:BB25" si="20">INDEX(AP19:AR19,IF($B$3&lt;3,$B$3,3))</f>
        <v>346</v>
      </c>
      <c r="BC19" s="22">
        <f t="shared" ref="BC19:BC25" si="21">INDEX(AS19:AU19,IF($B$3&lt;7,$B$3-3,3))</f>
        <v>405</v>
      </c>
      <c r="BD19" s="22">
        <f t="shared" ref="BD19:BD25" si="22">INDEX(AT19:AV19,IF($B$3&lt;7,$B$3-3,3))</f>
        <v>338</v>
      </c>
      <c r="BF19" s="22">
        <f t="shared" ref="BF19:BF26" si="23">INDEX(AP19:BA19,$B$3)</f>
        <v>338</v>
      </c>
      <c r="BG19" s="122" t="e">
        <f t="shared" ref="BG19:BL26" si="24">AP19/O19</f>
        <v>#DIV/0!</v>
      </c>
      <c r="BH19" s="111" t="e">
        <f t="shared" si="24"/>
        <v>#DIV/0!</v>
      </c>
      <c r="BI19" s="111" t="e">
        <f t="shared" si="17"/>
        <v>#DIV/0!</v>
      </c>
      <c r="BJ19" s="111" t="e">
        <f t="shared" si="17"/>
        <v>#DIV/0!</v>
      </c>
      <c r="BK19" s="111" t="e">
        <f t="shared" si="17"/>
        <v>#DIV/0!</v>
      </c>
      <c r="BL19" s="111" t="e">
        <f t="shared" si="17"/>
        <v>#DIV/0!</v>
      </c>
      <c r="BS19" s="111" t="e">
        <f t="shared" ref="BS19:BS26" si="25">BB19/INDEX(O19:Q19,IF($B$3&lt;3,$B$3,3))</f>
        <v>#DIV/0!</v>
      </c>
      <c r="BT19" s="111" t="e">
        <f t="shared" ref="BT19:BT26" si="26">BC19/INDEX(R19:T19,IF($B$3&lt;7,$B$3-3,3))</f>
        <v>#DIV/0!</v>
      </c>
      <c r="BW19" s="111" t="e">
        <f t="shared" si="18"/>
        <v>#DIV/0!</v>
      </c>
    </row>
    <row r="20" spans="1:75" x14ac:dyDescent="0.25">
      <c r="A20" s="20" t="str">
        <f t="shared" si="19"/>
        <v># Manpower_by_rookie_GENLION:Rookie last month</v>
      </c>
      <c r="B20" t="s">
        <v>6</v>
      </c>
      <c r="C20" s="6"/>
      <c r="AA20"/>
      <c r="AB20"/>
      <c r="AC20"/>
      <c r="AD20"/>
      <c r="AE20" s="22"/>
      <c r="AF20" s="22"/>
      <c r="AG20" s="22"/>
      <c r="AH20" s="22"/>
      <c r="AI20" s="22"/>
      <c r="AJ20" s="22"/>
      <c r="AK20" s="31"/>
      <c r="AL20" s="31"/>
      <c r="AM20" s="31"/>
      <c r="AN20" s="31"/>
      <c r="AO20" s="31"/>
      <c r="AP20" s="6">
        <f>[16]MP!K42</f>
        <v>379</v>
      </c>
      <c r="AQ20" s="22">
        <f>[17]MP!K43</f>
        <v>189</v>
      </c>
      <c r="AR20" s="22">
        <f>[18]MP!K43</f>
        <v>379</v>
      </c>
      <c r="AS20" s="22">
        <f>[19]MP!K68</f>
        <v>321</v>
      </c>
      <c r="AT20" s="22">
        <f>[20]MP!K68</f>
        <v>286</v>
      </c>
      <c r="AU20" s="22">
        <f>[21]MP!K68</f>
        <v>324</v>
      </c>
      <c r="AV20" s="22">
        <f>[22]MP!K68</f>
        <v>399</v>
      </c>
      <c r="BB20" s="22">
        <f t="shared" si="20"/>
        <v>379</v>
      </c>
      <c r="BC20" s="22">
        <f t="shared" si="21"/>
        <v>324</v>
      </c>
      <c r="BD20" s="22">
        <f t="shared" si="22"/>
        <v>399</v>
      </c>
      <c r="BF20" s="22">
        <f t="shared" si="23"/>
        <v>399</v>
      </c>
      <c r="BG20" s="122" t="e">
        <f t="shared" si="24"/>
        <v>#DIV/0!</v>
      </c>
      <c r="BH20" s="111" t="e">
        <f t="shared" si="24"/>
        <v>#DIV/0!</v>
      </c>
      <c r="BI20" s="111" t="e">
        <f t="shared" si="17"/>
        <v>#DIV/0!</v>
      </c>
      <c r="BJ20" s="111" t="e">
        <f t="shared" si="17"/>
        <v>#DIV/0!</v>
      </c>
      <c r="BK20" s="111" t="e">
        <f t="shared" si="17"/>
        <v>#DIV/0!</v>
      </c>
      <c r="BL20" s="111" t="e">
        <f t="shared" si="17"/>
        <v>#DIV/0!</v>
      </c>
      <c r="BS20" s="111" t="e">
        <f t="shared" si="25"/>
        <v>#DIV/0!</v>
      </c>
      <c r="BT20" s="111" t="e">
        <f t="shared" si="26"/>
        <v>#DIV/0!</v>
      </c>
      <c r="BW20" s="111" t="e">
        <f t="shared" si="18"/>
        <v>#DIV/0!</v>
      </c>
    </row>
    <row r="21" spans="1:75" x14ac:dyDescent="0.25">
      <c r="A21" s="20" t="str">
        <f t="shared" si="19"/>
        <v># Manpower_by_rookie_GENLION:2-3 months</v>
      </c>
      <c r="B21" t="s">
        <v>7</v>
      </c>
      <c r="C21" s="6"/>
      <c r="AA21"/>
      <c r="AB21"/>
      <c r="AC21"/>
      <c r="AD21"/>
      <c r="AE21" s="22"/>
      <c r="AF21" s="22"/>
      <c r="AG21" s="22"/>
      <c r="AH21" s="22"/>
      <c r="AI21" s="22"/>
      <c r="AJ21" s="22"/>
      <c r="AK21" s="31"/>
      <c r="AL21" s="31"/>
      <c r="AM21" s="31"/>
      <c r="AN21" s="31"/>
      <c r="AO21" s="31"/>
      <c r="AP21" s="6">
        <f>[16]MP!K43</f>
        <v>658</v>
      </c>
      <c r="AQ21" s="22">
        <f>[17]MP!K44</f>
        <v>750</v>
      </c>
      <c r="AR21" s="22">
        <f>[18]MP!K44</f>
        <v>561</v>
      </c>
      <c r="AS21" s="22">
        <f>[19]MP!K69</f>
        <v>516</v>
      </c>
      <c r="AT21" s="22">
        <f>[20]MP!K69</f>
        <v>670</v>
      </c>
      <c r="AU21" s="22">
        <f>[21]MP!K69</f>
        <v>579</v>
      </c>
      <c r="AV21" s="22">
        <f>[22]MP!K69</f>
        <v>565</v>
      </c>
      <c r="BB21" s="22">
        <f t="shared" si="20"/>
        <v>561</v>
      </c>
      <c r="BC21" s="22">
        <f t="shared" si="21"/>
        <v>579</v>
      </c>
      <c r="BD21" s="22">
        <f t="shared" si="22"/>
        <v>565</v>
      </c>
      <c r="BF21" s="22">
        <f t="shared" si="23"/>
        <v>565</v>
      </c>
      <c r="BG21" s="122" t="e">
        <f t="shared" si="24"/>
        <v>#DIV/0!</v>
      </c>
      <c r="BH21" s="111" t="e">
        <f t="shared" si="24"/>
        <v>#DIV/0!</v>
      </c>
      <c r="BI21" s="111" t="e">
        <f t="shared" si="17"/>
        <v>#DIV/0!</v>
      </c>
      <c r="BJ21" s="111" t="e">
        <f t="shared" si="17"/>
        <v>#DIV/0!</v>
      </c>
      <c r="BK21" s="111" t="e">
        <f t="shared" si="17"/>
        <v>#DIV/0!</v>
      </c>
      <c r="BL21" s="111" t="e">
        <f t="shared" si="17"/>
        <v>#DIV/0!</v>
      </c>
      <c r="BS21" s="111" t="e">
        <f t="shared" si="25"/>
        <v>#DIV/0!</v>
      </c>
      <c r="BT21" s="111" t="e">
        <f t="shared" si="26"/>
        <v>#DIV/0!</v>
      </c>
      <c r="BW21" s="111" t="e">
        <f t="shared" si="18"/>
        <v>#DIV/0!</v>
      </c>
    </row>
    <row r="22" spans="1:75" x14ac:dyDescent="0.25">
      <c r="A22" s="20" t="str">
        <f t="shared" si="19"/>
        <v># Manpower_by_rookie_GENLION:4 - 6 mths</v>
      </c>
      <c r="B22" t="s">
        <v>8</v>
      </c>
      <c r="C22" s="6"/>
      <c r="AA22"/>
      <c r="AB22"/>
      <c r="AC22"/>
      <c r="AD22"/>
      <c r="AE22" s="22"/>
      <c r="AF22" s="22"/>
      <c r="AG22" s="22"/>
      <c r="AH22" s="22"/>
      <c r="AI22" s="22"/>
      <c r="AJ22" s="22"/>
      <c r="AK22" s="31"/>
      <c r="AL22" s="31"/>
      <c r="AM22" s="31"/>
      <c r="AN22" s="31"/>
      <c r="AO22" s="31"/>
      <c r="AP22" s="6">
        <f>[16]MP!K44</f>
        <v>563</v>
      </c>
      <c r="AQ22" s="22">
        <f>[17]MP!K45</f>
        <v>444</v>
      </c>
      <c r="AR22" s="22">
        <f>[18]MP!K45</f>
        <v>481</v>
      </c>
      <c r="AS22" s="22">
        <f>[19]MP!K70</f>
        <v>387</v>
      </c>
      <c r="AT22" s="22">
        <f>[20]MP!K70</f>
        <v>293</v>
      </c>
      <c r="AU22" s="22">
        <f>[21]MP!K70</f>
        <v>291</v>
      </c>
      <c r="AV22" s="22">
        <f>[22]MP!K70</f>
        <v>261</v>
      </c>
      <c r="BB22" s="22">
        <f t="shared" si="20"/>
        <v>481</v>
      </c>
      <c r="BC22" s="22">
        <f t="shared" si="21"/>
        <v>291</v>
      </c>
      <c r="BD22" s="22">
        <f t="shared" si="22"/>
        <v>261</v>
      </c>
      <c r="BF22" s="22">
        <f t="shared" si="23"/>
        <v>261</v>
      </c>
      <c r="BG22" s="122" t="e">
        <f t="shared" si="24"/>
        <v>#DIV/0!</v>
      </c>
      <c r="BH22" s="111" t="e">
        <f t="shared" si="24"/>
        <v>#DIV/0!</v>
      </c>
      <c r="BI22" s="111" t="e">
        <f t="shared" si="17"/>
        <v>#DIV/0!</v>
      </c>
      <c r="BJ22" s="111" t="e">
        <f t="shared" si="17"/>
        <v>#DIV/0!</v>
      </c>
      <c r="BK22" s="111" t="e">
        <f t="shared" si="17"/>
        <v>#DIV/0!</v>
      </c>
      <c r="BL22" s="111" t="e">
        <f t="shared" si="17"/>
        <v>#DIV/0!</v>
      </c>
      <c r="BS22" s="111" t="e">
        <f t="shared" si="25"/>
        <v>#DIV/0!</v>
      </c>
      <c r="BT22" s="111" t="e">
        <f t="shared" si="26"/>
        <v>#DIV/0!</v>
      </c>
      <c r="BW22" s="111" t="e">
        <f t="shared" si="18"/>
        <v>#DIV/0!</v>
      </c>
    </row>
    <row r="23" spans="1:75" x14ac:dyDescent="0.25">
      <c r="A23" s="20" t="str">
        <f t="shared" si="19"/>
        <v># Manpower_by_rookie_GENLION:7-12mth</v>
      </c>
      <c r="B23" t="s">
        <v>1</v>
      </c>
      <c r="C23" s="6"/>
      <c r="AA23"/>
      <c r="AB23"/>
      <c r="AC23"/>
      <c r="AD23"/>
      <c r="AE23" s="22"/>
      <c r="AF23" s="22"/>
      <c r="AG23" s="22"/>
      <c r="AH23" s="22"/>
      <c r="AI23" s="22"/>
      <c r="AJ23" s="22"/>
      <c r="AK23" s="31"/>
      <c r="AL23" s="31"/>
      <c r="AM23" s="31"/>
      <c r="AN23" s="31"/>
      <c r="AO23" s="31"/>
      <c r="AP23" s="6">
        <f>[16]MP!K45</f>
        <v>609</v>
      </c>
      <c r="AQ23" s="22">
        <f>[17]MP!K46</f>
        <v>327</v>
      </c>
      <c r="AR23" s="22">
        <f>[18]MP!K46</f>
        <v>310</v>
      </c>
      <c r="AS23" s="22">
        <f>[19]MP!K71</f>
        <v>243</v>
      </c>
      <c r="AT23" s="22">
        <f>[20]MP!K71</f>
        <v>281</v>
      </c>
      <c r="AU23" s="22">
        <f>[21]MP!K71</f>
        <v>339</v>
      </c>
      <c r="AV23" s="22">
        <f>[22]MP!K71</f>
        <v>308</v>
      </c>
      <c r="BB23" s="22">
        <f t="shared" si="20"/>
        <v>310</v>
      </c>
      <c r="BC23" s="22">
        <f t="shared" si="21"/>
        <v>339</v>
      </c>
      <c r="BD23" s="22">
        <f t="shared" si="22"/>
        <v>308</v>
      </c>
      <c r="BF23" s="22">
        <f t="shared" si="23"/>
        <v>308</v>
      </c>
      <c r="BG23" s="122" t="e">
        <f t="shared" si="24"/>
        <v>#DIV/0!</v>
      </c>
      <c r="BH23" s="111" t="e">
        <f t="shared" si="24"/>
        <v>#DIV/0!</v>
      </c>
      <c r="BI23" s="111" t="e">
        <f t="shared" si="17"/>
        <v>#DIV/0!</v>
      </c>
      <c r="BJ23" s="111" t="e">
        <f t="shared" si="17"/>
        <v>#DIV/0!</v>
      </c>
      <c r="BK23" s="111" t="e">
        <f t="shared" si="17"/>
        <v>#DIV/0!</v>
      </c>
      <c r="BL23" s="111" t="e">
        <f t="shared" si="17"/>
        <v>#DIV/0!</v>
      </c>
      <c r="BS23" s="111" t="e">
        <f t="shared" si="25"/>
        <v>#DIV/0!</v>
      </c>
      <c r="BT23" s="111" t="e">
        <f t="shared" si="26"/>
        <v>#DIV/0!</v>
      </c>
      <c r="BW23" s="111" t="e">
        <f t="shared" si="18"/>
        <v>#DIV/0!</v>
      </c>
    </row>
    <row r="24" spans="1:75" x14ac:dyDescent="0.25">
      <c r="A24" s="20" t="str">
        <f t="shared" si="19"/>
        <v># Manpower_by_rookie_GENLION:13+mth</v>
      </c>
      <c r="B24" t="s">
        <v>2</v>
      </c>
      <c r="C24" s="6"/>
      <c r="AA24"/>
      <c r="AB24"/>
      <c r="AC24"/>
      <c r="AD24"/>
      <c r="AE24" s="22"/>
      <c r="AF24" s="22"/>
      <c r="AG24" s="22"/>
      <c r="AH24" s="22"/>
      <c r="AI24" s="22"/>
      <c r="AJ24" s="22"/>
      <c r="AK24" s="31"/>
      <c r="AL24" s="31"/>
      <c r="AM24" s="31"/>
      <c r="AN24" s="31"/>
      <c r="AO24" s="31"/>
      <c r="AP24" s="6">
        <f>[16]MP!K46</f>
        <v>725</v>
      </c>
      <c r="AQ24" s="22">
        <f>[17]MP!K47</f>
        <v>380</v>
      </c>
      <c r="AR24" s="22">
        <f>[18]MP!K47</f>
        <v>362</v>
      </c>
      <c r="AS24" s="22">
        <f>[19]MP!K72</f>
        <v>322</v>
      </c>
      <c r="AT24" s="22">
        <f>[20]MP!K72</f>
        <v>318</v>
      </c>
      <c r="AU24" s="22">
        <f>[21]MP!K72</f>
        <v>319</v>
      </c>
      <c r="AV24" s="22">
        <f>[22]MP!K72</f>
        <v>323</v>
      </c>
      <c r="BB24" s="22">
        <f t="shared" si="20"/>
        <v>362</v>
      </c>
      <c r="BC24" s="22">
        <f t="shared" si="21"/>
        <v>319</v>
      </c>
      <c r="BD24" s="22">
        <f t="shared" si="22"/>
        <v>323</v>
      </c>
      <c r="BF24" s="22">
        <f t="shared" si="23"/>
        <v>323</v>
      </c>
      <c r="BG24" s="122" t="e">
        <f t="shared" si="24"/>
        <v>#DIV/0!</v>
      </c>
      <c r="BH24" s="111" t="e">
        <f t="shared" si="24"/>
        <v>#DIV/0!</v>
      </c>
      <c r="BI24" s="111" t="e">
        <f t="shared" si="17"/>
        <v>#DIV/0!</v>
      </c>
      <c r="BJ24" s="111" t="e">
        <f t="shared" si="17"/>
        <v>#DIV/0!</v>
      </c>
      <c r="BK24" s="111" t="e">
        <f t="shared" si="17"/>
        <v>#DIV/0!</v>
      </c>
      <c r="BL24" s="111" t="e">
        <f t="shared" si="17"/>
        <v>#DIV/0!</v>
      </c>
      <c r="BS24" s="111" t="e">
        <f t="shared" si="25"/>
        <v>#DIV/0!</v>
      </c>
      <c r="BT24" s="111" t="e">
        <f t="shared" si="26"/>
        <v>#DIV/0!</v>
      </c>
      <c r="BW24" s="111" t="e">
        <f t="shared" si="18"/>
        <v>#DIV/0!</v>
      </c>
    </row>
    <row r="25" spans="1:75" x14ac:dyDescent="0.25">
      <c r="A25" s="20" t="str">
        <f t="shared" si="19"/>
        <v># Manpower_by_rookie_GENLION:SA</v>
      </c>
      <c r="B25" s="135" t="s">
        <v>136</v>
      </c>
      <c r="C25" s="6"/>
      <c r="AA25"/>
      <c r="AB25"/>
      <c r="AC25"/>
      <c r="AD25"/>
      <c r="AE25" s="22"/>
      <c r="AF25" s="22"/>
      <c r="AG25" s="22"/>
      <c r="AH25" s="22"/>
      <c r="AI25" s="22"/>
      <c r="AJ25" s="22"/>
      <c r="AK25" s="31"/>
      <c r="AL25" s="31"/>
      <c r="AM25" s="31"/>
      <c r="AN25" s="31"/>
      <c r="AO25" s="31"/>
      <c r="AP25" s="6"/>
      <c r="AQ25" s="22">
        <f>[17]MP!K48</f>
        <v>799</v>
      </c>
      <c r="AR25" s="22">
        <f>[18]MP!K48</f>
        <v>902</v>
      </c>
      <c r="AS25" s="22">
        <f>[19]MP!K73</f>
        <v>1130</v>
      </c>
      <c r="AT25" s="22">
        <f>[20]MP!K73</f>
        <v>1301</v>
      </c>
      <c r="AU25" s="22">
        <f>[21]MP!K73</f>
        <v>1550</v>
      </c>
      <c r="AV25" s="22">
        <f>[22]MP!K73</f>
        <v>1761</v>
      </c>
      <c r="BB25" s="22">
        <f t="shared" si="20"/>
        <v>902</v>
      </c>
      <c r="BC25" s="22">
        <f t="shared" si="21"/>
        <v>1550</v>
      </c>
      <c r="BD25" s="22">
        <f t="shared" si="22"/>
        <v>1761</v>
      </c>
      <c r="BF25" s="22">
        <f t="shared" si="23"/>
        <v>1761</v>
      </c>
      <c r="BG25" s="122"/>
      <c r="BH25" s="111"/>
      <c r="BI25" s="111"/>
      <c r="BJ25" s="111"/>
      <c r="BK25" s="111"/>
      <c r="BL25" s="111"/>
      <c r="BS25" s="111"/>
      <c r="BT25" s="111"/>
      <c r="BW25" s="111"/>
    </row>
    <row r="26" spans="1:75" s="17" customFormat="1" x14ac:dyDescent="0.25">
      <c r="A26" s="20" t="str">
        <f t="shared" si="19"/>
        <v># Manpower_by_rookie_GENLION:Total (excl. SA)</v>
      </c>
      <c r="B26" s="1" t="s">
        <v>137</v>
      </c>
      <c r="C26" s="7">
        <f>SUM(C18:C24)</f>
        <v>0</v>
      </c>
      <c r="D26" s="7">
        <f t="shared" ref="D26:Z26" si="27">SUM(D18:D24)</f>
        <v>0</v>
      </c>
      <c r="E26" s="7">
        <f t="shared" si="27"/>
        <v>0</v>
      </c>
      <c r="F26" s="7">
        <f t="shared" si="27"/>
        <v>0</v>
      </c>
      <c r="G26" s="7">
        <f t="shared" si="27"/>
        <v>0</v>
      </c>
      <c r="H26" s="7">
        <f t="shared" si="27"/>
        <v>0</v>
      </c>
      <c r="I26" s="7">
        <f t="shared" si="27"/>
        <v>0</v>
      </c>
      <c r="J26" s="7">
        <f t="shared" si="27"/>
        <v>0</v>
      </c>
      <c r="K26" s="7">
        <f t="shared" si="27"/>
        <v>0</v>
      </c>
      <c r="L26" s="7">
        <f t="shared" si="27"/>
        <v>0</v>
      </c>
      <c r="M26" s="7">
        <f t="shared" si="27"/>
        <v>0</v>
      </c>
      <c r="N26" s="7">
        <f t="shared" si="27"/>
        <v>0</v>
      </c>
      <c r="O26" s="7">
        <f t="shared" si="27"/>
        <v>0</v>
      </c>
      <c r="P26" s="7">
        <f t="shared" si="27"/>
        <v>0</v>
      </c>
      <c r="Q26" s="7">
        <f t="shared" si="27"/>
        <v>0</v>
      </c>
      <c r="R26" s="7">
        <f t="shared" si="27"/>
        <v>0</v>
      </c>
      <c r="S26" s="7">
        <f t="shared" si="27"/>
        <v>0</v>
      </c>
      <c r="T26" s="7">
        <f t="shared" si="27"/>
        <v>0</v>
      </c>
      <c r="U26" s="7">
        <f t="shared" si="27"/>
        <v>0</v>
      </c>
      <c r="V26" s="7">
        <f t="shared" si="27"/>
        <v>0</v>
      </c>
      <c r="W26" s="7">
        <f t="shared" si="27"/>
        <v>0</v>
      </c>
      <c r="X26" s="7">
        <f t="shared" si="27"/>
        <v>0</v>
      </c>
      <c r="Y26" s="7">
        <f t="shared" si="27"/>
        <v>0</v>
      </c>
      <c r="Z26" s="7">
        <f t="shared" si="27"/>
        <v>0</v>
      </c>
      <c r="AA26" s="7">
        <f>INDEX($O26:$Z26,'Full Agency'!$A$2)</f>
        <v>0</v>
      </c>
      <c r="AB26" s="7">
        <f t="shared" ref="AB26" si="28">Q26</f>
        <v>0</v>
      </c>
      <c r="AC26" s="7">
        <f t="shared" ref="AC26" si="29">T26</f>
        <v>0</v>
      </c>
      <c r="AD26" s="7">
        <f t="shared" ref="AD26" si="30">W26</f>
        <v>0</v>
      </c>
      <c r="AE26" s="22">
        <f t="shared" ref="AE26" si="31">Y26</f>
        <v>0</v>
      </c>
      <c r="AF26" s="27">
        <f t="shared" ref="AF26" si="32">INDEX($C26:$N26,$B$3)</f>
        <v>0</v>
      </c>
      <c r="AG26" s="27">
        <f t="shared" ref="AG26" si="33">E26</f>
        <v>0</v>
      </c>
      <c r="AH26" s="27">
        <f t="shared" ref="AH26" si="34">H26</f>
        <v>0</v>
      </c>
      <c r="AI26" s="27">
        <f t="shared" ref="AI26" si="35">K26</f>
        <v>0</v>
      </c>
      <c r="AJ26" s="27">
        <f t="shared" ref="AJ26" si="36">N26</f>
        <v>0</v>
      </c>
      <c r="AK26" s="32" t="e">
        <f t="shared" ref="AK26" si="37">AA26/AF26-1</f>
        <v>#DIV/0!</v>
      </c>
      <c r="AL26" s="32" t="e">
        <f t="shared" ref="AL26:AO26" si="38">AB26/AG26-1</f>
        <v>#DIV/0!</v>
      </c>
      <c r="AM26" s="32" t="e">
        <f t="shared" si="38"/>
        <v>#DIV/0!</v>
      </c>
      <c r="AN26" s="31" t="e">
        <f t="shared" si="38"/>
        <v>#DIV/0!</v>
      </c>
      <c r="AO26" s="31" t="e">
        <f t="shared" si="38"/>
        <v>#DIV/0!</v>
      </c>
      <c r="AP26" s="7">
        <f t="shared" ref="AP26:AV26" si="39">SUM(AP18:AP24)</f>
        <v>3220</v>
      </c>
      <c r="AQ26" s="7">
        <f t="shared" si="39"/>
        <v>2564</v>
      </c>
      <c r="AR26" s="7">
        <f t="shared" si="39"/>
        <v>2534</v>
      </c>
      <c r="AS26" s="7">
        <f t="shared" si="39"/>
        <v>2327</v>
      </c>
      <c r="AT26" s="7">
        <f t="shared" si="39"/>
        <v>2436</v>
      </c>
      <c r="AU26" s="7">
        <f t="shared" si="39"/>
        <v>2491</v>
      </c>
      <c r="AV26" s="7">
        <f t="shared" si="39"/>
        <v>2410</v>
      </c>
      <c r="BB26" s="115">
        <f>INDEX(AP26:AR26,IF($B$3&lt;3,$B$3,3))</f>
        <v>2534</v>
      </c>
      <c r="BC26" s="115">
        <f>INDEX(AS26:AU26,IF($B$3&lt;7,$B$3-3,3))</f>
        <v>2491</v>
      </c>
      <c r="BD26" s="115">
        <f>INDEX(AT26:AV26,IF($B$3&lt;7,$B$3-3,3))</f>
        <v>2410</v>
      </c>
      <c r="BE26" s="37"/>
      <c r="BF26" s="115">
        <f t="shared" si="23"/>
        <v>2410</v>
      </c>
      <c r="BG26" s="123" t="e">
        <f t="shared" si="24"/>
        <v>#DIV/0!</v>
      </c>
      <c r="BH26" s="118" t="e">
        <f t="shared" si="24"/>
        <v>#DIV/0!</v>
      </c>
      <c r="BI26" s="118" t="e">
        <f t="shared" si="24"/>
        <v>#DIV/0!</v>
      </c>
      <c r="BJ26" s="118" t="e">
        <f t="shared" si="24"/>
        <v>#DIV/0!</v>
      </c>
      <c r="BK26" s="118" t="e">
        <f t="shared" si="24"/>
        <v>#DIV/0!</v>
      </c>
      <c r="BL26" s="118" t="e">
        <f t="shared" si="24"/>
        <v>#DIV/0!</v>
      </c>
      <c r="BM26" s="37"/>
      <c r="BN26" s="37"/>
      <c r="BO26" s="37"/>
      <c r="BP26" s="37"/>
      <c r="BQ26" s="37"/>
      <c r="BR26" s="37"/>
      <c r="BS26" s="118" t="e">
        <f t="shared" si="25"/>
        <v>#DIV/0!</v>
      </c>
      <c r="BT26" s="111" t="e">
        <f t="shared" si="26"/>
        <v>#DIV/0!</v>
      </c>
      <c r="BU26" s="37"/>
      <c r="BV26" s="37"/>
      <c r="BW26" s="118" t="e">
        <f t="shared" si="18"/>
        <v>#DIV/0!</v>
      </c>
    </row>
    <row r="27" spans="1:75" x14ac:dyDescent="0.25">
      <c r="C27" s="1"/>
      <c r="BG27" s="124"/>
    </row>
    <row r="28" spans="1:75" x14ac:dyDescent="0.25">
      <c r="BG28" s="124"/>
    </row>
    <row r="29" spans="1:75" s="17" customFormat="1" x14ac:dyDescent="0.25">
      <c r="B29" s="2" t="s">
        <v>10</v>
      </c>
      <c r="C29" s="3">
        <f t="shared" ref="C29:Z29" si="40">C4</f>
        <v>42005</v>
      </c>
      <c r="D29" s="3">
        <f t="shared" si="40"/>
        <v>42036</v>
      </c>
      <c r="E29" s="3">
        <f t="shared" si="40"/>
        <v>42064</v>
      </c>
      <c r="F29" s="3">
        <f t="shared" si="40"/>
        <v>42095</v>
      </c>
      <c r="G29" s="3">
        <f t="shared" si="40"/>
        <v>42125</v>
      </c>
      <c r="H29" s="3">
        <f t="shared" si="40"/>
        <v>42156</v>
      </c>
      <c r="I29" s="3">
        <f t="shared" si="40"/>
        <v>42186</v>
      </c>
      <c r="J29" s="3">
        <f t="shared" si="40"/>
        <v>42217</v>
      </c>
      <c r="K29" s="3">
        <f t="shared" si="40"/>
        <v>42248</v>
      </c>
      <c r="L29" s="3">
        <f t="shared" si="40"/>
        <v>42278</v>
      </c>
      <c r="M29" s="3">
        <f t="shared" si="40"/>
        <v>42309</v>
      </c>
      <c r="N29" s="3">
        <f t="shared" si="40"/>
        <v>42339</v>
      </c>
      <c r="O29" s="3">
        <f t="shared" si="40"/>
        <v>42370</v>
      </c>
      <c r="P29" s="3">
        <f t="shared" si="40"/>
        <v>42401</v>
      </c>
      <c r="Q29" s="3">
        <f t="shared" si="40"/>
        <v>42430</v>
      </c>
      <c r="R29" s="3">
        <f t="shared" si="40"/>
        <v>42461</v>
      </c>
      <c r="S29" s="3">
        <f t="shared" si="40"/>
        <v>42491</v>
      </c>
      <c r="T29" s="3">
        <f t="shared" si="40"/>
        <v>42522</v>
      </c>
      <c r="U29" s="3">
        <f t="shared" si="40"/>
        <v>42552</v>
      </c>
      <c r="V29" s="3">
        <f t="shared" si="40"/>
        <v>42583</v>
      </c>
      <c r="W29" s="3">
        <f t="shared" si="40"/>
        <v>42614</v>
      </c>
      <c r="X29" s="3">
        <f t="shared" si="40"/>
        <v>42644</v>
      </c>
      <c r="Y29" s="3">
        <f t="shared" si="40"/>
        <v>42675</v>
      </c>
      <c r="Z29" s="3">
        <f t="shared" si="40"/>
        <v>42705</v>
      </c>
      <c r="AA29" s="29" t="str">
        <f>$AA$4</f>
        <v>YTD 7/16</v>
      </c>
      <c r="AB29" s="29" t="s">
        <v>19</v>
      </c>
      <c r="AC29" s="29" t="s">
        <v>20</v>
      </c>
      <c r="AD29" s="29" t="s">
        <v>21</v>
      </c>
      <c r="AE29" s="29" t="s">
        <v>22</v>
      </c>
      <c r="AF29" s="26" t="str">
        <f t="shared" ref="AF29:AJ29" si="41">AF17</f>
        <v>YTD 7/15</v>
      </c>
      <c r="AG29" s="26" t="str">
        <f t="shared" si="41"/>
        <v>Q1 '15</v>
      </c>
      <c r="AH29" s="26" t="str">
        <f t="shared" si="41"/>
        <v>Q2 '15</v>
      </c>
      <c r="AI29" s="26" t="str">
        <f t="shared" si="41"/>
        <v>Q3 '15</v>
      </c>
      <c r="AJ29" s="26" t="str">
        <f t="shared" si="41"/>
        <v>Q4 '15</v>
      </c>
      <c r="AK29" s="30" t="s">
        <v>27</v>
      </c>
      <c r="AL29" s="30" t="s">
        <v>29</v>
      </c>
      <c r="AM29" s="30" t="s">
        <v>30</v>
      </c>
      <c r="AN29" s="30" t="s">
        <v>31</v>
      </c>
      <c r="AO29" s="30" t="s">
        <v>32</v>
      </c>
      <c r="AP29" s="108">
        <v>42736</v>
      </c>
      <c r="AQ29" s="108">
        <v>42767</v>
      </c>
      <c r="AR29" s="108">
        <v>42795</v>
      </c>
      <c r="AS29" s="108">
        <v>42826</v>
      </c>
      <c r="AT29" s="108">
        <v>42856</v>
      </c>
      <c r="AU29" s="108">
        <v>42887</v>
      </c>
      <c r="AV29" s="108">
        <v>42917</v>
      </c>
      <c r="AW29" s="108">
        <v>42948</v>
      </c>
      <c r="AX29" s="108">
        <v>42979</v>
      </c>
      <c r="AY29" s="108">
        <v>43009</v>
      </c>
      <c r="AZ29" s="108">
        <v>43040</v>
      </c>
      <c r="BA29" s="108">
        <v>43070</v>
      </c>
      <c r="BB29" s="29" t="s">
        <v>123</v>
      </c>
      <c r="BC29" s="29" t="s">
        <v>124</v>
      </c>
      <c r="BD29" s="29" t="s">
        <v>125</v>
      </c>
      <c r="BE29" s="29" t="s">
        <v>126</v>
      </c>
      <c r="BF29" s="29" t="str">
        <f>$BF$4</f>
        <v>YTD 7/17</v>
      </c>
      <c r="BG29" s="121">
        <v>42736</v>
      </c>
      <c r="BH29" s="108">
        <v>42767</v>
      </c>
      <c r="BI29" s="108">
        <v>42795</v>
      </c>
      <c r="BJ29" s="108">
        <v>42826</v>
      </c>
      <c r="BK29" s="108">
        <v>42856</v>
      </c>
      <c r="BL29" s="108">
        <v>42887</v>
      </c>
      <c r="BM29" s="108">
        <v>42917</v>
      </c>
      <c r="BN29" s="108">
        <v>42948</v>
      </c>
      <c r="BO29" s="108">
        <v>42979</v>
      </c>
      <c r="BP29" s="108">
        <v>43009</v>
      </c>
      <c r="BQ29" s="108">
        <v>43040</v>
      </c>
      <c r="BR29" s="108">
        <v>43070</v>
      </c>
      <c r="BS29" s="29" t="s">
        <v>127</v>
      </c>
      <c r="BT29" s="29" t="s">
        <v>128</v>
      </c>
      <c r="BU29" s="29" t="s">
        <v>96</v>
      </c>
      <c r="BV29" s="29" t="s">
        <v>129</v>
      </c>
      <c r="BW29" s="112" t="s">
        <v>130</v>
      </c>
    </row>
    <row r="30" spans="1:75" x14ac:dyDescent="0.25">
      <c r="A30" s="20" t="str">
        <f>$B$29&amp;"_by_rookie_GENLION:"&amp;TRIM(B30)</f>
        <v># Active_by_rookie_GENLION:MDRT/ GEN Lion (from Apr '17)</v>
      </c>
      <c r="B30" t="s">
        <v>157</v>
      </c>
      <c r="Z30" s="6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31"/>
      <c r="AL30" s="31"/>
      <c r="AM30" s="31"/>
      <c r="AN30" s="31"/>
      <c r="AO30" s="31"/>
      <c r="AP30" s="22">
        <f>[16]Actv!M37</f>
        <v>55</v>
      </c>
      <c r="AQ30" s="22">
        <f>[17]Actv!M38</f>
        <v>65</v>
      </c>
      <c r="AR30" s="22">
        <f>[18]Actv!M38</f>
        <v>73</v>
      </c>
      <c r="AS30" s="22">
        <f>[19]Actv!M59</f>
        <v>148</v>
      </c>
      <c r="AT30" s="22">
        <f>[20]Actv!M59</f>
        <v>149</v>
      </c>
      <c r="AU30" s="22">
        <f>[21]Actv!M59</f>
        <v>141</v>
      </c>
      <c r="AV30" s="22">
        <f>[22]Actv!M59</f>
        <v>114</v>
      </c>
      <c r="BB30" s="110">
        <f>SUM(AP30:INDEX(AP30:AR30,IF($B$3&lt;3,$B$3,3)))</f>
        <v>193</v>
      </c>
      <c r="BC30" s="110">
        <f>SUM(AS30:INDEX(AS30:AU30,IF($B$3&lt;7,$B$3-3,3)))</f>
        <v>438</v>
      </c>
      <c r="BD30" s="110">
        <f>SUM(AV30:INDEX(AV30:AX30,IF(AND($B$3&gt;6,$B$3&lt;10),$B$3-6,0)))</f>
        <v>114</v>
      </c>
      <c r="BE30" s="110">
        <f>SUM(AY30:INDEX(AY30:BA30,IF($B$3&gt;9,$B$3-9,0)))</f>
        <v>0</v>
      </c>
      <c r="BF30" s="110">
        <f>SUM($AP30:INDEX(AP30:BA30,$B$3))</f>
        <v>745</v>
      </c>
      <c r="BG30" s="122" t="e">
        <f t="shared" ref="BG30:BR38" si="42">AP30/O30</f>
        <v>#DIV/0!</v>
      </c>
      <c r="BH30" s="111" t="e">
        <f t="shared" si="42"/>
        <v>#DIV/0!</v>
      </c>
      <c r="BI30" s="111" t="e">
        <f t="shared" si="42"/>
        <v>#DIV/0!</v>
      </c>
      <c r="BJ30" s="111" t="e">
        <f t="shared" si="42"/>
        <v>#DIV/0!</v>
      </c>
      <c r="BK30" s="111" t="e">
        <f t="shared" si="42"/>
        <v>#DIV/0!</v>
      </c>
      <c r="BL30" s="111" t="e">
        <f t="shared" si="42"/>
        <v>#DIV/0!</v>
      </c>
      <c r="BM30" s="111" t="e">
        <f t="shared" si="42"/>
        <v>#DIV/0!</v>
      </c>
      <c r="BN30" s="111" t="e">
        <f t="shared" si="42"/>
        <v>#DIV/0!</v>
      </c>
      <c r="BO30" s="111" t="e">
        <f t="shared" si="42"/>
        <v>#DIV/0!</v>
      </c>
      <c r="BP30" s="111" t="e">
        <f t="shared" si="42"/>
        <v>#DIV/0!</v>
      </c>
      <c r="BQ30" s="111" t="e">
        <f t="shared" si="42"/>
        <v>#DIV/0!</v>
      </c>
      <c r="BR30" s="111" t="e">
        <f t="shared" si="42"/>
        <v>#DIV/0!</v>
      </c>
      <c r="BS30" s="111" t="e">
        <f>BB30/SUM(O30:INDEX(O30:Q30,IF($B$3&lt;3,$B$3,3)))</f>
        <v>#DIV/0!</v>
      </c>
      <c r="BT30" s="111" t="e">
        <f>BC30/SUM(R30:INDEX(R30:T30,IF($B$3&lt;7,$B$3-3,3)))</f>
        <v>#DIV/0!</v>
      </c>
      <c r="BU30" s="111" t="e">
        <f t="shared" ref="BU30:BV38" si="43">BD30/AD30</f>
        <v>#DIV/0!</v>
      </c>
      <c r="BV30" s="111" t="e">
        <f t="shared" si="43"/>
        <v>#DIV/0!</v>
      </c>
      <c r="BW30" s="111" t="e">
        <f t="shared" ref="BW30:BW38" si="44">BF30/AA30</f>
        <v>#DIV/0!</v>
      </c>
    </row>
    <row r="31" spans="1:75" x14ac:dyDescent="0.25">
      <c r="A31" s="20" t="str">
        <f t="shared" ref="A31:A38" si="45">$B$29&amp;"_by_rookie_GENLION:"&amp;TRIM(B31)</f>
        <v># Active_by_rookie_GENLION:Rookie in month</v>
      </c>
      <c r="B31" t="s">
        <v>5</v>
      </c>
      <c r="Z31" s="6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31"/>
      <c r="AL31" s="31"/>
      <c r="AM31" s="31"/>
      <c r="AN31" s="31"/>
      <c r="AO31" s="31"/>
      <c r="AP31" s="22">
        <f>[16]Actv!M38</f>
        <v>47</v>
      </c>
      <c r="AQ31" s="22">
        <f>[17]Actv!M39</f>
        <v>122</v>
      </c>
      <c r="AR31" s="22">
        <f>[18]Actv!M39</f>
        <v>143</v>
      </c>
      <c r="AS31" s="22">
        <f>[19]Actv!M60</f>
        <v>143</v>
      </c>
      <c r="AT31" s="22">
        <f>[20]Actv!M60</f>
        <v>154</v>
      </c>
      <c r="AU31" s="22">
        <f>[21]Actv!M60</f>
        <v>208</v>
      </c>
      <c r="AV31" s="22">
        <f>[22]Actv!M60</f>
        <v>155</v>
      </c>
      <c r="BB31" s="110">
        <f>SUM(AP31:INDEX(AP31:AR31,IF($B$3&lt;3,$B$3,3)))</f>
        <v>312</v>
      </c>
      <c r="BC31" s="110">
        <f>SUM(AS31:INDEX(AS31:AU31,IF($B$3&lt;7,$B$3-3,3)))</f>
        <v>505</v>
      </c>
      <c r="BD31" s="110">
        <f>SUM(AV31:INDEX(AV31:AX31,IF(AND($B$3&gt;6,$B$3&lt;10),$B$3-6,0)))</f>
        <v>155</v>
      </c>
      <c r="BE31" s="110">
        <f>SUM(AY31:INDEX(AY31:BA31,IF($B$3&gt;9,$B$3-9,0)))</f>
        <v>0</v>
      </c>
      <c r="BF31" s="110">
        <f>SUM($AP31:INDEX(AP31:BA31,$B$3))</f>
        <v>972</v>
      </c>
      <c r="BG31" s="122" t="e">
        <f t="shared" si="42"/>
        <v>#DIV/0!</v>
      </c>
      <c r="BH31" s="111" t="e">
        <f t="shared" si="42"/>
        <v>#DIV/0!</v>
      </c>
      <c r="BI31" s="111" t="e">
        <f t="shared" si="42"/>
        <v>#DIV/0!</v>
      </c>
      <c r="BJ31" s="111" t="e">
        <f t="shared" si="42"/>
        <v>#DIV/0!</v>
      </c>
      <c r="BK31" s="111" t="e">
        <f t="shared" si="42"/>
        <v>#DIV/0!</v>
      </c>
      <c r="BL31" s="111" t="e">
        <f t="shared" si="42"/>
        <v>#DIV/0!</v>
      </c>
      <c r="BM31" s="111" t="e">
        <f t="shared" si="42"/>
        <v>#DIV/0!</v>
      </c>
      <c r="BN31" s="111" t="e">
        <f t="shared" si="42"/>
        <v>#DIV/0!</v>
      </c>
      <c r="BO31" s="111" t="e">
        <f t="shared" si="42"/>
        <v>#DIV/0!</v>
      </c>
      <c r="BP31" s="111" t="e">
        <f t="shared" si="42"/>
        <v>#DIV/0!</v>
      </c>
      <c r="BQ31" s="111" t="e">
        <f t="shared" si="42"/>
        <v>#DIV/0!</v>
      </c>
      <c r="BR31" s="111" t="e">
        <f t="shared" si="42"/>
        <v>#DIV/0!</v>
      </c>
      <c r="BS31" s="111" t="e">
        <f>BB31/SUM(O31:INDEX(O31:Q31,IF($B$3&lt;3,$B$3,3)))</f>
        <v>#DIV/0!</v>
      </c>
      <c r="BT31" s="111" t="e">
        <f>BC31/SUM(R31:INDEX(R31:T31,IF($B$3&lt;7,$B$3-3,3)))</f>
        <v>#DIV/0!</v>
      </c>
      <c r="BU31" s="111" t="e">
        <f t="shared" si="43"/>
        <v>#DIV/0!</v>
      </c>
      <c r="BV31" s="111" t="e">
        <f t="shared" si="43"/>
        <v>#DIV/0!</v>
      </c>
      <c r="BW31" s="111" t="e">
        <f t="shared" si="44"/>
        <v>#DIV/0!</v>
      </c>
    </row>
    <row r="32" spans="1:75" x14ac:dyDescent="0.25">
      <c r="A32" s="20" t="str">
        <f t="shared" si="45"/>
        <v># Active_by_rookie_GENLION:Rookie last month</v>
      </c>
      <c r="B32" t="s">
        <v>6</v>
      </c>
      <c r="Z32" s="6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31"/>
      <c r="AL32" s="31"/>
      <c r="AM32" s="31"/>
      <c r="AN32" s="31"/>
      <c r="AO32" s="31"/>
      <c r="AP32" s="22">
        <f>[16]Actv!M39</f>
        <v>55</v>
      </c>
      <c r="AQ32" s="22">
        <f>[17]Actv!M40</f>
        <v>46</v>
      </c>
      <c r="AR32" s="22">
        <f>[18]Actv!M40</f>
        <v>95</v>
      </c>
      <c r="AS32" s="22">
        <f>[19]Actv!M61</f>
        <v>74</v>
      </c>
      <c r="AT32" s="22">
        <f>[20]Actv!M61</f>
        <v>76</v>
      </c>
      <c r="AU32" s="22">
        <f>[21]Actv!M61</f>
        <v>88</v>
      </c>
      <c r="AV32" s="22">
        <f>[22]Actv!M61</f>
        <v>63</v>
      </c>
      <c r="BB32" s="110">
        <f>SUM(AP32:INDEX(AP32:AR32,IF($B$3&lt;3,$B$3,3)))</f>
        <v>196</v>
      </c>
      <c r="BC32" s="110">
        <f>SUM(AS32:INDEX(AS32:AU32,IF($B$3&lt;7,$B$3-3,3)))</f>
        <v>238</v>
      </c>
      <c r="BD32" s="110">
        <f>SUM(AV32:INDEX(AV32:AX32,IF(AND($B$3&gt;6,$B$3&lt;10),$B$3-6,0)))</f>
        <v>63</v>
      </c>
      <c r="BE32" s="110">
        <f>SUM(AY32:INDEX(AY32:BA32,IF($B$3&gt;9,$B$3-9,0)))</f>
        <v>0</v>
      </c>
      <c r="BF32" s="110">
        <f>SUM($AP32:INDEX(AP32:BA32,$B$3))</f>
        <v>497</v>
      </c>
      <c r="BG32" s="122" t="e">
        <f t="shared" si="42"/>
        <v>#DIV/0!</v>
      </c>
      <c r="BH32" s="111" t="e">
        <f t="shared" si="42"/>
        <v>#DIV/0!</v>
      </c>
      <c r="BI32" s="111" t="e">
        <f t="shared" si="42"/>
        <v>#DIV/0!</v>
      </c>
      <c r="BJ32" s="111" t="e">
        <f t="shared" si="42"/>
        <v>#DIV/0!</v>
      </c>
      <c r="BK32" s="111" t="e">
        <f t="shared" si="42"/>
        <v>#DIV/0!</v>
      </c>
      <c r="BL32" s="111" t="e">
        <f t="shared" si="42"/>
        <v>#DIV/0!</v>
      </c>
      <c r="BM32" s="111" t="e">
        <f t="shared" si="42"/>
        <v>#DIV/0!</v>
      </c>
      <c r="BN32" s="111" t="e">
        <f t="shared" si="42"/>
        <v>#DIV/0!</v>
      </c>
      <c r="BO32" s="111" t="e">
        <f t="shared" si="42"/>
        <v>#DIV/0!</v>
      </c>
      <c r="BP32" s="111" t="e">
        <f t="shared" si="42"/>
        <v>#DIV/0!</v>
      </c>
      <c r="BQ32" s="111" t="e">
        <f t="shared" si="42"/>
        <v>#DIV/0!</v>
      </c>
      <c r="BR32" s="111" t="e">
        <f t="shared" si="42"/>
        <v>#DIV/0!</v>
      </c>
      <c r="BS32" s="111" t="e">
        <f>BB32/SUM(O32:INDEX(O32:Q32,IF($B$3&lt;3,$B$3,3)))</f>
        <v>#DIV/0!</v>
      </c>
      <c r="BT32" s="111" t="e">
        <f>BC32/SUM(R32:INDEX(R32:T32,IF($B$3&lt;7,$B$3-3,3)))</f>
        <v>#DIV/0!</v>
      </c>
      <c r="BU32" s="111" t="e">
        <f t="shared" si="43"/>
        <v>#DIV/0!</v>
      </c>
      <c r="BV32" s="111" t="e">
        <f t="shared" si="43"/>
        <v>#DIV/0!</v>
      </c>
      <c r="BW32" s="111" t="e">
        <f t="shared" si="44"/>
        <v>#DIV/0!</v>
      </c>
    </row>
    <row r="33" spans="1:76" x14ac:dyDescent="0.25">
      <c r="A33" s="20" t="str">
        <f t="shared" si="45"/>
        <v># Active_by_rookie_GENLION:2-3 months</v>
      </c>
      <c r="B33" t="s">
        <v>7</v>
      </c>
      <c r="Z33" s="6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31"/>
      <c r="AL33" s="31"/>
      <c r="AM33" s="31"/>
      <c r="AN33" s="31"/>
      <c r="AO33" s="31"/>
      <c r="AP33" s="22">
        <f>[16]Actv!M40</f>
        <v>84</v>
      </c>
      <c r="AQ33" s="22">
        <f>[17]Actv!M41</f>
        <v>124</v>
      </c>
      <c r="AR33" s="22">
        <f>[18]Actv!M41</f>
        <v>87</v>
      </c>
      <c r="AS33" s="22">
        <f>[19]Actv!M62</f>
        <v>67</v>
      </c>
      <c r="AT33" s="22">
        <f>[20]Actv!M62</f>
        <v>81</v>
      </c>
      <c r="AU33" s="22">
        <f>[21]Actv!M62</f>
        <v>86</v>
      </c>
      <c r="AV33" s="22">
        <f>[22]Actv!M62</f>
        <v>79</v>
      </c>
      <c r="BB33" s="110">
        <f>SUM(AP33:INDEX(AP33:AR33,IF($B$3&lt;3,$B$3,3)))</f>
        <v>295</v>
      </c>
      <c r="BC33" s="110">
        <f>SUM(AS33:INDEX(AS33:AU33,IF($B$3&lt;7,$B$3-3,3)))</f>
        <v>234</v>
      </c>
      <c r="BD33" s="110">
        <f>SUM(AV33:INDEX(AV33:AX33,IF(AND($B$3&gt;6,$B$3&lt;10),$B$3-6,0)))</f>
        <v>79</v>
      </c>
      <c r="BE33" s="110">
        <f>SUM(AY33:INDEX(AY33:BA33,IF($B$3&gt;9,$B$3-9,0)))</f>
        <v>0</v>
      </c>
      <c r="BF33" s="110">
        <f>SUM($AP33:INDEX(AP33:BA33,$B$3))</f>
        <v>608</v>
      </c>
      <c r="BG33" s="122" t="e">
        <f t="shared" si="42"/>
        <v>#DIV/0!</v>
      </c>
      <c r="BH33" s="111" t="e">
        <f t="shared" si="42"/>
        <v>#DIV/0!</v>
      </c>
      <c r="BI33" s="111" t="e">
        <f t="shared" si="42"/>
        <v>#DIV/0!</v>
      </c>
      <c r="BJ33" s="111" t="e">
        <f t="shared" si="42"/>
        <v>#DIV/0!</v>
      </c>
      <c r="BK33" s="111" t="e">
        <f t="shared" si="42"/>
        <v>#DIV/0!</v>
      </c>
      <c r="BL33" s="111" t="e">
        <f t="shared" si="42"/>
        <v>#DIV/0!</v>
      </c>
      <c r="BM33" s="111" t="e">
        <f t="shared" si="42"/>
        <v>#DIV/0!</v>
      </c>
      <c r="BN33" s="111" t="e">
        <f t="shared" si="42"/>
        <v>#DIV/0!</v>
      </c>
      <c r="BO33" s="111" t="e">
        <f t="shared" si="42"/>
        <v>#DIV/0!</v>
      </c>
      <c r="BP33" s="111" t="e">
        <f t="shared" si="42"/>
        <v>#DIV/0!</v>
      </c>
      <c r="BQ33" s="111" t="e">
        <f t="shared" si="42"/>
        <v>#DIV/0!</v>
      </c>
      <c r="BR33" s="111" t="e">
        <f t="shared" si="42"/>
        <v>#DIV/0!</v>
      </c>
      <c r="BS33" s="111" t="e">
        <f>BB33/SUM(O33:INDEX(O33:Q33,IF($B$3&lt;3,$B$3,3)))</f>
        <v>#DIV/0!</v>
      </c>
      <c r="BT33" s="111" t="e">
        <f>BC33/SUM(R33:INDEX(R33:T33,IF($B$3&lt;7,$B$3-3,3)))</f>
        <v>#DIV/0!</v>
      </c>
      <c r="BU33" s="111" t="e">
        <f t="shared" si="43"/>
        <v>#DIV/0!</v>
      </c>
      <c r="BV33" s="111" t="e">
        <f t="shared" si="43"/>
        <v>#DIV/0!</v>
      </c>
      <c r="BW33" s="111" t="e">
        <f t="shared" si="44"/>
        <v>#DIV/0!</v>
      </c>
    </row>
    <row r="34" spans="1:76" x14ac:dyDescent="0.25">
      <c r="A34" s="20" t="str">
        <f t="shared" si="45"/>
        <v># Active_by_rookie_GENLION:4 - 6 mths</v>
      </c>
      <c r="B34" t="s">
        <v>8</v>
      </c>
      <c r="Z34" s="6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31"/>
      <c r="AL34" s="31"/>
      <c r="AM34" s="31"/>
      <c r="AN34" s="31"/>
      <c r="AO34" s="31"/>
      <c r="AP34" s="22">
        <f>[16]Actv!M41</f>
        <v>41</v>
      </c>
      <c r="AQ34" s="22">
        <f>[17]Actv!M42</f>
        <v>87</v>
      </c>
      <c r="AR34" s="22">
        <f>[18]Actv!M42</f>
        <v>148</v>
      </c>
      <c r="AS34" s="22">
        <f>[19]Actv!M63</f>
        <v>50</v>
      </c>
      <c r="AT34" s="22">
        <f>[20]Actv!M63</f>
        <v>39</v>
      </c>
      <c r="AU34" s="22">
        <f>[21]Actv!M63</f>
        <v>37</v>
      </c>
      <c r="AV34" s="22">
        <f>[22]Actv!M63</f>
        <v>45</v>
      </c>
      <c r="BB34" s="110">
        <f>SUM(AP34:INDEX(AP34:AR34,IF($B$3&lt;3,$B$3,3)))</f>
        <v>276</v>
      </c>
      <c r="BC34" s="110">
        <f>SUM(AS34:INDEX(AS34:AU34,IF($B$3&lt;7,$B$3-3,3)))</f>
        <v>126</v>
      </c>
      <c r="BD34" s="110">
        <f>SUM(AV34:INDEX(AV34:AX34,IF(AND($B$3&gt;6,$B$3&lt;10),$B$3-6,0)))</f>
        <v>45</v>
      </c>
      <c r="BE34" s="110">
        <f>SUM(AY34:INDEX(AY34:BA34,IF($B$3&gt;9,$B$3-9,0)))</f>
        <v>0</v>
      </c>
      <c r="BF34" s="110">
        <f>SUM($AP34:INDEX(AP34:BA34,$B$3))</f>
        <v>447</v>
      </c>
      <c r="BG34" s="122" t="e">
        <f t="shared" si="42"/>
        <v>#DIV/0!</v>
      </c>
      <c r="BH34" s="111" t="e">
        <f t="shared" si="42"/>
        <v>#DIV/0!</v>
      </c>
      <c r="BI34" s="111" t="e">
        <f t="shared" si="42"/>
        <v>#DIV/0!</v>
      </c>
      <c r="BJ34" s="111" t="e">
        <f t="shared" si="42"/>
        <v>#DIV/0!</v>
      </c>
      <c r="BK34" s="111" t="e">
        <f t="shared" si="42"/>
        <v>#DIV/0!</v>
      </c>
      <c r="BL34" s="111" t="e">
        <f t="shared" si="42"/>
        <v>#DIV/0!</v>
      </c>
      <c r="BM34" s="111" t="e">
        <f t="shared" si="42"/>
        <v>#DIV/0!</v>
      </c>
      <c r="BN34" s="111" t="e">
        <f t="shared" si="42"/>
        <v>#DIV/0!</v>
      </c>
      <c r="BO34" s="111" t="e">
        <f t="shared" si="42"/>
        <v>#DIV/0!</v>
      </c>
      <c r="BP34" s="111" t="e">
        <f t="shared" si="42"/>
        <v>#DIV/0!</v>
      </c>
      <c r="BQ34" s="111" t="e">
        <f t="shared" si="42"/>
        <v>#DIV/0!</v>
      </c>
      <c r="BR34" s="111" t="e">
        <f t="shared" si="42"/>
        <v>#DIV/0!</v>
      </c>
      <c r="BS34" s="111" t="e">
        <f>BB34/SUM(O34:INDEX(O34:Q34,IF($B$3&lt;3,$B$3,3)))</f>
        <v>#DIV/0!</v>
      </c>
      <c r="BT34" s="111" t="e">
        <f>BC34/SUM(R34:INDEX(R34:T34,IF($B$3&lt;7,$B$3-3,3)))</f>
        <v>#DIV/0!</v>
      </c>
      <c r="BU34" s="111" t="e">
        <f t="shared" si="43"/>
        <v>#DIV/0!</v>
      </c>
      <c r="BV34" s="111" t="e">
        <f t="shared" si="43"/>
        <v>#DIV/0!</v>
      </c>
      <c r="BW34" s="111" t="e">
        <f t="shared" si="44"/>
        <v>#DIV/0!</v>
      </c>
    </row>
    <row r="35" spans="1:76" x14ac:dyDescent="0.25">
      <c r="A35" s="20" t="str">
        <f t="shared" si="45"/>
        <v># Active_by_rookie_GENLION:7-12mth</v>
      </c>
      <c r="B35" t="s">
        <v>1</v>
      </c>
      <c r="Z35" s="6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31"/>
      <c r="AL35" s="31"/>
      <c r="AM35" s="31"/>
      <c r="AN35" s="31"/>
      <c r="AO35" s="31"/>
      <c r="AP35" s="22">
        <f>[16]Actv!M42</f>
        <v>28</v>
      </c>
      <c r="AQ35" s="22">
        <f>[17]Actv!M43</f>
        <v>34</v>
      </c>
      <c r="AR35" s="22">
        <f>[18]Actv!M43</f>
        <v>55</v>
      </c>
      <c r="AS35" s="22">
        <f>[19]Actv!M64</f>
        <v>45</v>
      </c>
      <c r="AT35" s="22">
        <f>[20]Actv!M64</f>
        <v>53</v>
      </c>
      <c r="AU35" s="22">
        <f>[21]Actv!M64</f>
        <v>55</v>
      </c>
      <c r="AV35" s="22">
        <f>[22]Actv!M64</f>
        <v>39</v>
      </c>
      <c r="BB35" s="110">
        <f>SUM(AP35:INDEX(AP35:AR35,IF($B$3&lt;3,$B$3,3)))</f>
        <v>117</v>
      </c>
      <c r="BC35" s="110">
        <f>SUM(AS35:INDEX(AS35:AU35,IF($B$3&lt;7,$B$3-3,3)))</f>
        <v>153</v>
      </c>
      <c r="BD35" s="110">
        <f>SUM(AV35:INDEX(AV35:AX35,IF(AND($B$3&gt;6,$B$3&lt;10),$B$3-6,0)))</f>
        <v>39</v>
      </c>
      <c r="BE35" s="110">
        <f>SUM(AY35:INDEX(AY35:BA35,IF($B$3&gt;9,$B$3-9,0)))</f>
        <v>0</v>
      </c>
      <c r="BF35" s="110">
        <f>SUM($AP35:INDEX(AP35:BA35,$B$3))</f>
        <v>309</v>
      </c>
      <c r="BG35" s="122" t="e">
        <f t="shared" si="42"/>
        <v>#DIV/0!</v>
      </c>
      <c r="BH35" s="111" t="e">
        <f t="shared" si="42"/>
        <v>#DIV/0!</v>
      </c>
      <c r="BI35" s="111" t="e">
        <f t="shared" si="42"/>
        <v>#DIV/0!</v>
      </c>
      <c r="BJ35" s="111" t="e">
        <f t="shared" si="42"/>
        <v>#DIV/0!</v>
      </c>
      <c r="BK35" s="111" t="e">
        <f t="shared" si="42"/>
        <v>#DIV/0!</v>
      </c>
      <c r="BL35" s="111" t="e">
        <f t="shared" si="42"/>
        <v>#DIV/0!</v>
      </c>
      <c r="BM35" s="111" t="e">
        <f t="shared" si="42"/>
        <v>#DIV/0!</v>
      </c>
      <c r="BN35" s="111" t="e">
        <f t="shared" si="42"/>
        <v>#DIV/0!</v>
      </c>
      <c r="BO35" s="111" t="e">
        <f t="shared" si="42"/>
        <v>#DIV/0!</v>
      </c>
      <c r="BP35" s="111" t="e">
        <f t="shared" si="42"/>
        <v>#DIV/0!</v>
      </c>
      <c r="BQ35" s="111" t="e">
        <f t="shared" si="42"/>
        <v>#DIV/0!</v>
      </c>
      <c r="BR35" s="111" t="e">
        <f t="shared" si="42"/>
        <v>#DIV/0!</v>
      </c>
      <c r="BS35" s="111" t="e">
        <f>BB35/SUM(O35:INDEX(O35:Q35,IF($B$3&lt;3,$B$3,3)))</f>
        <v>#DIV/0!</v>
      </c>
      <c r="BT35" s="111" t="e">
        <f>BC35/SUM(R35:INDEX(R35:T35,IF($B$3&lt;7,$B$3-3,3)))</f>
        <v>#DIV/0!</v>
      </c>
      <c r="BU35" s="111" t="e">
        <f t="shared" si="43"/>
        <v>#DIV/0!</v>
      </c>
      <c r="BV35" s="111" t="e">
        <f t="shared" si="43"/>
        <v>#DIV/0!</v>
      </c>
      <c r="BW35" s="111" t="e">
        <f t="shared" si="44"/>
        <v>#DIV/0!</v>
      </c>
    </row>
    <row r="36" spans="1:76" x14ac:dyDescent="0.25">
      <c r="A36" s="20" t="str">
        <f t="shared" si="45"/>
        <v># Active_by_rookie_GENLION:13+mth</v>
      </c>
      <c r="B36" t="s">
        <v>2</v>
      </c>
      <c r="Z36" s="6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31"/>
      <c r="AL36" s="31"/>
      <c r="AM36" s="31"/>
      <c r="AN36" s="31"/>
      <c r="AO36" s="31"/>
      <c r="AP36" s="22">
        <f>[16]Actv!M43</f>
        <v>50</v>
      </c>
      <c r="AQ36" s="22">
        <f>[17]Actv!M44</f>
        <v>44</v>
      </c>
      <c r="AR36" s="22">
        <f>[18]Actv!M44</f>
        <v>68</v>
      </c>
      <c r="AS36" s="22">
        <f>[19]Actv!M65</f>
        <v>58</v>
      </c>
      <c r="AT36" s="22">
        <f>[20]Actv!M65</f>
        <v>51</v>
      </c>
      <c r="AU36" s="22">
        <f>[21]Actv!M65</f>
        <v>47</v>
      </c>
      <c r="AV36" s="22">
        <f>[22]Actv!M65</f>
        <v>45</v>
      </c>
      <c r="BB36" s="110">
        <f>SUM(AP36:INDEX(AP36:AR36,IF($B$3&lt;3,$B$3,3)))</f>
        <v>162</v>
      </c>
      <c r="BC36" s="110">
        <f>SUM(AS36:INDEX(AS36:AU36,IF($B$3&lt;7,$B$3-3,3)))</f>
        <v>156</v>
      </c>
      <c r="BD36" s="110">
        <f>SUM(AV36:INDEX(AV36:AX36,IF(AND($B$3&gt;6,$B$3&lt;10),$B$3-6,0)))</f>
        <v>45</v>
      </c>
      <c r="BE36" s="110">
        <f>SUM(AY36:INDEX(AY36:BA36,IF($B$3&gt;9,$B$3-9,0)))</f>
        <v>0</v>
      </c>
      <c r="BF36" s="110">
        <f>SUM($AP36:INDEX(AP36:BA36,$B$3))</f>
        <v>363</v>
      </c>
      <c r="BG36" s="122" t="e">
        <f t="shared" si="42"/>
        <v>#DIV/0!</v>
      </c>
      <c r="BH36" s="111" t="e">
        <f t="shared" si="42"/>
        <v>#DIV/0!</v>
      </c>
      <c r="BI36" s="111" t="e">
        <f t="shared" si="42"/>
        <v>#DIV/0!</v>
      </c>
      <c r="BJ36" s="111" t="e">
        <f t="shared" si="42"/>
        <v>#DIV/0!</v>
      </c>
      <c r="BK36" s="111" t="e">
        <f t="shared" si="42"/>
        <v>#DIV/0!</v>
      </c>
      <c r="BL36" s="111" t="e">
        <f t="shared" si="42"/>
        <v>#DIV/0!</v>
      </c>
      <c r="BM36" s="111" t="e">
        <f t="shared" si="42"/>
        <v>#DIV/0!</v>
      </c>
      <c r="BN36" s="111" t="e">
        <f t="shared" si="42"/>
        <v>#DIV/0!</v>
      </c>
      <c r="BO36" s="111" t="e">
        <f t="shared" si="42"/>
        <v>#DIV/0!</v>
      </c>
      <c r="BP36" s="111" t="e">
        <f t="shared" si="42"/>
        <v>#DIV/0!</v>
      </c>
      <c r="BQ36" s="111" t="e">
        <f t="shared" si="42"/>
        <v>#DIV/0!</v>
      </c>
      <c r="BR36" s="111" t="e">
        <f t="shared" si="42"/>
        <v>#DIV/0!</v>
      </c>
      <c r="BS36" s="111" t="e">
        <f>BB36/SUM(O36:INDEX(O36:Q36,IF($B$3&lt;3,$B$3,3)))</f>
        <v>#DIV/0!</v>
      </c>
      <c r="BT36" s="111" t="e">
        <f>BC36/SUM(R36:INDEX(R36:T36,IF($B$3&lt;7,$B$3-3,3)))</f>
        <v>#DIV/0!</v>
      </c>
      <c r="BU36" s="111" t="e">
        <f t="shared" si="43"/>
        <v>#DIV/0!</v>
      </c>
      <c r="BV36" s="111" t="e">
        <f t="shared" si="43"/>
        <v>#DIV/0!</v>
      </c>
      <c r="BW36" s="111" t="e">
        <f t="shared" si="44"/>
        <v>#DIV/0!</v>
      </c>
    </row>
    <row r="37" spans="1:76" x14ac:dyDescent="0.25">
      <c r="A37" s="20" t="str">
        <f t="shared" si="45"/>
        <v># Active_by_rookie_GENLION:SA</v>
      </c>
      <c r="B37" s="135" t="s">
        <v>136</v>
      </c>
      <c r="Z37" s="6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31"/>
      <c r="AL37" s="31"/>
      <c r="AM37" s="31"/>
      <c r="AN37" s="31"/>
      <c r="AO37" s="31"/>
      <c r="AP37" s="22"/>
      <c r="AQ37" s="22">
        <f>[17]Actv!M45</f>
        <v>31</v>
      </c>
      <c r="AR37" s="22">
        <f>[18]Actv!M45</f>
        <v>31</v>
      </c>
      <c r="AS37" s="22">
        <f>[19]Actv!M66</f>
        <v>35</v>
      </c>
      <c r="AT37" s="22">
        <f>[20]Actv!M66</f>
        <v>23</v>
      </c>
      <c r="AU37" s="22">
        <f>[21]Actv!M66</f>
        <v>15</v>
      </c>
      <c r="AV37" s="22">
        <f>[22]Actv!M66</f>
        <v>20</v>
      </c>
      <c r="BB37" s="110">
        <f>SUM(AP37:INDEX(AP37:AR37,IF($B$3&lt;3,$B$3,3)))</f>
        <v>62</v>
      </c>
      <c r="BC37" s="110">
        <f>SUM(AS37:INDEX(AS37:AU37,IF($B$3&lt;7,$B$3-3,3)))</f>
        <v>73</v>
      </c>
      <c r="BD37" s="110">
        <f>SUM(AV37:INDEX(AV37:AX37,IF(AND($B$3&gt;6,$B$3&lt;10),$B$3-6,0)))</f>
        <v>20</v>
      </c>
      <c r="BE37" s="110"/>
      <c r="BF37" s="110">
        <f>SUM($AP37:INDEX(AP37:BA37,$B$3))</f>
        <v>155</v>
      </c>
      <c r="BG37" s="122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</row>
    <row r="38" spans="1:76" s="17" customFormat="1" x14ac:dyDescent="0.25">
      <c r="A38" s="20" t="str">
        <f t="shared" si="45"/>
        <v># Active_by_rookie_GENLION:Total (excl. SA)</v>
      </c>
      <c r="B38" s="1" t="s">
        <v>137</v>
      </c>
      <c r="C38" s="7">
        <f>SUM(C30:C36)</f>
        <v>0</v>
      </c>
      <c r="D38" s="7">
        <f t="shared" ref="D38:Z38" si="46">SUM(D30:D36)</f>
        <v>0</v>
      </c>
      <c r="E38" s="7">
        <f t="shared" si="46"/>
        <v>0</v>
      </c>
      <c r="F38" s="7">
        <f t="shared" si="46"/>
        <v>0</v>
      </c>
      <c r="G38" s="7">
        <f t="shared" si="46"/>
        <v>0</v>
      </c>
      <c r="H38" s="7">
        <f t="shared" si="46"/>
        <v>0</v>
      </c>
      <c r="I38" s="7">
        <f t="shared" si="46"/>
        <v>0</v>
      </c>
      <c r="J38" s="7">
        <f t="shared" si="46"/>
        <v>0</v>
      </c>
      <c r="K38" s="7">
        <f t="shared" si="46"/>
        <v>0</v>
      </c>
      <c r="L38" s="7">
        <f t="shared" si="46"/>
        <v>0</v>
      </c>
      <c r="M38" s="7">
        <f t="shared" si="46"/>
        <v>0</v>
      </c>
      <c r="N38" s="7">
        <f t="shared" si="46"/>
        <v>0</v>
      </c>
      <c r="O38" s="7">
        <f t="shared" si="46"/>
        <v>0</v>
      </c>
      <c r="P38" s="7">
        <f t="shared" si="46"/>
        <v>0</v>
      </c>
      <c r="Q38" s="7">
        <f t="shared" si="46"/>
        <v>0</v>
      </c>
      <c r="R38" s="7">
        <f t="shared" si="46"/>
        <v>0</v>
      </c>
      <c r="S38" s="7">
        <f t="shared" si="46"/>
        <v>0</v>
      </c>
      <c r="T38" s="7">
        <f t="shared" si="46"/>
        <v>0</v>
      </c>
      <c r="U38" s="7">
        <f t="shared" si="46"/>
        <v>0</v>
      </c>
      <c r="V38" s="7">
        <f t="shared" si="46"/>
        <v>0</v>
      </c>
      <c r="W38" s="7">
        <f t="shared" si="46"/>
        <v>0</v>
      </c>
      <c r="X38" s="7">
        <f t="shared" si="46"/>
        <v>0</v>
      </c>
      <c r="Y38" s="7">
        <f t="shared" si="46"/>
        <v>0</v>
      </c>
      <c r="Z38" s="7">
        <f t="shared" si="46"/>
        <v>0</v>
      </c>
      <c r="AA38" s="1">
        <f>SUM(O38:INDEX(O38:Z38,$B$3))</f>
        <v>0</v>
      </c>
      <c r="AB38" s="1">
        <f t="shared" ref="AB38:AJ38" si="47">SUM(AB30:AB36)</f>
        <v>0</v>
      </c>
      <c r="AC38" s="1">
        <f t="shared" si="47"/>
        <v>0</v>
      </c>
      <c r="AD38" s="1">
        <f t="shared" si="47"/>
        <v>0</v>
      </c>
      <c r="AE38" s="1">
        <f t="shared" si="47"/>
        <v>0</v>
      </c>
      <c r="AF38" s="7">
        <f t="shared" si="47"/>
        <v>0</v>
      </c>
      <c r="AG38" s="7">
        <f t="shared" si="47"/>
        <v>0</v>
      </c>
      <c r="AH38" s="7">
        <f t="shared" si="47"/>
        <v>0</v>
      </c>
      <c r="AI38" s="7">
        <f t="shared" si="47"/>
        <v>0</v>
      </c>
      <c r="AJ38" s="7">
        <f t="shared" si="47"/>
        <v>0</v>
      </c>
      <c r="AK38" s="32" t="e">
        <f t="shared" ref="AK38" si="48">AA38/AF38-1</f>
        <v>#DIV/0!</v>
      </c>
      <c r="AL38" s="32" t="e">
        <f t="shared" ref="AL38:AN38" si="49">AB38/AG38-1</f>
        <v>#DIV/0!</v>
      </c>
      <c r="AM38" s="32" t="e">
        <f t="shared" si="49"/>
        <v>#DIV/0!</v>
      </c>
      <c r="AN38" s="32" t="e">
        <f t="shared" si="49"/>
        <v>#DIV/0!</v>
      </c>
      <c r="AO38" s="31" t="e">
        <f>AE38/SUM(L38:INDEX(L38:N38,MOD($B$3,3)))-1</f>
        <v>#DIV/0!</v>
      </c>
      <c r="AP38" s="7">
        <f t="shared" ref="AP38" si="50">SUM(AP30:AP36)</f>
        <v>360</v>
      </c>
      <c r="AQ38" s="7">
        <f>SUM(AQ30:AQ36)</f>
        <v>522</v>
      </c>
      <c r="AR38" s="7">
        <f t="shared" ref="AR38:AU38" si="51">SUM(AR30:AR36)</f>
        <v>669</v>
      </c>
      <c r="AS38" s="7">
        <f t="shared" si="51"/>
        <v>585</v>
      </c>
      <c r="AT38" s="7">
        <f t="shared" si="51"/>
        <v>603</v>
      </c>
      <c r="AU38" s="7">
        <f t="shared" si="51"/>
        <v>662</v>
      </c>
      <c r="AV38" s="7">
        <f>SUM(AV30:AV36)</f>
        <v>540</v>
      </c>
      <c r="BB38" s="116">
        <f>SUM(AP38:INDEX(AP38:AR38,IF($B$3&lt;3,$B$3,3)))</f>
        <v>1551</v>
      </c>
      <c r="BC38" s="116">
        <f>SUM(AS38:INDEX(AS38:AU38,IF($B$3&lt;7,$B$3-3,3)))</f>
        <v>1850</v>
      </c>
      <c r="BD38" s="116">
        <f>SUM(AV38:INDEX(AV38:AX38,IF(AND($B$3&gt;6,$B$3&lt;10),$B$3-6,0)))</f>
        <v>540</v>
      </c>
      <c r="BE38" s="116">
        <f>SUM(AY38:INDEX(AY38:BA38,IF($B$3&gt;9,$B$3-9,0)))</f>
        <v>0</v>
      </c>
      <c r="BF38" s="116">
        <f>SUM($AP38:INDEX(AP38:BA38,$B$3))</f>
        <v>3941</v>
      </c>
      <c r="BG38" s="123" t="e">
        <f t="shared" si="42"/>
        <v>#DIV/0!</v>
      </c>
      <c r="BH38" s="118" t="e">
        <f t="shared" si="42"/>
        <v>#DIV/0!</v>
      </c>
      <c r="BI38" s="118" t="e">
        <f t="shared" si="42"/>
        <v>#DIV/0!</v>
      </c>
      <c r="BJ38" s="118" t="e">
        <f t="shared" si="42"/>
        <v>#DIV/0!</v>
      </c>
      <c r="BK38" s="118" t="e">
        <f t="shared" si="42"/>
        <v>#DIV/0!</v>
      </c>
      <c r="BL38" s="118" t="e">
        <f t="shared" si="42"/>
        <v>#DIV/0!</v>
      </c>
      <c r="BM38" s="118" t="e">
        <f t="shared" si="42"/>
        <v>#DIV/0!</v>
      </c>
      <c r="BN38" s="118" t="e">
        <f t="shared" si="42"/>
        <v>#DIV/0!</v>
      </c>
      <c r="BO38" s="118" t="e">
        <f t="shared" si="42"/>
        <v>#DIV/0!</v>
      </c>
      <c r="BP38" s="118" t="e">
        <f t="shared" si="42"/>
        <v>#DIV/0!</v>
      </c>
      <c r="BQ38" s="118" t="e">
        <f t="shared" si="42"/>
        <v>#DIV/0!</v>
      </c>
      <c r="BR38" s="118" t="e">
        <f t="shared" si="42"/>
        <v>#DIV/0!</v>
      </c>
      <c r="BS38" s="118" t="e">
        <f>BB38/SUM(O38:INDEX(O38:Q38,IF($B$3&lt;3,$B$3,3)))</f>
        <v>#DIV/0!</v>
      </c>
      <c r="BT38" s="118" t="e">
        <f>BC38/SUM(R38:INDEX(R38:T38,IF($B$3&lt;7,$B$3-3,3)))</f>
        <v>#DIV/0!</v>
      </c>
      <c r="BU38" s="118" t="e">
        <f t="shared" si="43"/>
        <v>#DIV/0!</v>
      </c>
      <c r="BV38" s="118" t="e">
        <f t="shared" si="43"/>
        <v>#DIV/0!</v>
      </c>
      <c r="BW38" s="118" t="e">
        <f t="shared" si="44"/>
        <v>#DIV/0!</v>
      </c>
    </row>
    <row r="39" spans="1:76" x14ac:dyDescent="0.25">
      <c r="BG39" s="124"/>
    </row>
    <row r="40" spans="1:76" x14ac:dyDescent="0.25">
      <c r="BG40" s="124"/>
    </row>
    <row r="41" spans="1:76" s="17" customFormat="1" x14ac:dyDescent="0.25">
      <c r="B41" s="2" t="s">
        <v>11</v>
      </c>
      <c r="C41" s="3">
        <f t="shared" ref="C41:Z41" si="52">C4</f>
        <v>42005</v>
      </c>
      <c r="D41" s="3">
        <f t="shared" si="52"/>
        <v>42036</v>
      </c>
      <c r="E41" s="3">
        <f t="shared" si="52"/>
        <v>42064</v>
      </c>
      <c r="F41" s="3">
        <f t="shared" si="52"/>
        <v>42095</v>
      </c>
      <c r="G41" s="3">
        <f t="shared" si="52"/>
        <v>42125</v>
      </c>
      <c r="H41" s="3">
        <f t="shared" si="52"/>
        <v>42156</v>
      </c>
      <c r="I41" s="3">
        <f t="shared" si="52"/>
        <v>42186</v>
      </c>
      <c r="J41" s="3">
        <f t="shared" si="52"/>
        <v>42217</v>
      </c>
      <c r="K41" s="3">
        <f t="shared" si="52"/>
        <v>42248</v>
      </c>
      <c r="L41" s="3">
        <f t="shared" si="52"/>
        <v>42278</v>
      </c>
      <c r="M41" s="3">
        <f t="shared" si="52"/>
        <v>42309</v>
      </c>
      <c r="N41" s="3">
        <f t="shared" si="52"/>
        <v>42339</v>
      </c>
      <c r="O41" s="3">
        <f t="shared" si="52"/>
        <v>42370</v>
      </c>
      <c r="P41" s="3">
        <f t="shared" si="52"/>
        <v>42401</v>
      </c>
      <c r="Q41" s="3">
        <f t="shared" si="52"/>
        <v>42430</v>
      </c>
      <c r="R41" s="3">
        <f t="shared" si="52"/>
        <v>42461</v>
      </c>
      <c r="S41" s="3">
        <f t="shared" si="52"/>
        <v>42491</v>
      </c>
      <c r="T41" s="3">
        <f t="shared" si="52"/>
        <v>42522</v>
      </c>
      <c r="U41" s="3">
        <f t="shared" si="52"/>
        <v>42552</v>
      </c>
      <c r="V41" s="3">
        <f t="shared" si="52"/>
        <v>42583</v>
      </c>
      <c r="W41" s="3">
        <f t="shared" si="52"/>
        <v>42614</v>
      </c>
      <c r="X41" s="3">
        <f t="shared" si="52"/>
        <v>42644</v>
      </c>
      <c r="Y41" s="3">
        <f t="shared" si="52"/>
        <v>42675</v>
      </c>
      <c r="Z41" s="3">
        <f t="shared" si="52"/>
        <v>42705</v>
      </c>
      <c r="AA41" s="29" t="str">
        <f>$AA$4</f>
        <v>YTD 7/16</v>
      </c>
      <c r="AB41" s="29" t="s">
        <v>19</v>
      </c>
      <c r="AC41" s="29" t="s">
        <v>20</v>
      </c>
      <c r="AD41" s="29" t="s">
        <v>21</v>
      </c>
      <c r="AE41" s="29" t="s">
        <v>22</v>
      </c>
      <c r="AF41" s="26" t="str">
        <f t="shared" ref="AF41:AJ41" si="53">AF17</f>
        <v>YTD 7/15</v>
      </c>
      <c r="AG41" s="26" t="str">
        <f t="shared" si="53"/>
        <v>Q1 '15</v>
      </c>
      <c r="AH41" s="26" t="str">
        <f t="shared" si="53"/>
        <v>Q2 '15</v>
      </c>
      <c r="AI41" s="26" t="str">
        <f t="shared" si="53"/>
        <v>Q3 '15</v>
      </c>
      <c r="AJ41" s="26" t="str">
        <f t="shared" si="53"/>
        <v>Q4 '15</v>
      </c>
      <c r="AK41" s="30" t="s">
        <v>27</v>
      </c>
      <c r="AL41" s="30" t="s">
        <v>29</v>
      </c>
      <c r="AM41" s="30" t="s">
        <v>30</v>
      </c>
      <c r="AN41" s="30" t="s">
        <v>31</v>
      </c>
      <c r="AO41" s="30" t="s">
        <v>32</v>
      </c>
      <c r="AP41" s="108">
        <v>42736</v>
      </c>
      <c r="AQ41" s="108">
        <v>42767</v>
      </c>
      <c r="AR41" s="108">
        <v>42795</v>
      </c>
      <c r="AS41" s="108">
        <v>42826</v>
      </c>
      <c r="AT41" s="108">
        <v>42856</v>
      </c>
      <c r="AU41" s="108">
        <v>42887</v>
      </c>
      <c r="AV41" s="108">
        <v>42917</v>
      </c>
      <c r="AW41" s="108">
        <v>42948</v>
      </c>
      <c r="AX41" s="108">
        <v>42979</v>
      </c>
      <c r="AY41" s="108">
        <v>43009</v>
      </c>
      <c r="AZ41" s="108">
        <v>43040</v>
      </c>
      <c r="BA41" s="108">
        <v>43070</v>
      </c>
      <c r="BB41" s="29" t="s">
        <v>123</v>
      </c>
      <c r="BC41" s="29" t="s">
        <v>124</v>
      </c>
      <c r="BD41" s="29" t="s">
        <v>125</v>
      </c>
      <c r="BE41" s="29" t="s">
        <v>126</v>
      </c>
      <c r="BF41" s="29" t="str">
        <f>$BF$4</f>
        <v>YTD 7/17</v>
      </c>
      <c r="BG41" s="121">
        <v>42736</v>
      </c>
      <c r="BH41" s="108">
        <v>42767</v>
      </c>
      <c r="BI41" s="108">
        <v>42795</v>
      </c>
      <c r="BJ41" s="108">
        <v>42826</v>
      </c>
      <c r="BK41" s="108">
        <v>42856</v>
      </c>
      <c r="BL41" s="108">
        <v>42887</v>
      </c>
      <c r="BM41" s="108">
        <v>42917</v>
      </c>
      <c r="BN41" s="108">
        <v>42948</v>
      </c>
      <c r="BO41" s="108">
        <v>42979</v>
      </c>
      <c r="BP41" s="108">
        <v>43009</v>
      </c>
      <c r="BQ41" s="108">
        <v>43040</v>
      </c>
      <c r="BR41" s="108">
        <v>43070</v>
      </c>
      <c r="BS41" s="29" t="s">
        <v>127</v>
      </c>
      <c r="BT41" s="29" t="s">
        <v>128</v>
      </c>
      <c r="BU41" s="29" t="s">
        <v>96</v>
      </c>
      <c r="BV41" s="29" t="s">
        <v>129</v>
      </c>
      <c r="BW41" s="112" t="s">
        <v>130</v>
      </c>
    </row>
    <row r="42" spans="1:76" x14ac:dyDescent="0.25">
      <c r="A42" s="20" t="str">
        <f>$B$41&amp;"_by_rookie_GENLION:"&amp;TRIM(B42)</f>
        <v>Activity Ratio_by_rookie_GENLION:MDRT/ GEN Lion (from Apr '17)</v>
      </c>
      <c r="B42" t="s">
        <v>157</v>
      </c>
      <c r="C42" s="8" t="str">
        <f>IFERROR(C30/C18,"")</f>
        <v/>
      </c>
      <c r="D42" s="8" t="str">
        <f t="shared" ref="D42:N42" si="54">IFERROR(D30/D18,"")</f>
        <v/>
      </c>
      <c r="E42" s="8" t="str">
        <f t="shared" si="54"/>
        <v/>
      </c>
      <c r="F42" s="8" t="str">
        <f t="shared" si="54"/>
        <v/>
      </c>
      <c r="G42" s="8" t="str">
        <f t="shared" si="54"/>
        <v/>
      </c>
      <c r="H42" s="8" t="str">
        <f t="shared" si="54"/>
        <v/>
      </c>
      <c r="I42" s="8" t="str">
        <f t="shared" si="54"/>
        <v/>
      </c>
      <c r="J42" s="8" t="str">
        <f t="shared" si="54"/>
        <v/>
      </c>
      <c r="K42" s="8" t="str">
        <f t="shared" si="54"/>
        <v/>
      </c>
      <c r="L42" s="8" t="str">
        <f t="shared" si="54"/>
        <v/>
      </c>
      <c r="M42" s="8" t="str">
        <f t="shared" si="54"/>
        <v/>
      </c>
      <c r="N42" s="8" t="str">
        <f t="shared" si="54"/>
        <v/>
      </c>
      <c r="O42" s="8" t="e">
        <f t="shared" ref="O42:Z48" si="55">O30*2/SUM(N18:O18)</f>
        <v>#DIV/0!</v>
      </c>
      <c r="P42" s="8" t="e">
        <f t="shared" ref="P42:Z42" si="56">P30*2/SUM(O18:P18)</f>
        <v>#DIV/0!</v>
      </c>
      <c r="Q42" s="8" t="e">
        <f t="shared" si="56"/>
        <v>#DIV/0!</v>
      </c>
      <c r="R42" s="8" t="e">
        <f t="shared" si="56"/>
        <v>#DIV/0!</v>
      </c>
      <c r="S42" s="8" t="e">
        <f t="shared" si="56"/>
        <v>#DIV/0!</v>
      </c>
      <c r="T42" s="8" t="e">
        <f t="shared" si="56"/>
        <v>#DIV/0!</v>
      </c>
      <c r="U42" s="8" t="e">
        <f t="shared" si="56"/>
        <v>#DIV/0!</v>
      </c>
      <c r="V42" s="8" t="e">
        <f t="shared" si="56"/>
        <v>#DIV/0!</v>
      </c>
      <c r="W42" s="8" t="e">
        <f t="shared" si="56"/>
        <v>#DIV/0!</v>
      </c>
      <c r="X42" s="8" t="e">
        <f t="shared" si="56"/>
        <v>#DIV/0!</v>
      </c>
      <c r="Y42" s="8" t="e">
        <f t="shared" si="56"/>
        <v>#DIV/0!</v>
      </c>
      <c r="Z42" s="8" t="e">
        <f t="shared" si="56"/>
        <v>#DIV/0!</v>
      </c>
      <c r="AA42" s="139" t="e">
        <f>2*SUM(O30:INDEX(O30:Z30,$B$3))/(SUM(O18:INDEX(O18:Z18,$B$3))*2+N18-INDEX(O18:Z18,$B$3))</f>
        <v>#DIV/0!</v>
      </c>
      <c r="AB42" s="8" t="e">
        <f>AVERAGE(O42:Q42)</f>
        <v>#DIV/0!</v>
      </c>
      <c r="AC42" s="8" t="e">
        <f>2*SUM(R30:INDEX(R30:T30,$C$3))/(Q18+SUM(R18:INDEX(R18:T18,$C$3))*2-INDEX(R18:T18,$C$3))</f>
        <v>#DIV/0!</v>
      </c>
      <c r="AD42" s="8" t="str">
        <f t="shared" ref="AD42:AD50" si="57">IFERROR(AVERAGE(U42:W42),"")</f>
        <v/>
      </c>
      <c r="AE42" s="8" t="str">
        <f t="shared" ref="AE42:AE50" si="58">IFERROR(AVERAGE(X42:Z42),"")</f>
        <v/>
      </c>
      <c r="AF42" s="8" t="e">
        <f>AVERAGE(C42:INDEX(C42:N42,$B$3))</f>
        <v>#DIV/0!</v>
      </c>
      <c r="AG42" s="8" t="e">
        <f>AVERAGE(C42:E42)</f>
        <v>#DIV/0!</v>
      </c>
      <c r="AH42" s="8" t="e">
        <f>AVERAGE(F42:H42)</f>
        <v>#DIV/0!</v>
      </c>
      <c r="AI42" s="8" t="e">
        <f>AVERAGE(I42:K42)</f>
        <v>#DIV/0!</v>
      </c>
      <c r="AJ42" s="8" t="e">
        <f>AVERAGE(L42:N42)</f>
        <v>#DIV/0!</v>
      </c>
      <c r="AK42" s="31" t="e">
        <f>AA42/AF42-1</f>
        <v>#DIV/0!</v>
      </c>
      <c r="AL42" s="31" t="e">
        <f t="shared" ref="AL42:AO50" si="59">AB42/AG42-1</f>
        <v>#DIV/0!</v>
      </c>
      <c r="AM42" s="31" t="e">
        <f t="shared" si="59"/>
        <v>#DIV/0!</v>
      </c>
      <c r="AN42" s="31" t="e">
        <f t="shared" si="59"/>
        <v>#VALUE!</v>
      </c>
      <c r="AO42" s="31" t="e">
        <f t="shared" si="59"/>
        <v>#VALUE!</v>
      </c>
      <c r="AP42" s="8">
        <f t="shared" ref="AP42:AP48" si="60">IFERROR(AP30/AVERAGE(Z18,AP18),"")</f>
        <v>0.5670103092783505</v>
      </c>
      <c r="AQ42" s="8">
        <f t="shared" ref="AQ42:AV49" si="61">IFERROR(AQ30/AVERAGE(AP18,AQ18),"")</f>
        <v>0.67708333333333337</v>
      </c>
      <c r="AR42" s="8">
        <f t="shared" si="61"/>
        <v>0.76842105263157889</v>
      </c>
      <c r="AS42" s="8">
        <f t="shared" si="61"/>
        <v>0.86046511627906974</v>
      </c>
      <c r="AT42" s="8">
        <f t="shared" si="61"/>
        <v>0.60816326530612241</v>
      </c>
      <c r="AU42" s="8">
        <f t="shared" si="61"/>
        <v>0.59368421052631581</v>
      </c>
      <c r="AV42" s="8">
        <f t="shared" si="61"/>
        <v>0.50666666666666671</v>
      </c>
      <c r="BB42" s="8">
        <f>IFERROR(BB30/(AVERAGE(Z18,AP18)+AVERAGE(AP18,AQ18)+AVERAGE(AR18,AQ18)),"")</f>
        <v>0.67013888888888884</v>
      </c>
      <c r="BC42" s="8">
        <f>IFERROR(BC30*2/(AR18+2*SUM(AS18:INDEX(AS18:AU18,$C$3))-INDEX(AS18:AU18,$C$3)),"")</f>
        <v>2.5465116279069768</v>
      </c>
      <c r="BD42" s="8">
        <f>IFERROR(BD30*2/(AU18+2*SUM(AV18:INDEX(AV18:AX18,$C$3))-INDEX(AV18:AX18,$C$3)),"")</f>
        <v>0.50666666666666671</v>
      </c>
      <c r="BF42" s="8">
        <f>2*SUM(AP30:INDEX(AP30:BA30,$B$3))/(SUM(AP18:INDEX(AP18:BA18,$B$3))*2+Z18-INDEX(AP18:BA18,$B$3))</f>
        <v>0.66577301161751568</v>
      </c>
      <c r="BG42" s="122" t="e">
        <f t="shared" ref="BG42:BL50" si="62">AP42/O42</f>
        <v>#DIV/0!</v>
      </c>
      <c r="BH42" s="111" t="e">
        <f t="shared" si="62"/>
        <v>#DIV/0!</v>
      </c>
      <c r="BI42" s="111" t="e">
        <f t="shared" si="62"/>
        <v>#DIV/0!</v>
      </c>
      <c r="BJ42" s="111" t="e">
        <f t="shared" si="62"/>
        <v>#DIV/0!</v>
      </c>
      <c r="BK42" s="111" t="e">
        <f t="shared" si="62"/>
        <v>#DIV/0!</v>
      </c>
      <c r="BL42" s="111" t="e">
        <f t="shared" si="62"/>
        <v>#DIV/0!</v>
      </c>
      <c r="BM42" s="111"/>
      <c r="BN42" s="111"/>
      <c r="BO42" s="111"/>
      <c r="BP42" s="111"/>
      <c r="BQ42" s="111"/>
      <c r="BR42" s="111"/>
      <c r="BS42" s="111" t="e">
        <f>BB42/((O30+P30+Q30)/(SUM(N18,O18,O18,P18,P18,Q18)/2))</f>
        <v>#DIV/0!</v>
      </c>
      <c r="BT42" s="111" t="e">
        <f t="shared" ref="BT42:BV50" si="63">BC42/AC42</f>
        <v>#DIV/0!</v>
      </c>
      <c r="BU42" s="111" t="e">
        <f t="shared" si="63"/>
        <v>#VALUE!</v>
      </c>
      <c r="BV42" s="111" t="e">
        <f t="shared" si="63"/>
        <v>#VALUE!</v>
      </c>
      <c r="BW42" s="111" t="e">
        <f t="shared" ref="BW42:BW50" si="64">BF42/AA42</f>
        <v>#DIV/0!</v>
      </c>
      <c r="BX42" s="8"/>
    </row>
    <row r="43" spans="1:76" x14ac:dyDescent="0.25">
      <c r="A43" s="20" t="str">
        <f t="shared" ref="A43:A50" si="65">$B$41&amp;"_by_rookie_GENLION:"&amp;TRIM(B43)</f>
        <v>Activity Ratio_by_rookie_GENLION:Rookie in month</v>
      </c>
      <c r="B43" t="s">
        <v>5</v>
      </c>
      <c r="C43" s="8" t="str">
        <f t="shared" ref="C43:N48" si="66">IFERROR(C31/C19,"")</f>
        <v/>
      </c>
      <c r="D43" s="8" t="str">
        <f t="shared" si="66"/>
        <v/>
      </c>
      <c r="E43" s="8" t="str">
        <f t="shared" si="66"/>
        <v/>
      </c>
      <c r="F43" s="8" t="str">
        <f t="shared" si="66"/>
        <v/>
      </c>
      <c r="G43" s="8" t="str">
        <f t="shared" si="66"/>
        <v/>
      </c>
      <c r="H43" s="8" t="str">
        <f t="shared" si="66"/>
        <v/>
      </c>
      <c r="I43" s="8" t="str">
        <f t="shared" si="66"/>
        <v/>
      </c>
      <c r="J43" s="8" t="str">
        <f t="shared" si="66"/>
        <v/>
      </c>
      <c r="K43" s="8" t="str">
        <f t="shared" si="66"/>
        <v/>
      </c>
      <c r="L43" s="8" t="str">
        <f t="shared" si="66"/>
        <v/>
      </c>
      <c r="M43" s="8" t="str">
        <f t="shared" si="66"/>
        <v/>
      </c>
      <c r="N43" s="8" t="str">
        <f t="shared" si="66"/>
        <v/>
      </c>
      <c r="O43" s="8" t="e">
        <f t="shared" si="55"/>
        <v>#DIV/0!</v>
      </c>
      <c r="P43" s="8" t="e">
        <f t="shared" si="55"/>
        <v>#DIV/0!</v>
      </c>
      <c r="Q43" s="8" t="e">
        <f t="shared" si="55"/>
        <v>#DIV/0!</v>
      </c>
      <c r="R43" s="8" t="e">
        <f t="shared" si="55"/>
        <v>#DIV/0!</v>
      </c>
      <c r="S43" s="8" t="e">
        <f t="shared" si="55"/>
        <v>#DIV/0!</v>
      </c>
      <c r="T43" s="8" t="e">
        <f t="shared" si="55"/>
        <v>#DIV/0!</v>
      </c>
      <c r="U43" s="8" t="e">
        <f t="shared" si="55"/>
        <v>#DIV/0!</v>
      </c>
      <c r="V43" s="8" t="e">
        <f t="shared" si="55"/>
        <v>#DIV/0!</v>
      </c>
      <c r="W43" s="8" t="e">
        <f t="shared" si="55"/>
        <v>#DIV/0!</v>
      </c>
      <c r="X43" s="8" t="e">
        <f t="shared" si="55"/>
        <v>#DIV/0!</v>
      </c>
      <c r="Y43" s="8" t="e">
        <f t="shared" si="55"/>
        <v>#DIV/0!</v>
      </c>
      <c r="Z43" s="8" t="e">
        <f t="shared" si="55"/>
        <v>#DIV/0!</v>
      </c>
      <c r="AA43" s="139" t="e">
        <f>2*SUM(O31:INDEX(O31:Z31,$B$3))/(SUM(O19:INDEX(O19:Z19,$B$3))*2+N19-INDEX(O19:Z19,$B$3))</f>
        <v>#DIV/0!</v>
      </c>
      <c r="AB43" s="8" t="e">
        <f t="shared" ref="AB43:AB50" si="67">AVERAGE(O43:Q43)</f>
        <v>#DIV/0!</v>
      </c>
      <c r="AC43" s="8" t="e">
        <f>2*SUM(R31:INDEX(R31:T31,$C$3))/(Q19+SUM(R19:INDEX(R19:T19,$C$3))*2-INDEX(R19:T19,$C$3))</f>
        <v>#DIV/0!</v>
      </c>
      <c r="AD43" s="8" t="str">
        <f t="shared" si="57"/>
        <v/>
      </c>
      <c r="AE43" s="8" t="str">
        <f t="shared" si="58"/>
        <v/>
      </c>
      <c r="AF43" s="8" t="e">
        <f>AVERAGE(C43:INDEX(C43:N43,$B$3))</f>
        <v>#DIV/0!</v>
      </c>
      <c r="AG43" s="8" t="e">
        <f t="shared" ref="AG43:AG50" si="68">AVERAGE(C43:E43)</f>
        <v>#DIV/0!</v>
      </c>
      <c r="AH43" s="8" t="e">
        <f t="shared" ref="AH43:AH50" si="69">AVERAGE(F43:H43)</f>
        <v>#DIV/0!</v>
      </c>
      <c r="AI43" s="8" t="e">
        <f t="shared" ref="AI43:AI50" si="70">AVERAGE(I43:K43)</f>
        <v>#DIV/0!</v>
      </c>
      <c r="AJ43" s="8" t="e">
        <f t="shared" ref="AJ43:AJ50" si="71">AVERAGE(L43:N43)</f>
        <v>#DIV/0!</v>
      </c>
      <c r="AK43" s="31" t="e">
        <f t="shared" ref="AK43:AK50" si="72">AA43/AF43-1</f>
        <v>#DIV/0!</v>
      </c>
      <c r="AL43" s="31" t="e">
        <f t="shared" si="59"/>
        <v>#DIV/0!</v>
      </c>
      <c r="AM43" s="31" t="e">
        <f t="shared" si="59"/>
        <v>#DIV/0!</v>
      </c>
      <c r="AN43" s="31" t="e">
        <f t="shared" si="59"/>
        <v>#VALUE!</v>
      </c>
      <c r="AO43" s="31" t="e">
        <f t="shared" si="59"/>
        <v>#VALUE!</v>
      </c>
      <c r="AP43" s="8">
        <f t="shared" si="60"/>
        <v>0.24867724867724866</v>
      </c>
      <c r="AQ43" s="8">
        <f t="shared" si="61"/>
        <v>0.42957746478873238</v>
      </c>
      <c r="AR43" s="8">
        <f t="shared" si="61"/>
        <v>0.39448275862068966</v>
      </c>
      <c r="AS43" s="8">
        <f t="shared" si="61"/>
        <v>0.4503937007874016</v>
      </c>
      <c r="AT43" s="8">
        <f t="shared" si="61"/>
        <v>0.48427672955974843</v>
      </c>
      <c r="AU43" s="8">
        <f t="shared" si="61"/>
        <v>0.55319148936170215</v>
      </c>
      <c r="AV43" s="8">
        <f t="shared" si="61"/>
        <v>0.41722745625841184</v>
      </c>
      <c r="BB43" s="8">
        <f t="shared" ref="BB43:BB44" si="73">IFERROR(BB31/(AVERAGE(Z19,AP19)+AVERAGE(AP19,AQ19)+AVERAGE(AR19,AQ19)),"")</f>
        <v>0.3734290843806104</v>
      </c>
      <c r="BC43" s="8">
        <f>IFERROR(BC31*2/(AR19+2*SUM(AS19:INDEX(AS19:AU19,$C$3))-INDEX(AS19:AU19,$C$3)),"")</f>
        <v>1.5905511811023623</v>
      </c>
      <c r="BD43" s="8">
        <f>IFERROR(BD31*2/(AU19+2*SUM(AV19:INDEX(AV19:AX19,$C$3))-INDEX(AV19:AX19,$C$3)),"")</f>
        <v>0.41722745625841184</v>
      </c>
      <c r="BF43" s="8">
        <f>2*SUM(AP31:INDEX(AP31:BA31,$B$3))/(SUM(AP19:INDEX(AP19:BA19,$B$3))*2+Z19-INDEX(AP19:BA19,$B$3))</f>
        <v>0.4576271186440678</v>
      </c>
      <c r="BG43" s="122" t="e">
        <f t="shared" si="62"/>
        <v>#DIV/0!</v>
      </c>
      <c r="BH43" s="111" t="e">
        <f t="shared" si="62"/>
        <v>#DIV/0!</v>
      </c>
      <c r="BI43" s="111" t="e">
        <f t="shared" si="62"/>
        <v>#DIV/0!</v>
      </c>
      <c r="BJ43" s="111" t="e">
        <f t="shared" si="62"/>
        <v>#DIV/0!</v>
      </c>
      <c r="BK43" s="111" t="e">
        <f t="shared" si="62"/>
        <v>#DIV/0!</v>
      </c>
      <c r="BL43" s="111" t="e">
        <f t="shared" si="62"/>
        <v>#DIV/0!</v>
      </c>
      <c r="BM43" s="111"/>
      <c r="BN43" s="111"/>
      <c r="BO43" s="111"/>
      <c r="BP43" s="111"/>
      <c r="BQ43" s="111"/>
      <c r="BR43" s="111"/>
      <c r="BS43" s="111" t="e">
        <f t="shared" ref="BS43:BS48" si="74">BB43/((O31+P31+Q31)/(SUM(N19,O19,O19,P19,P19,Q19)/2))</f>
        <v>#DIV/0!</v>
      </c>
      <c r="BT43" s="111" t="e">
        <f t="shared" si="63"/>
        <v>#DIV/0!</v>
      </c>
      <c r="BU43" s="111" t="e">
        <f t="shared" si="63"/>
        <v>#VALUE!</v>
      </c>
      <c r="BV43" s="111" t="e">
        <f t="shared" si="63"/>
        <v>#VALUE!</v>
      </c>
      <c r="BW43" s="111" t="e">
        <f t="shared" si="64"/>
        <v>#DIV/0!</v>
      </c>
      <c r="BX43" s="8"/>
    </row>
    <row r="44" spans="1:76" x14ac:dyDescent="0.25">
      <c r="A44" s="20" t="str">
        <f t="shared" si="65"/>
        <v>Activity Ratio_by_rookie_GENLION:Rookie last month</v>
      </c>
      <c r="B44" t="s">
        <v>6</v>
      </c>
      <c r="C44" s="8" t="str">
        <f t="shared" si="66"/>
        <v/>
      </c>
      <c r="D44" s="8" t="str">
        <f t="shared" si="66"/>
        <v/>
      </c>
      <c r="E44" s="8" t="str">
        <f t="shared" si="66"/>
        <v/>
      </c>
      <c r="F44" s="8" t="str">
        <f t="shared" si="66"/>
        <v/>
      </c>
      <c r="G44" s="8" t="str">
        <f t="shared" si="66"/>
        <v/>
      </c>
      <c r="H44" s="8" t="str">
        <f t="shared" si="66"/>
        <v/>
      </c>
      <c r="I44" s="8" t="str">
        <f t="shared" si="66"/>
        <v/>
      </c>
      <c r="J44" s="8" t="str">
        <f t="shared" si="66"/>
        <v/>
      </c>
      <c r="K44" s="8" t="str">
        <f t="shared" si="66"/>
        <v/>
      </c>
      <c r="L44" s="8" t="str">
        <f t="shared" si="66"/>
        <v/>
      </c>
      <c r="M44" s="8" t="str">
        <f t="shared" si="66"/>
        <v/>
      </c>
      <c r="N44" s="8" t="str">
        <f t="shared" si="66"/>
        <v/>
      </c>
      <c r="O44" s="8" t="e">
        <f t="shared" si="55"/>
        <v>#DIV/0!</v>
      </c>
      <c r="P44" s="8" t="e">
        <f t="shared" si="55"/>
        <v>#DIV/0!</v>
      </c>
      <c r="Q44" s="8" t="e">
        <f t="shared" si="55"/>
        <v>#DIV/0!</v>
      </c>
      <c r="R44" s="8" t="e">
        <f t="shared" si="55"/>
        <v>#DIV/0!</v>
      </c>
      <c r="S44" s="8" t="e">
        <f t="shared" si="55"/>
        <v>#DIV/0!</v>
      </c>
      <c r="T44" s="8" t="e">
        <f t="shared" si="55"/>
        <v>#DIV/0!</v>
      </c>
      <c r="U44" s="8" t="e">
        <f t="shared" si="55"/>
        <v>#DIV/0!</v>
      </c>
      <c r="V44" s="8" t="e">
        <f t="shared" si="55"/>
        <v>#DIV/0!</v>
      </c>
      <c r="W44" s="8" t="e">
        <f t="shared" si="55"/>
        <v>#DIV/0!</v>
      </c>
      <c r="X44" s="8" t="e">
        <f t="shared" si="55"/>
        <v>#DIV/0!</v>
      </c>
      <c r="Y44" s="8" t="e">
        <f t="shared" si="55"/>
        <v>#DIV/0!</v>
      </c>
      <c r="Z44" s="8" t="e">
        <f t="shared" si="55"/>
        <v>#DIV/0!</v>
      </c>
      <c r="AA44" s="139" t="e">
        <f>2*SUM(O32:INDEX(O32:Z32,$B$3))/(SUM(O20:INDEX(O20:Z20,$B$3))*2+N20-INDEX(O20:Z20,$B$3))</f>
        <v>#DIV/0!</v>
      </c>
      <c r="AB44" s="8" t="e">
        <f t="shared" si="67"/>
        <v>#DIV/0!</v>
      </c>
      <c r="AC44" s="8" t="e">
        <f>2*SUM(R32:INDEX(R32:T32,$C$3))/(Q20+SUM(R20:INDEX(R20:T20,$C$3))*2-INDEX(R20:T20,$C$3))</f>
        <v>#DIV/0!</v>
      </c>
      <c r="AD44" s="8" t="str">
        <f t="shared" si="57"/>
        <v/>
      </c>
      <c r="AE44" s="8" t="str">
        <f t="shared" si="58"/>
        <v/>
      </c>
      <c r="AF44" s="8" t="e">
        <f>AVERAGE(C44:INDEX(C44:N44,$B$3))</f>
        <v>#DIV/0!</v>
      </c>
      <c r="AG44" s="8" t="e">
        <f t="shared" si="68"/>
        <v>#DIV/0!</v>
      </c>
      <c r="AH44" s="8" t="e">
        <f t="shared" si="69"/>
        <v>#DIV/0!</v>
      </c>
      <c r="AI44" s="8" t="e">
        <f t="shared" si="70"/>
        <v>#DIV/0!</v>
      </c>
      <c r="AJ44" s="8" t="e">
        <f t="shared" si="71"/>
        <v>#DIV/0!</v>
      </c>
      <c r="AK44" s="31" t="e">
        <f t="shared" si="72"/>
        <v>#DIV/0!</v>
      </c>
      <c r="AL44" s="31" t="e">
        <f t="shared" si="59"/>
        <v>#DIV/0!</v>
      </c>
      <c r="AM44" s="31" t="e">
        <f t="shared" si="59"/>
        <v>#DIV/0!</v>
      </c>
      <c r="AN44" s="31" t="e">
        <f t="shared" si="59"/>
        <v>#VALUE!</v>
      </c>
      <c r="AO44" s="31" t="e">
        <f t="shared" si="59"/>
        <v>#VALUE!</v>
      </c>
      <c r="AP44" s="8">
        <f t="shared" si="60"/>
        <v>0.14511873350923482</v>
      </c>
      <c r="AQ44" s="8">
        <f t="shared" si="61"/>
        <v>0.1619718309859155</v>
      </c>
      <c r="AR44" s="8">
        <f t="shared" si="61"/>
        <v>0.33450704225352113</v>
      </c>
      <c r="AS44" s="8">
        <f t="shared" si="61"/>
        <v>0.21142857142857144</v>
      </c>
      <c r="AT44" s="8">
        <f t="shared" si="61"/>
        <v>0.25041186161449752</v>
      </c>
      <c r="AU44" s="8">
        <f t="shared" si="61"/>
        <v>0.28852459016393445</v>
      </c>
      <c r="AV44" s="8">
        <f t="shared" si="61"/>
        <v>0.17427385892116182</v>
      </c>
      <c r="BB44" s="8">
        <f t="shared" si="73"/>
        <v>0.20696937697993664</v>
      </c>
      <c r="BC44" s="8">
        <f>IFERROR(BC32*2/(AR20+2*SUM(AS20:INDEX(AS20:AU20,$C$3))-INDEX(AS20:AU20,$C$3)),"")</f>
        <v>0.68</v>
      </c>
      <c r="BD44" s="8">
        <f>IFERROR(BD32*2/(AU20+2*SUM(AV20:INDEX(AV20:AX20,$C$3))-INDEX(AV20:AX20,$C$3)),"")</f>
        <v>0.17427385892116182</v>
      </c>
      <c r="BF44" s="8">
        <f>2*SUM(AP32:INDEX(AP32:BA32,$B$3))/(SUM(AP20:INDEX(AP20:BA20,$B$3))*2+Z20-INDEX(AP20:BA20,$B$3))</f>
        <v>0.23922984356197352</v>
      </c>
      <c r="BG44" s="122" t="e">
        <f t="shared" si="62"/>
        <v>#DIV/0!</v>
      </c>
      <c r="BH44" s="111" t="e">
        <f t="shared" si="62"/>
        <v>#DIV/0!</v>
      </c>
      <c r="BI44" s="111" t="e">
        <f t="shared" si="62"/>
        <v>#DIV/0!</v>
      </c>
      <c r="BJ44" s="111" t="e">
        <f t="shared" si="62"/>
        <v>#DIV/0!</v>
      </c>
      <c r="BK44" s="111" t="e">
        <f t="shared" si="62"/>
        <v>#DIV/0!</v>
      </c>
      <c r="BL44" s="111" t="e">
        <f t="shared" si="62"/>
        <v>#DIV/0!</v>
      </c>
      <c r="BM44" s="111"/>
      <c r="BN44" s="111"/>
      <c r="BO44" s="111"/>
      <c r="BP44" s="111"/>
      <c r="BQ44" s="111"/>
      <c r="BR44" s="111"/>
      <c r="BS44" s="111" t="e">
        <f t="shared" si="74"/>
        <v>#DIV/0!</v>
      </c>
      <c r="BT44" s="111" t="e">
        <f t="shared" si="63"/>
        <v>#DIV/0!</v>
      </c>
      <c r="BU44" s="111" t="e">
        <f t="shared" si="63"/>
        <v>#VALUE!</v>
      </c>
      <c r="BV44" s="111" t="e">
        <f t="shared" si="63"/>
        <v>#VALUE!</v>
      </c>
      <c r="BW44" s="111" t="e">
        <f t="shared" si="64"/>
        <v>#DIV/0!</v>
      </c>
      <c r="BX44" s="8"/>
    </row>
    <row r="45" spans="1:76" x14ac:dyDescent="0.25">
      <c r="A45" s="20" t="str">
        <f t="shared" si="65"/>
        <v>Activity Ratio_by_rookie_GENLION:2-3 months</v>
      </c>
      <c r="B45" t="s">
        <v>7</v>
      </c>
      <c r="C45" s="8" t="str">
        <f t="shared" si="66"/>
        <v/>
      </c>
      <c r="D45" s="8" t="str">
        <f t="shared" si="66"/>
        <v/>
      </c>
      <c r="E45" s="8" t="str">
        <f t="shared" si="66"/>
        <v/>
      </c>
      <c r="F45" s="8" t="str">
        <f t="shared" si="66"/>
        <v/>
      </c>
      <c r="G45" s="8" t="str">
        <f t="shared" si="66"/>
        <v/>
      </c>
      <c r="H45" s="8" t="str">
        <f t="shared" si="66"/>
        <v/>
      </c>
      <c r="I45" s="8" t="str">
        <f t="shared" si="66"/>
        <v/>
      </c>
      <c r="J45" s="8" t="str">
        <f t="shared" si="66"/>
        <v/>
      </c>
      <c r="K45" s="8" t="str">
        <f t="shared" si="66"/>
        <v/>
      </c>
      <c r="L45" s="8" t="str">
        <f t="shared" si="66"/>
        <v/>
      </c>
      <c r="M45" s="8" t="str">
        <f t="shared" si="66"/>
        <v/>
      </c>
      <c r="N45" s="8" t="str">
        <f t="shared" si="66"/>
        <v/>
      </c>
      <c r="O45" s="8" t="e">
        <f t="shared" si="55"/>
        <v>#DIV/0!</v>
      </c>
      <c r="P45" s="8" t="e">
        <f t="shared" si="55"/>
        <v>#DIV/0!</v>
      </c>
      <c r="Q45" s="8" t="e">
        <f t="shared" si="55"/>
        <v>#DIV/0!</v>
      </c>
      <c r="R45" s="8" t="e">
        <f t="shared" si="55"/>
        <v>#DIV/0!</v>
      </c>
      <c r="S45" s="8" t="e">
        <f t="shared" si="55"/>
        <v>#DIV/0!</v>
      </c>
      <c r="T45" s="8" t="e">
        <f t="shared" si="55"/>
        <v>#DIV/0!</v>
      </c>
      <c r="U45" s="8" t="e">
        <f t="shared" si="55"/>
        <v>#DIV/0!</v>
      </c>
      <c r="V45" s="8" t="e">
        <f t="shared" si="55"/>
        <v>#DIV/0!</v>
      </c>
      <c r="W45" s="8" t="e">
        <f t="shared" si="55"/>
        <v>#DIV/0!</v>
      </c>
      <c r="X45" s="8" t="e">
        <f t="shared" si="55"/>
        <v>#DIV/0!</v>
      </c>
      <c r="Y45" s="8" t="e">
        <f t="shared" si="55"/>
        <v>#DIV/0!</v>
      </c>
      <c r="Z45" s="8" t="e">
        <f t="shared" si="55"/>
        <v>#DIV/0!</v>
      </c>
      <c r="AA45" s="139" t="e">
        <f>2*SUM(O33:INDEX(O33:Z33,$B$3))/(SUM(O21:INDEX(O21:Z21,$B$3))*2+N21-INDEX(O21:Z21,$B$3))</f>
        <v>#DIV/0!</v>
      </c>
      <c r="AB45" s="8" t="e">
        <f t="shared" si="67"/>
        <v>#DIV/0!</v>
      </c>
      <c r="AC45" s="8" t="e">
        <f>2*SUM(R33:INDEX(R33:T33,$C$3))/(Q21+SUM(R21:INDEX(R21:T21,$C$3))*2-INDEX(R21:T21,$C$3))</f>
        <v>#DIV/0!</v>
      </c>
      <c r="AD45" s="8" t="str">
        <f t="shared" si="57"/>
        <v/>
      </c>
      <c r="AE45" s="8" t="str">
        <f t="shared" si="58"/>
        <v/>
      </c>
      <c r="AF45" s="8" t="e">
        <f>AVERAGE(C45:INDEX(C45:N45,$B$3))</f>
        <v>#DIV/0!</v>
      </c>
      <c r="AG45" s="8" t="e">
        <f t="shared" si="68"/>
        <v>#DIV/0!</v>
      </c>
      <c r="AH45" s="8" t="e">
        <f t="shared" si="69"/>
        <v>#DIV/0!</v>
      </c>
      <c r="AI45" s="8" t="e">
        <f t="shared" si="70"/>
        <v>#DIV/0!</v>
      </c>
      <c r="AJ45" s="8" t="e">
        <f t="shared" si="71"/>
        <v>#DIV/0!</v>
      </c>
      <c r="AK45" s="31" t="e">
        <f t="shared" si="72"/>
        <v>#DIV/0!</v>
      </c>
      <c r="AL45" s="31" t="e">
        <f t="shared" si="59"/>
        <v>#DIV/0!</v>
      </c>
      <c r="AM45" s="31" t="e">
        <f t="shared" si="59"/>
        <v>#DIV/0!</v>
      </c>
      <c r="AN45" s="31" t="e">
        <f t="shared" si="59"/>
        <v>#VALUE!</v>
      </c>
      <c r="AO45" s="31" t="e">
        <f t="shared" si="59"/>
        <v>#VALUE!</v>
      </c>
      <c r="AP45" s="8">
        <f t="shared" si="60"/>
        <v>0.1276595744680851</v>
      </c>
      <c r="AQ45" s="8">
        <f t="shared" si="61"/>
        <v>0.17613636363636365</v>
      </c>
      <c r="AR45" s="8">
        <f t="shared" si="61"/>
        <v>0.13272311212814644</v>
      </c>
      <c r="AS45" s="8">
        <f t="shared" si="61"/>
        <v>0.12441968430826369</v>
      </c>
      <c r="AT45" s="8">
        <f t="shared" si="61"/>
        <v>0.13659359190556492</v>
      </c>
      <c r="AU45" s="8">
        <f t="shared" si="61"/>
        <v>0.13771016813450759</v>
      </c>
      <c r="AV45" s="8">
        <f t="shared" si="61"/>
        <v>0.1381118881118881</v>
      </c>
      <c r="BB45" s="8">
        <f>IFERROR(BB33/(AVERAGE(Z21,AP21)+AVERAGE(AP21,AQ21)+AVERAGE(AR21,AQ21)),"")</f>
        <v>0.14622057001239158</v>
      </c>
      <c r="BC45" s="8">
        <f>IFERROR(BC33*2/(AR21+2*SUM(AS21:INDEX(AS21:AU21,$C$3))-INDEX(AS21:AU21,$C$3)),"")</f>
        <v>0.43454038997214484</v>
      </c>
      <c r="BD45" s="8">
        <f>IFERROR(BD33*2/(AU21+2*SUM(AV21:INDEX(AV21:AX21,$C$3))-INDEX(AV21:AX21,$C$3)),"")</f>
        <v>0.1381118881118881</v>
      </c>
      <c r="BF45" s="8">
        <f>2*SUM(AP33:INDEX(AP33:BA33,$B$3))/(SUM(AP21:INDEX(AP21:BA21,$B$3))*2+Z21-INDEX(AP21:BA21,$B$3))</f>
        <v>0.15137557575003113</v>
      </c>
      <c r="BG45" s="122" t="e">
        <f t="shared" si="62"/>
        <v>#DIV/0!</v>
      </c>
      <c r="BH45" s="111" t="e">
        <f t="shared" si="62"/>
        <v>#DIV/0!</v>
      </c>
      <c r="BI45" s="111" t="e">
        <f t="shared" si="62"/>
        <v>#DIV/0!</v>
      </c>
      <c r="BJ45" s="111" t="e">
        <f t="shared" si="62"/>
        <v>#DIV/0!</v>
      </c>
      <c r="BK45" s="111" t="e">
        <f t="shared" si="62"/>
        <v>#DIV/0!</v>
      </c>
      <c r="BL45" s="111" t="e">
        <f t="shared" si="62"/>
        <v>#DIV/0!</v>
      </c>
      <c r="BM45" s="111"/>
      <c r="BN45" s="111"/>
      <c r="BO45" s="111"/>
      <c r="BP45" s="111"/>
      <c r="BQ45" s="111"/>
      <c r="BR45" s="111"/>
      <c r="BS45" s="111" t="e">
        <f t="shared" si="74"/>
        <v>#DIV/0!</v>
      </c>
      <c r="BT45" s="111" t="e">
        <f t="shared" si="63"/>
        <v>#DIV/0!</v>
      </c>
      <c r="BU45" s="111" t="e">
        <f t="shared" si="63"/>
        <v>#VALUE!</v>
      </c>
      <c r="BV45" s="111" t="e">
        <f t="shared" si="63"/>
        <v>#VALUE!</v>
      </c>
      <c r="BW45" s="111" t="e">
        <f t="shared" si="64"/>
        <v>#DIV/0!</v>
      </c>
      <c r="BX45" s="8"/>
    </row>
    <row r="46" spans="1:76" x14ac:dyDescent="0.25">
      <c r="A46" s="20" t="str">
        <f t="shared" si="65"/>
        <v>Activity Ratio_by_rookie_GENLION:4 - 6 mths</v>
      </c>
      <c r="B46" t="s">
        <v>8</v>
      </c>
      <c r="C46" s="8" t="str">
        <f t="shared" si="66"/>
        <v/>
      </c>
      <c r="D46" s="8" t="str">
        <f t="shared" si="66"/>
        <v/>
      </c>
      <c r="E46" s="8" t="str">
        <f t="shared" si="66"/>
        <v/>
      </c>
      <c r="F46" s="8" t="str">
        <f t="shared" si="66"/>
        <v/>
      </c>
      <c r="G46" s="8" t="str">
        <f t="shared" si="66"/>
        <v/>
      </c>
      <c r="H46" s="8" t="str">
        <f t="shared" si="66"/>
        <v/>
      </c>
      <c r="I46" s="8" t="str">
        <f t="shared" si="66"/>
        <v/>
      </c>
      <c r="J46" s="8" t="str">
        <f t="shared" si="66"/>
        <v/>
      </c>
      <c r="K46" s="8" t="str">
        <f t="shared" si="66"/>
        <v/>
      </c>
      <c r="L46" s="8" t="str">
        <f t="shared" si="66"/>
        <v/>
      </c>
      <c r="M46" s="8" t="str">
        <f t="shared" si="66"/>
        <v/>
      </c>
      <c r="N46" s="8" t="str">
        <f t="shared" si="66"/>
        <v/>
      </c>
      <c r="O46" s="8" t="e">
        <f t="shared" si="55"/>
        <v>#DIV/0!</v>
      </c>
      <c r="P46" s="8" t="e">
        <f t="shared" si="55"/>
        <v>#DIV/0!</v>
      </c>
      <c r="Q46" s="8" t="e">
        <f t="shared" si="55"/>
        <v>#DIV/0!</v>
      </c>
      <c r="R46" s="8" t="e">
        <f t="shared" si="55"/>
        <v>#DIV/0!</v>
      </c>
      <c r="S46" s="8" t="e">
        <f t="shared" si="55"/>
        <v>#DIV/0!</v>
      </c>
      <c r="T46" s="8" t="e">
        <f t="shared" si="55"/>
        <v>#DIV/0!</v>
      </c>
      <c r="U46" s="8" t="e">
        <f t="shared" si="55"/>
        <v>#DIV/0!</v>
      </c>
      <c r="V46" s="8" t="e">
        <f t="shared" si="55"/>
        <v>#DIV/0!</v>
      </c>
      <c r="W46" s="8" t="e">
        <f t="shared" si="55"/>
        <v>#DIV/0!</v>
      </c>
      <c r="X46" s="8" t="e">
        <f t="shared" si="55"/>
        <v>#DIV/0!</v>
      </c>
      <c r="Y46" s="8" t="e">
        <f t="shared" si="55"/>
        <v>#DIV/0!</v>
      </c>
      <c r="Z46" s="8" t="e">
        <f t="shared" si="55"/>
        <v>#DIV/0!</v>
      </c>
      <c r="AA46" s="139" t="e">
        <f>2*SUM(O34:INDEX(O34:Z34,$B$3))/(SUM(O22:INDEX(O22:Z22,$B$3))*2+N22-INDEX(O22:Z22,$B$3))</f>
        <v>#DIV/0!</v>
      </c>
      <c r="AB46" s="8" t="e">
        <f t="shared" si="67"/>
        <v>#DIV/0!</v>
      </c>
      <c r="AC46" s="8" t="e">
        <f>2*SUM(R34:INDEX(R34:T34,$C$3))/(Q22+SUM(R22:INDEX(R22:T22,$C$3))*2-INDEX(R22:T22,$C$3))</f>
        <v>#DIV/0!</v>
      </c>
      <c r="AD46" s="8" t="str">
        <f t="shared" si="57"/>
        <v/>
      </c>
      <c r="AE46" s="8" t="str">
        <f t="shared" si="58"/>
        <v/>
      </c>
      <c r="AF46" s="8" t="e">
        <f>AVERAGE(C46:INDEX(C46:N46,$B$3))</f>
        <v>#DIV/0!</v>
      </c>
      <c r="AG46" s="8" t="e">
        <f t="shared" si="68"/>
        <v>#DIV/0!</v>
      </c>
      <c r="AH46" s="8" t="e">
        <f t="shared" si="69"/>
        <v>#DIV/0!</v>
      </c>
      <c r="AI46" s="8" t="e">
        <f t="shared" si="70"/>
        <v>#DIV/0!</v>
      </c>
      <c r="AJ46" s="8" t="e">
        <f t="shared" si="71"/>
        <v>#DIV/0!</v>
      </c>
      <c r="AK46" s="31" t="e">
        <f t="shared" si="72"/>
        <v>#DIV/0!</v>
      </c>
      <c r="AL46" s="31" t="e">
        <f t="shared" si="59"/>
        <v>#DIV/0!</v>
      </c>
      <c r="AM46" s="31" t="e">
        <f t="shared" si="59"/>
        <v>#DIV/0!</v>
      </c>
      <c r="AN46" s="31" t="e">
        <f t="shared" si="59"/>
        <v>#VALUE!</v>
      </c>
      <c r="AO46" s="31" t="e">
        <f t="shared" si="59"/>
        <v>#VALUE!</v>
      </c>
      <c r="AP46" s="8">
        <f t="shared" si="60"/>
        <v>7.2824156305506219E-2</v>
      </c>
      <c r="AQ46" s="8">
        <f t="shared" si="61"/>
        <v>0.17279046673286991</v>
      </c>
      <c r="AR46" s="8">
        <f t="shared" si="61"/>
        <v>0.32</v>
      </c>
      <c r="AS46" s="8">
        <f t="shared" si="61"/>
        <v>0.1152073732718894</v>
      </c>
      <c r="AT46" s="8">
        <f t="shared" si="61"/>
        <v>0.11470588235294117</v>
      </c>
      <c r="AU46" s="8">
        <f t="shared" si="61"/>
        <v>0.12671232876712329</v>
      </c>
      <c r="AV46" s="8">
        <f t="shared" si="61"/>
        <v>0.16304347826086957</v>
      </c>
      <c r="BB46" s="8">
        <f t="shared" ref="BB46:BB48" si="75">IFERROR(BB34/(AVERAGE(Z22,AP22)+AVERAGE(AP22,AQ22)+AVERAGE(AR22,AQ22)),"")</f>
        <v>0.18051013734466972</v>
      </c>
      <c r="BC46" s="8">
        <f>IFERROR(BC34*2/(AR22+2*SUM(AS22:INDEX(AS22:AU22,$C$3))-INDEX(AS22:AU22,$C$3)),"")</f>
        <v>0.29032258064516131</v>
      </c>
      <c r="BD46" s="8">
        <f>IFERROR(BD34*2/(AU22+2*SUM(AV22:INDEX(AV22:AX22,$C$3))-INDEX(AV22:AX22,$C$3)),"")</f>
        <v>0.16304347826086957</v>
      </c>
      <c r="BF46" s="8">
        <f>2*SUM(AP34:INDEX(AP34:BA34,$B$3))/(SUM(AP22:INDEX(AP22:BA22,$B$3))*2+Z22-INDEX(AP22:BA22,$B$3))</f>
        <v>0.17262019694921799</v>
      </c>
      <c r="BG46" s="122" t="e">
        <f t="shared" si="62"/>
        <v>#DIV/0!</v>
      </c>
      <c r="BH46" s="111" t="e">
        <f t="shared" si="62"/>
        <v>#DIV/0!</v>
      </c>
      <c r="BI46" s="111" t="e">
        <f t="shared" si="62"/>
        <v>#DIV/0!</v>
      </c>
      <c r="BJ46" s="111" t="e">
        <f t="shared" si="62"/>
        <v>#DIV/0!</v>
      </c>
      <c r="BK46" s="111" t="e">
        <f t="shared" si="62"/>
        <v>#DIV/0!</v>
      </c>
      <c r="BL46" s="111" t="e">
        <f t="shared" si="62"/>
        <v>#DIV/0!</v>
      </c>
      <c r="BM46" s="111"/>
      <c r="BN46" s="111"/>
      <c r="BO46" s="111"/>
      <c r="BP46" s="111"/>
      <c r="BQ46" s="111"/>
      <c r="BR46" s="111"/>
      <c r="BS46" s="111" t="e">
        <f t="shared" si="74"/>
        <v>#DIV/0!</v>
      </c>
      <c r="BT46" s="111" t="e">
        <f t="shared" si="63"/>
        <v>#DIV/0!</v>
      </c>
      <c r="BU46" s="111" t="e">
        <f t="shared" si="63"/>
        <v>#VALUE!</v>
      </c>
      <c r="BV46" s="111" t="e">
        <f t="shared" si="63"/>
        <v>#VALUE!</v>
      </c>
      <c r="BW46" s="111" t="e">
        <f t="shared" si="64"/>
        <v>#DIV/0!</v>
      </c>
      <c r="BX46" s="8"/>
    </row>
    <row r="47" spans="1:76" x14ac:dyDescent="0.25">
      <c r="A47" s="20" t="str">
        <f t="shared" si="65"/>
        <v>Activity Ratio_by_rookie_GENLION:7-12mth</v>
      </c>
      <c r="B47" t="s">
        <v>1</v>
      </c>
      <c r="C47" s="8" t="str">
        <f t="shared" si="66"/>
        <v/>
      </c>
      <c r="D47" s="8" t="str">
        <f t="shared" si="66"/>
        <v/>
      </c>
      <c r="E47" s="8" t="str">
        <f t="shared" si="66"/>
        <v/>
      </c>
      <c r="F47" s="8" t="str">
        <f t="shared" si="66"/>
        <v/>
      </c>
      <c r="G47" s="8" t="str">
        <f t="shared" si="66"/>
        <v/>
      </c>
      <c r="H47" s="8" t="str">
        <f t="shared" si="66"/>
        <v/>
      </c>
      <c r="I47" s="8" t="str">
        <f t="shared" si="66"/>
        <v/>
      </c>
      <c r="J47" s="8" t="str">
        <f t="shared" si="66"/>
        <v/>
      </c>
      <c r="K47" s="8" t="str">
        <f t="shared" si="66"/>
        <v/>
      </c>
      <c r="L47" s="8" t="str">
        <f t="shared" si="66"/>
        <v/>
      </c>
      <c r="M47" s="8" t="str">
        <f t="shared" si="66"/>
        <v/>
      </c>
      <c r="N47" s="8" t="str">
        <f t="shared" si="66"/>
        <v/>
      </c>
      <c r="O47" s="8" t="e">
        <f t="shared" si="55"/>
        <v>#DIV/0!</v>
      </c>
      <c r="P47" s="8" t="e">
        <f t="shared" si="55"/>
        <v>#DIV/0!</v>
      </c>
      <c r="Q47" s="8" t="e">
        <f t="shared" si="55"/>
        <v>#DIV/0!</v>
      </c>
      <c r="R47" s="8" t="e">
        <f t="shared" si="55"/>
        <v>#DIV/0!</v>
      </c>
      <c r="S47" s="8" t="e">
        <f t="shared" si="55"/>
        <v>#DIV/0!</v>
      </c>
      <c r="T47" s="8" t="e">
        <f t="shared" si="55"/>
        <v>#DIV/0!</v>
      </c>
      <c r="U47" s="8" t="e">
        <f t="shared" si="55"/>
        <v>#DIV/0!</v>
      </c>
      <c r="V47" s="8" t="e">
        <f t="shared" si="55"/>
        <v>#DIV/0!</v>
      </c>
      <c r="W47" s="8" t="e">
        <f t="shared" si="55"/>
        <v>#DIV/0!</v>
      </c>
      <c r="X47" s="8" t="e">
        <f t="shared" si="55"/>
        <v>#DIV/0!</v>
      </c>
      <c r="Y47" s="8" t="e">
        <f t="shared" si="55"/>
        <v>#DIV/0!</v>
      </c>
      <c r="Z47" s="8" t="e">
        <f t="shared" si="55"/>
        <v>#DIV/0!</v>
      </c>
      <c r="AA47" s="139" t="e">
        <f>2*SUM(O35:INDEX(O35:Z35,$B$3))/(SUM(O23:INDEX(O23:Z23,$B$3))*2+N23-INDEX(O23:Z23,$B$3))</f>
        <v>#DIV/0!</v>
      </c>
      <c r="AB47" s="8" t="e">
        <f t="shared" si="67"/>
        <v>#DIV/0!</v>
      </c>
      <c r="AC47" s="8" t="e">
        <f>2*SUM(R35:INDEX(R35:T35,$C$3))/(Q23+SUM(R23:INDEX(R23:T23,$C$3))*2-INDEX(R23:T23,$C$3))</f>
        <v>#DIV/0!</v>
      </c>
      <c r="AD47" s="8" t="str">
        <f t="shared" si="57"/>
        <v/>
      </c>
      <c r="AE47" s="8" t="str">
        <f t="shared" si="58"/>
        <v/>
      </c>
      <c r="AF47" s="8" t="e">
        <f>AVERAGE(C47:INDEX(C47:N47,$B$3))</f>
        <v>#DIV/0!</v>
      </c>
      <c r="AG47" s="8" t="e">
        <f t="shared" si="68"/>
        <v>#DIV/0!</v>
      </c>
      <c r="AH47" s="8" t="e">
        <f t="shared" si="69"/>
        <v>#DIV/0!</v>
      </c>
      <c r="AI47" s="8" t="e">
        <f t="shared" si="70"/>
        <v>#DIV/0!</v>
      </c>
      <c r="AJ47" s="8" t="e">
        <f t="shared" si="71"/>
        <v>#DIV/0!</v>
      </c>
      <c r="AK47" s="31" t="e">
        <f t="shared" si="72"/>
        <v>#DIV/0!</v>
      </c>
      <c r="AL47" s="31" t="e">
        <f t="shared" si="59"/>
        <v>#DIV/0!</v>
      </c>
      <c r="AM47" s="31" t="e">
        <f t="shared" si="59"/>
        <v>#DIV/0!</v>
      </c>
      <c r="AN47" s="31" t="e">
        <f t="shared" si="59"/>
        <v>#VALUE!</v>
      </c>
      <c r="AO47" s="31" t="e">
        <f t="shared" si="59"/>
        <v>#VALUE!</v>
      </c>
      <c r="AP47" s="8">
        <f t="shared" si="60"/>
        <v>4.5977011494252873E-2</v>
      </c>
      <c r="AQ47" s="8">
        <f t="shared" si="61"/>
        <v>7.2649572649572655E-2</v>
      </c>
      <c r="AR47" s="8">
        <f t="shared" si="61"/>
        <v>0.17268445839874411</v>
      </c>
      <c r="AS47" s="8">
        <f t="shared" si="61"/>
        <v>0.16274864376130199</v>
      </c>
      <c r="AT47" s="8">
        <f t="shared" si="61"/>
        <v>0.20229007633587787</v>
      </c>
      <c r="AU47" s="8">
        <f t="shared" si="61"/>
        <v>0.17741935483870969</v>
      </c>
      <c r="AV47" s="8">
        <f t="shared" si="61"/>
        <v>0.12055641421947449</v>
      </c>
      <c r="BB47" s="8">
        <f t="shared" si="75"/>
        <v>8.3840917233966319E-2</v>
      </c>
      <c r="BC47" s="8">
        <f>IFERROR(BC35*2/(AR23+2*SUM(AS23:INDEX(AS23:AU23,$C$3))-INDEX(AS23:AU23,$C$3)),"")</f>
        <v>0.55334538878842676</v>
      </c>
      <c r="BD47" s="8">
        <f>IFERROR(BD35*2/(AU23+2*SUM(AV23:INDEX(AV23:AX23,$C$3))-INDEX(AV23:AX23,$C$3)),"")</f>
        <v>0.12055641421947449</v>
      </c>
      <c r="BF47" s="8">
        <f>2*SUM(AP35:INDEX(AP35:BA35,$B$3))/(SUM(AP23:INDEX(AP23:BA23,$B$3))*2+Z23-INDEX(AP23:BA23,$B$3))</f>
        <v>0.13654441007512153</v>
      </c>
      <c r="BG47" s="122" t="e">
        <f t="shared" si="62"/>
        <v>#DIV/0!</v>
      </c>
      <c r="BH47" s="111" t="e">
        <f t="shared" si="62"/>
        <v>#DIV/0!</v>
      </c>
      <c r="BI47" s="111" t="e">
        <f t="shared" si="62"/>
        <v>#DIV/0!</v>
      </c>
      <c r="BJ47" s="111" t="e">
        <f t="shared" si="62"/>
        <v>#DIV/0!</v>
      </c>
      <c r="BK47" s="111" t="e">
        <f t="shared" si="62"/>
        <v>#DIV/0!</v>
      </c>
      <c r="BL47" s="111" t="e">
        <f t="shared" si="62"/>
        <v>#DIV/0!</v>
      </c>
      <c r="BM47" s="111"/>
      <c r="BN47" s="111"/>
      <c r="BO47" s="111"/>
      <c r="BP47" s="111"/>
      <c r="BQ47" s="111"/>
      <c r="BR47" s="111"/>
      <c r="BS47" s="111" t="e">
        <f t="shared" si="74"/>
        <v>#DIV/0!</v>
      </c>
      <c r="BT47" s="111" t="e">
        <f t="shared" si="63"/>
        <v>#DIV/0!</v>
      </c>
      <c r="BU47" s="111" t="e">
        <f t="shared" si="63"/>
        <v>#VALUE!</v>
      </c>
      <c r="BV47" s="111" t="e">
        <f t="shared" si="63"/>
        <v>#VALUE!</v>
      </c>
      <c r="BW47" s="111" t="e">
        <f t="shared" si="64"/>
        <v>#DIV/0!</v>
      </c>
      <c r="BX47" s="8"/>
    </row>
    <row r="48" spans="1:76" x14ac:dyDescent="0.25">
      <c r="A48" s="20" t="str">
        <f t="shared" si="65"/>
        <v>Activity Ratio_by_rookie_GENLION:13+mth</v>
      </c>
      <c r="B48" t="s">
        <v>2</v>
      </c>
      <c r="C48" s="8" t="str">
        <f t="shared" si="66"/>
        <v/>
      </c>
      <c r="D48" s="8" t="str">
        <f t="shared" si="66"/>
        <v/>
      </c>
      <c r="E48" s="8" t="str">
        <f t="shared" si="66"/>
        <v/>
      </c>
      <c r="F48" s="8" t="str">
        <f t="shared" si="66"/>
        <v/>
      </c>
      <c r="G48" s="8" t="str">
        <f t="shared" si="66"/>
        <v/>
      </c>
      <c r="H48" s="8" t="str">
        <f t="shared" si="66"/>
        <v/>
      </c>
      <c r="I48" s="8" t="str">
        <f t="shared" si="66"/>
        <v/>
      </c>
      <c r="J48" s="8" t="str">
        <f t="shared" si="66"/>
        <v/>
      </c>
      <c r="K48" s="8" t="str">
        <f t="shared" si="66"/>
        <v/>
      </c>
      <c r="L48" s="8" t="str">
        <f t="shared" si="66"/>
        <v/>
      </c>
      <c r="M48" s="8" t="str">
        <f t="shared" si="66"/>
        <v/>
      </c>
      <c r="N48" s="8" t="str">
        <f t="shared" si="66"/>
        <v/>
      </c>
      <c r="O48" s="8" t="e">
        <f t="shared" si="55"/>
        <v>#DIV/0!</v>
      </c>
      <c r="P48" s="8" t="e">
        <f t="shared" si="55"/>
        <v>#DIV/0!</v>
      </c>
      <c r="Q48" s="8" t="e">
        <f t="shared" si="55"/>
        <v>#DIV/0!</v>
      </c>
      <c r="R48" s="8" t="e">
        <f t="shared" si="55"/>
        <v>#DIV/0!</v>
      </c>
      <c r="S48" s="8" t="e">
        <f t="shared" si="55"/>
        <v>#DIV/0!</v>
      </c>
      <c r="T48" s="8" t="e">
        <f t="shared" si="55"/>
        <v>#DIV/0!</v>
      </c>
      <c r="U48" s="8" t="e">
        <f t="shared" si="55"/>
        <v>#DIV/0!</v>
      </c>
      <c r="V48" s="8" t="e">
        <f t="shared" si="55"/>
        <v>#DIV/0!</v>
      </c>
      <c r="W48" s="8" t="e">
        <f t="shared" si="55"/>
        <v>#DIV/0!</v>
      </c>
      <c r="X48" s="8" t="e">
        <f t="shared" si="55"/>
        <v>#DIV/0!</v>
      </c>
      <c r="Y48" s="8" t="e">
        <f t="shared" si="55"/>
        <v>#DIV/0!</v>
      </c>
      <c r="Z48" s="8" t="e">
        <f t="shared" si="55"/>
        <v>#DIV/0!</v>
      </c>
      <c r="AA48" s="139" t="e">
        <f>2*SUM(O36:INDEX(O36:Z36,$B$3))/(SUM(O24:INDEX(O24:Z24,$B$3))*2+N24-INDEX(O24:Z24,$B$3))</f>
        <v>#DIV/0!</v>
      </c>
      <c r="AB48" s="8" t="e">
        <f t="shared" si="67"/>
        <v>#DIV/0!</v>
      </c>
      <c r="AC48" s="8" t="e">
        <f>2*SUM(R36:INDEX(R36:T36,$C$3))/(Q24+SUM(R24:INDEX(R24:T24,$C$3))*2-INDEX(R24:T24,$C$3))</f>
        <v>#DIV/0!</v>
      </c>
      <c r="AD48" s="8" t="str">
        <f t="shared" si="57"/>
        <v/>
      </c>
      <c r="AE48" s="8" t="str">
        <f t="shared" si="58"/>
        <v/>
      </c>
      <c r="AF48" s="8" t="e">
        <f>AVERAGE(C48:INDEX(C48:N48,$B$3))</f>
        <v>#DIV/0!</v>
      </c>
      <c r="AG48" s="8" t="e">
        <f t="shared" si="68"/>
        <v>#DIV/0!</v>
      </c>
      <c r="AH48" s="8" t="e">
        <f t="shared" si="69"/>
        <v>#DIV/0!</v>
      </c>
      <c r="AI48" s="8" t="e">
        <f t="shared" si="70"/>
        <v>#DIV/0!</v>
      </c>
      <c r="AJ48" s="8" t="e">
        <f t="shared" si="71"/>
        <v>#DIV/0!</v>
      </c>
      <c r="AK48" s="31" t="e">
        <f t="shared" si="72"/>
        <v>#DIV/0!</v>
      </c>
      <c r="AL48" s="31" t="e">
        <f t="shared" si="59"/>
        <v>#DIV/0!</v>
      </c>
      <c r="AM48" s="31" t="e">
        <f t="shared" si="59"/>
        <v>#DIV/0!</v>
      </c>
      <c r="AN48" s="31" t="e">
        <f t="shared" si="59"/>
        <v>#VALUE!</v>
      </c>
      <c r="AO48" s="31" t="e">
        <f t="shared" si="59"/>
        <v>#VALUE!</v>
      </c>
      <c r="AP48" s="8">
        <f t="shared" si="60"/>
        <v>6.8965517241379309E-2</v>
      </c>
      <c r="AQ48" s="8">
        <f t="shared" si="61"/>
        <v>7.963800904977375E-2</v>
      </c>
      <c r="AR48" s="8">
        <f t="shared" si="61"/>
        <v>0.18328840970350405</v>
      </c>
      <c r="AS48" s="8">
        <f t="shared" si="61"/>
        <v>0.16959064327485379</v>
      </c>
      <c r="AT48" s="8">
        <f t="shared" si="61"/>
        <v>0.15937499999999999</v>
      </c>
      <c r="AU48" s="8">
        <f t="shared" si="61"/>
        <v>0.14756671899529042</v>
      </c>
      <c r="AV48" s="8">
        <f t="shared" si="61"/>
        <v>0.14018691588785046</v>
      </c>
      <c r="BB48" s="8">
        <f t="shared" si="75"/>
        <v>9.8271155595996362E-2</v>
      </c>
      <c r="BC48" s="8">
        <f>IFERROR(BC36*2/(AR24+2*SUM(AS24:INDEX(AS24:AU24,$C$3))-INDEX(AS24:AU24,$C$3)),"")</f>
        <v>0.45614035087719296</v>
      </c>
      <c r="BD48" s="8">
        <f>IFERROR(BD36*2/(AU24+2*SUM(AV24:INDEX(AV24:AX24,$C$3))-INDEX(AV24:AX24,$C$3)),"")</f>
        <v>0.14018691588785046</v>
      </c>
      <c r="BF48" s="8">
        <f>2*SUM(AP36:INDEX(AP36:BA36,$B$3))/(SUM(AP24:INDEX(AP24:BA24,$B$3))*2+Z24-INDEX(AP24:BA24,$B$3))</f>
        <v>0.14028985507246378</v>
      </c>
      <c r="BG48" s="122" t="e">
        <f t="shared" si="62"/>
        <v>#DIV/0!</v>
      </c>
      <c r="BH48" s="111" t="e">
        <f t="shared" si="62"/>
        <v>#DIV/0!</v>
      </c>
      <c r="BI48" s="111" t="e">
        <f t="shared" si="62"/>
        <v>#DIV/0!</v>
      </c>
      <c r="BJ48" s="111" t="e">
        <f t="shared" si="62"/>
        <v>#DIV/0!</v>
      </c>
      <c r="BK48" s="111" t="e">
        <f t="shared" si="62"/>
        <v>#DIV/0!</v>
      </c>
      <c r="BL48" s="111" t="e">
        <f t="shared" si="62"/>
        <v>#DIV/0!</v>
      </c>
      <c r="BM48" s="111"/>
      <c r="BN48" s="111"/>
      <c r="BO48" s="111"/>
      <c r="BP48" s="111"/>
      <c r="BQ48" s="111"/>
      <c r="BR48" s="111"/>
      <c r="BS48" s="111" t="e">
        <f t="shared" si="74"/>
        <v>#DIV/0!</v>
      </c>
      <c r="BT48" s="111" t="e">
        <f t="shared" si="63"/>
        <v>#DIV/0!</v>
      </c>
      <c r="BU48" s="111" t="e">
        <f t="shared" si="63"/>
        <v>#VALUE!</v>
      </c>
      <c r="BV48" s="111" t="e">
        <f t="shared" si="63"/>
        <v>#VALUE!</v>
      </c>
      <c r="BW48" s="111" t="e">
        <f t="shared" si="64"/>
        <v>#DIV/0!</v>
      </c>
      <c r="BX48" s="8"/>
    </row>
    <row r="49" spans="1:76" x14ac:dyDescent="0.25">
      <c r="A49" s="20" t="str">
        <f t="shared" si="65"/>
        <v>Activity Ratio_by_rookie_GENLION:SA</v>
      </c>
      <c r="B49" s="135" t="s">
        <v>136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31"/>
      <c r="AL49" s="31"/>
      <c r="AM49" s="31"/>
      <c r="AN49" s="31"/>
      <c r="AO49" s="31"/>
      <c r="AP49" s="8"/>
      <c r="AQ49" s="8">
        <f>IFERROR(AQ37/(SUM(AP25,AQ25)/2),"")</f>
        <v>7.7596996245306638E-2</v>
      </c>
      <c r="AR49" s="8">
        <f t="shared" si="61"/>
        <v>3.6449147560258674E-2</v>
      </c>
      <c r="AS49" s="8">
        <f t="shared" si="61"/>
        <v>3.4448818897637797E-2</v>
      </c>
      <c r="AT49" s="8">
        <f t="shared" si="61"/>
        <v>1.8922254216371864E-2</v>
      </c>
      <c r="AU49" s="8">
        <f t="shared" si="61"/>
        <v>1.052262364082778E-2</v>
      </c>
      <c r="AV49" s="8">
        <f t="shared" si="61"/>
        <v>1.2080942313500454E-2</v>
      </c>
      <c r="BB49" s="8">
        <f>IFERROR(BB37/(SUM(AP25,AQ25,AQ25,AR25)/2),"")</f>
        <v>4.9599999999999998E-2</v>
      </c>
      <c r="BC49" s="8">
        <f>IFERROR(BC37*2/(AR25+2*SUM(AS25:INDEX(AS25:AU25,$C$3))-INDEX(AS25:AU25,$C$3)),"")</f>
        <v>7.1850393700787399E-2</v>
      </c>
      <c r="BD49" s="8">
        <f>IFERROR(BD37*2/(AU25+2*SUM(AV25:INDEX(AV25:AX25,$C$3))-INDEX(AV25:AX25,$C$3)),"")</f>
        <v>1.2080942313500454E-2</v>
      </c>
      <c r="BF49" s="8">
        <f>2*SUM(AP37:INDEX(AP37:BA37,$B$3))/(SUM(AP25:INDEX(AP25:BA25,$B$3))*2+Z25-INDEX(AP25:BA25,$B$3))</f>
        <v>2.3619047619047619E-2</v>
      </c>
      <c r="BG49" s="122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8"/>
    </row>
    <row r="50" spans="1:76" s="17" customFormat="1" x14ac:dyDescent="0.25">
      <c r="A50" s="20" t="str">
        <f t="shared" si="65"/>
        <v>Activity Ratio_by_rookie_GENLION:Total</v>
      </c>
      <c r="B50" s="1" t="s">
        <v>3</v>
      </c>
      <c r="C50" s="9" t="str">
        <f t="shared" ref="C50:N50" si="76">IFERROR(C38/C26,"")</f>
        <v/>
      </c>
      <c r="D50" s="9" t="str">
        <f t="shared" si="76"/>
        <v/>
      </c>
      <c r="E50" s="9" t="str">
        <f t="shared" si="76"/>
        <v/>
      </c>
      <c r="F50" s="9" t="str">
        <f t="shared" si="76"/>
        <v/>
      </c>
      <c r="G50" s="9" t="str">
        <f t="shared" si="76"/>
        <v/>
      </c>
      <c r="H50" s="9" t="str">
        <f t="shared" si="76"/>
        <v/>
      </c>
      <c r="I50" s="9" t="str">
        <f t="shared" si="76"/>
        <v/>
      </c>
      <c r="J50" s="9" t="str">
        <f t="shared" si="76"/>
        <v/>
      </c>
      <c r="K50" s="9" t="str">
        <f t="shared" si="76"/>
        <v/>
      </c>
      <c r="L50" s="9" t="str">
        <f t="shared" si="76"/>
        <v/>
      </c>
      <c r="M50" s="9" t="str">
        <f t="shared" si="76"/>
        <v/>
      </c>
      <c r="N50" s="9" t="str">
        <f t="shared" si="76"/>
        <v/>
      </c>
      <c r="O50" s="9" t="e">
        <f>O38/AVERAGE(N26:O26)</f>
        <v>#DIV/0!</v>
      </c>
      <c r="P50" s="9" t="e">
        <f t="shared" ref="P50:Z50" si="77">P38*2/SUM(O26:P26)</f>
        <v>#DIV/0!</v>
      </c>
      <c r="Q50" s="9" t="e">
        <f t="shared" si="77"/>
        <v>#DIV/0!</v>
      </c>
      <c r="R50" s="9" t="e">
        <f t="shared" si="77"/>
        <v>#DIV/0!</v>
      </c>
      <c r="S50" s="9" t="e">
        <f t="shared" si="77"/>
        <v>#DIV/0!</v>
      </c>
      <c r="T50" s="9" t="e">
        <f t="shared" si="77"/>
        <v>#DIV/0!</v>
      </c>
      <c r="U50" s="9" t="e">
        <f t="shared" si="77"/>
        <v>#DIV/0!</v>
      </c>
      <c r="V50" s="9" t="e">
        <f t="shared" si="77"/>
        <v>#DIV/0!</v>
      </c>
      <c r="W50" s="9" t="e">
        <f t="shared" si="77"/>
        <v>#DIV/0!</v>
      </c>
      <c r="X50" s="9" t="e">
        <f t="shared" si="77"/>
        <v>#DIV/0!</v>
      </c>
      <c r="Y50" s="9" t="e">
        <f t="shared" si="77"/>
        <v>#DIV/0!</v>
      </c>
      <c r="Z50" s="9" t="e">
        <f t="shared" si="77"/>
        <v>#DIV/0!</v>
      </c>
      <c r="AA50" s="9" t="e">
        <f>2*SUM(O38:INDEX(O38:Z38,$B$3))/(SUM(O26:INDEX(O26:Z26,$B$3))*2+N26-INDEX(O26:Z26,$B$3))</f>
        <v>#DIV/0!</v>
      </c>
      <c r="AB50" s="9" t="e">
        <f t="shared" si="67"/>
        <v>#DIV/0!</v>
      </c>
      <c r="AC50" s="9" t="e">
        <f>2*SUM(R38:INDEX(R38:T38,$C$3))/(Q26+SUM(R26:INDEX(R26:T26,$C$3))*2-INDEX(R26:T26,$C$3))</f>
        <v>#DIV/0!</v>
      </c>
      <c r="AD50" s="9" t="str">
        <f t="shared" si="57"/>
        <v/>
      </c>
      <c r="AE50" s="9" t="str">
        <f t="shared" si="58"/>
        <v/>
      </c>
      <c r="AF50" s="28" t="e">
        <f>AVERAGE(C50:INDEX(C50:N50,$B$3))</f>
        <v>#DIV/0!</v>
      </c>
      <c r="AG50" s="28" t="e">
        <f t="shared" si="68"/>
        <v>#DIV/0!</v>
      </c>
      <c r="AH50" s="28" t="e">
        <f t="shared" si="69"/>
        <v>#DIV/0!</v>
      </c>
      <c r="AI50" s="28" t="e">
        <f t="shared" si="70"/>
        <v>#DIV/0!</v>
      </c>
      <c r="AJ50" s="28" t="e">
        <f t="shared" si="71"/>
        <v>#DIV/0!</v>
      </c>
      <c r="AK50" s="32" t="e">
        <f t="shared" si="72"/>
        <v>#DIV/0!</v>
      </c>
      <c r="AL50" s="32" t="e">
        <f t="shared" si="59"/>
        <v>#DIV/0!</v>
      </c>
      <c r="AM50" s="32" t="e">
        <f t="shared" si="59"/>
        <v>#DIV/0!</v>
      </c>
      <c r="AN50" s="32" t="e">
        <f t="shared" si="59"/>
        <v>#VALUE!</v>
      </c>
      <c r="AO50" s="32" t="e">
        <f t="shared" si="59"/>
        <v>#VALUE!</v>
      </c>
      <c r="AP50" s="28">
        <f t="shared" ref="AP50" si="78">IFERROR(AP38/AVERAGE(Z26,AP26),"")</f>
        <v>0.2236024844720497</v>
      </c>
      <c r="AQ50" s="28">
        <f t="shared" ref="AQ50:AV50" si="79">IFERROR(AQ38/AVERAGE(AP26,AQ26),"")</f>
        <v>0.18049792531120332</v>
      </c>
      <c r="AR50" s="28">
        <f t="shared" si="79"/>
        <v>0.26245586504511575</v>
      </c>
      <c r="AS50" s="28">
        <f t="shared" si="79"/>
        <v>0.24069121579921826</v>
      </c>
      <c r="AT50" s="28">
        <f t="shared" si="79"/>
        <v>0.2532017635943733</v>
      </c>
      <c r="AU50" s="28">
        <f t="shared" si="79"/>
        <v>0.26872336107164602</v>
      </c>
      <c r="AV50" s="28">
        <f t="shared" si="79"/>
        <v>0.22036319118547235</v>
      </c>
      <c r="AW50" s="37"/>
      <c r="AX50" s="37"/>
      <c r="AY50" s="37"/>
      <c r="AZ50" s="37"/>
      <c r="BA50" s="37"/>
      <c r="BB50" s="28">
        <f>IFERROR(BB38/(AVERAGE(Z26,AP26)+AVERAGE(AP26,AQ26)+AVERAGE(AR26,AQ26)),"")</f>
        <v>0.21996879875195008</v>
      </c>
      <c r="BC50" s="28">
        <f>IFERROR(BC38*2/(AR26+2*SUM(AS26:INDEX(AS26:AU26,$C$3))-INDEX(AS26:AU26,$C$3)),"")</f>
        <v>0.76116025509154495</v>
      </c>
      <c r="BD50" s="8">
        <f>IFERROR(BD38*2/(AU26+2*SUM(AV26:INDEX(AV26:AX26,$C$3))-INDEX(AV26:AX26,$C$3)),"")</f>
        <v>0.22036319118547235</v>
      </c>
      <c r="BE50" s="37"/>
      <c r="BF50" s="28">
        <f>2*SUM(AP38:INDEX(AP38:BA38,$B$3))/(SUM(AP26:INDEX(AP26:BA26,$B$3))*2+Z26-INDEX(AP26:BA26,$B$3))</f>
        <v>0.23490492936758658</v>
      </c>
      <c r="BG50" s="123" t="e">
        <f t="shared" si="62"/>
        <v>#DIV/0!</v>
      </c>
      <c r="BH50" s="118" t="e">
        <f t="shared" si="62"/>
        <v>#DIV/0!</v>
      </c>
      <c r="BI50" s="118" t="e">
        <f t="shared" si="62"/>
        <v>#DIV/0!</v>
      </c>
      <c r="BJ50" s="118" t="e">
        <f t="shared" si="62"/>
        <v>#DIV/0!</v>
      </c>
      <c r="BK50" s="118" t="e">
        <f t="shared" si="62"/>
        <v>#DIV/0!</v>
      </c>
      <c r="BL50" s="118" t="e">
        <f t="shared" si="62"/>
        <v>#DIV/0!</v>
      </c>
      <c r="BM50" s="118"/>
      <c r="BN50" s="118"/>
      <c r="BO50" s="118"/>
      <c r="BP50" s="118"/>
      <c r="BQ50" s="118"/>
      <c r="BR50" s="118"/>
      <c r="BS50" s="118" t="e">
        <f>BB50/((O38+P38+Q38)/(SUM(N26,O26,O26,P26,P26,Q26)/2))</f>
        <v>#DIV/0!</v>
      </c>
      <c r="BT50" s="118" t="e">
        <f t="shared" si="63"/>
        <v>#DIV/0!</v>
      </c>
      <c r="BU50" s="118" t="e">
        <f t="shared" si="63"/>
        <v>#VALUE!</v>
      </c>
      <c r="BV50" s="118" t="e">
        <f t="shared" si="63"/>
        <v>#VALUE!</v>
      </c>
      <c r="BW50" s="118" t="e">
        <f t="shared" si="64"/>
        <v>#DIV/0!</v>
      </c>
      <c r="BX50" s="8"/>
    </row>
    <row r="51" spans="1:76" x14ac:dyDescent="0.25">
      <c r="AA51" s="31" t="e">
        <f>2*SUM(O38:INDEX(O38:Z38,$B$3))/(SUM(O26:INDEX(O26:Z26,$B$3))*2+N26-INDEX(O26:Z26,$B$3))</f>
        <v>#DIV/0!</v>
      </c>
      <c r="AF51" s="31" t="e">
        <f>2*SUM(C38:INDEX(C38:N38,$B$3))/(SUM(C26:INDEX(C26:N26,$B$3))*2+C26-INDEX(C26:N26,$B$3))</f>
        <v>#DIV/0!</v>
      </c>
      <c r="BF51" s="32">
        <f>2*SUM(AP38:INDEX(AP38:BA38,B3))/(SUM(AP26:INDEX(AP26:BA26,B3))*2+Z26-INDEX(AP26:BA26,B3))</f>
        <v>0.23490492936758658</v>
      </c>
      <c r="BG51" s="124"/>
    </row>
    <row r="52" spans="1:76" x14ac:dyDescent="0.25">
      <c r="BG52" s="124"/>
    </row>
    <row r="53" spans="1:76" s="17" customFormat="1" x14ac:dyDescent="0.25">
      <c r="B53" s="2" t="s">
        <v>12</v>
      </c>
      <c r="C53" s="3">
        <f t="shared" ref="C53:Z53" si="80">C17</f>
        <v>42005</v>
      </c>
      <c r="D53" s="3">
        <f t="shared" si="80"/>
        <v>42036</v>
      </c>
      <c r="E53" s="3">
        <f t="shared" si="80"/>
        <v>42064</v>
      </c>
      <c r="F53" s="3">
        <f t="shared" si="80"/>
        <v>42095</v>
      </c>
      <c r="G53" s="3">
        <f t="shared" si="80"/>
        <v>42125</v>
      </c>
      <c r="H53" s="3">
        <f t="shared" si="80"/>
        <v>42156</v>
      </c>
      <c r="I53" s="3">
        <f t="shared" si="80"/>
        <v>42186</v>
      </c>
      <c r="J53" s="3">
        <f t="shared" si="80"/>
        <v>42217</v>
      </c>
      <c r="K53" s="3">
        <f t="shared" si="80"/>
        <v>42248</v>
      </c>
      <c r="L53" s="3">
        <f t="shared" si="80"/>
        <v>42278</v>
      </c>
      <c r="M53" s="3">
        <f t="shared" si="80"/>
        <v>42309</v>
      </c>
      <c r="N53" s="3">
        <f t="shared" si="80"/>
        <v>42339</v>
      </c>
      <c r="O53" s="3">
        <f t="shared" si="80"/>
        <v>42370</v>
      </c>
      <c r="P53" s="3">
        <f t="shared" si="80"/>
        <v>42401</v>
      </c>
      <c r="Q53" s="3">
        <f t="shared" si="80"/>
        <v>42430</v>
      </c>
      <c r="R53" s="3">
        <f t="shared" si="80"/>
        <v>42461</v>
      </c>
      <c r="S53" s="3">
        <f t="shared" si="80"/>
        <v>42491</v>
      </c>
      <c r="T53" s="3">
        <f t="shared" si="80"/>
        <v>42522</v>
      </c>
      <c r="U53" s="3">
        <f t="shared" si="80"/>
        <v>42552</v>
      </c>
      <c r="V53" s="3">
        <f t="shared" si="80"/>
        <v>42583</v>
      </c>
      <c r="W53" s="3">
        <f t="shared" si="80"/>
        <v>42614</v>
      </c>
      <c r="X53" s="3">
        <f t="shared" si="80"/>
        <v>42644</v>
      </c>
      <c r="Y53" s="3">
        <f t="shared" si="80"/>
        <v>42675</v>
      </c>
      <c r="Z53" s="3">
        <f t="shared" si="80"/>
        <v>42705</v>
      </c>
      <c r="AA53" s="29" t="str">
        <f>$AA$4</f>
        <v>YTD 7/16</v>
      </c>
      <c r="AB53" s="29" t="s">
        <v>19</v>
      </c>
      <c r="AC53" s="29" t="s">
        <v>20</v>
      </c>
      <c r="AD53" s="29" t="s">
        <v>21</v>
      </c>
      <c r="AE53" s="29" t="s">
        <v>22</v>
      </c>
      <c r="AF53" s="26" t="str">
        <f t="shared" ref="AF53:AJ53" si="81">AF29</f>
        <v>YTD 7/15</v>
      </c>
      <c r="AG53" s="26" t="str">
        <f t="shared" si="81"/>
        <v>Q1 '15</v>
      </c>
      <c r="AH53" s="26" t="str">
        <f t="shared" si="81"/>
        <v>Q2 '15</v>
      </c>
      <c r="AI53" s="26" t="str">
        <f t="shared" si="81"/>
        <v>Q3 '15</v>
      </c>
      <c r="AJ53" s="26" t="str">
        <f t="shared" si="81"/>
        <v>Q4 '15</v>
      </c>
      <c r="AK53" s="30" t="s">
        <v>27</v>
      </c>
      <c r="AL53" s="30" t="s">
        <v>29</v>
      </c>
      <c r="AM53" s="30" t="s">
        <v>30</v>
      </c>
      <c r="AN53" s="30" t="s">
        <v>31</v>
      </c>
      <c r="AO53" s="30" t="s">
        <v>32</v>
      </c>
      <c r="AP53" s="108">
        <v>42736</v>
      </c>
      <c r="AQ53" s="108">
        <v>42767</v>
      </c>
      <c r="AR53" s="108">
        <v>42795</v>
      </c>
      <c r="AS53" s="108">
        <v>42826</v>
      </c>
      <c r="AT53" s="108">
        <v>42856</v>
      </c>
      <c r="AU53" s="108">
        <v>42887</v>
      </c>
      <c r="AV53" s="108">
        <v>42917</v>
      </c>
      <c r="AW53" s="108">
        <v>42948</v>
      </c>
      <c r="AX53" s="108">
        <v>42979</v>
      </c>
      <c r="AY53" s="108">
        <v>43009</v>
      </c>
      <c r="AZ53" s="108">
        <v>43040</v>
      </c>
      <c r="BA53" s="108">
        <v>43070</v>
      </c>
      <c r="BB53" s="29" t="s">
        <v>123</v>
      </c>
      <c r="BC53" s="29" t="s">
        <v>124</v>
      </c>
      <c r="BD53" s="29" t="s">
        <v>125</v>
      </c>
      <c r="BE53" s="29" t="s">
        <v>126</v>
      </c>
      <c r="BF53" s="29" t="str">
        <f>$BF$4</f>
        <v>YTD 7/17</v>
      </c>
      <c r="BG53" s="121">
        <v>42736</v>
      </c>
      <c r="BH53" s="108">
        <v>42767</v>
      </c>
      <c r="BI53" s="108">
        <v>42795</v>
      </c>
      <c r="BJ53" s="108">
        <v>42826</v>
      </c>
      <c r="BK53" s="108">
        <v>42856</v>
      </c>
      <c r="BL53" s="108">
        <v>42887</v>
      </c>
      <c r="BM53" s="108">
        <v>42917</v>
      </c>
      <c r="BN53" s="108">
        <v>42948</v>
      </c>
      <c r="BO53" s="108">
        <v>42979</v>
      </c>
      <c r="BP53" s="108">
        <v>43009</v>
      </c>
      <c r="BQ53" s="108">
        <v>43040</v>
      </c>
      <c r="BR53" s="108">
        <v>43070</v>
      </c>
      <c r="BS53" s="29" t="s">
        <v>127</v>
      </c>
      <c r="BT53" s="29" t="s">
        <v>128</v>
      </c>
      <c r="BU53" s="29" t="s">
        <v>96</v>
      </c>
      <c r="BV53" s="29" t="s">
        <v>129</v>
      </c>
      <c r="BW53" s="112" t="s">
        <v>130</v>
      </c>
    </row>
    <row r="54" spans="1:76" x14ac:dyDescent="0.25">
      <c r="A54" s="20" t="str">
        <f>$B$53&amp;"_by_rookie_GENLION:"&amp;TRIM(B54)</f>
        <v># Case_by_rookie_GENLION:MDRT/ GEN Lion (from Apr '17)</v>
      </c>
      <c r="B54" t="s">
        <v>157</v>
      </c>
      <c r="Z54" s="6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31"/>
      <c r="AL54" s="31"/>
      <c r="AM54" s="31"/>
      <c r="AN54" s="31"/>
      <c r="AO54" s="31"/>
      <c r="AP54" s="113">
        <f>[16]cc!J41</f>
        <v>172.5</v>
      </c>
      <c r="AQ54" s="113">
        <f>[17]cc!J42</f>
        <v>194.5</v>
      </c>
      <c r="AR54" s="113">
        <f>[18]cc!J42</f>
        <v>284.5</v>
      </c>
      <c r="AS54" s="113">
        <f>[19]cc!J62</f>
        <v>449</v>
      </c>
      <c r="AT54" s="113">
        <f>[20]cc!J62</f>
        <v>440.5</v>
      </c>
      <c r="AU54" s="113">
        <f>[21]cc!J62</f>
        <v>644.5</v>
      </c>
      <c r="AV54" s="113">
        <f>[22]cc!J62</f>
        <v>368.5</v>
      </c>
      <c r="AW54" s="113"/>
      <c r="AX54" s="113"/>
      <c r="AY54" s="113"/>
      <c r="AZ54" s="113"/>
      <c r="BA54" s="113"/>
      <c r="BB54" s="110">
        <f>SUM(AP54:INDEX(AP54:AR54,IF($B$3&lt;3,$B$3,3)))</f>
        <v>651.5</v>
      </c>
      <c r="BC54" s="110">
        <f>SUM(AS54:INDEX(AS54:AU54,IF(AND($B$3&gt;3,B53&lt;7),$B$3-3,0)))</f>
        <v>1534</v>
      </c>
      <c r="BD54" s="110">
        <f>SUM(AV54:INDEX(AV54:AX54,IF(AND($B$3&gt;6,$B$3&lt;10),$B$3-6,0)))</f>
        <v>368.5</v>
      </c>
      <c r="BE54" s="110">
        <f>SUM(AY54:INDEX(AY54:BA54,IF($B$3&gt;9,$B$3-9,0)))</f>
        <v>0</v>
      </c>
      <c r="BF54" s="110">
        <f>SUM($AP54:INDEX(AP54:BA54,$B$3))</f>
        <v>2554</v>
      </c>
      <c r="BG54" s="122" t="e">
        <f t="shared" ref="BG54:BR62" si="82">AP54/O54</f>
        <v>#DIV/0!</v>
      </c>
      <c r="BH54" s="111" t="e">
        <f t="shared" si="82"/>
        <v>#DIV/0!</v>
      </c>
      <c r="BI54" s="111" t="e">
        <f t="shared" si="82"/>
        <v>#DIV/0!</v>
      </c>
      <c r="BJ54" s="111" t="e">
        <f t="shared" si="82"/>
        <v>#DIV/0!</v>
      </c>
      <c r="BK54" s="111" t="e">
        <f t="shared" si="82"/>
        <v>#DIV/0!</v>
      </c>
      <c r="BL54" s="111" t="e">
        <f t="shared" si="82"/>
        <v>#DIV/0!</v>
      </c>
      <c r="BM54" s="111" t="e">
        <f t="shared" si="82"/>
        <v>#DIV/0!</v>
      </c>
      <c r="BN54" s="111" t="e">
        <f t="shared" si="82"/>
        <v>#DIV/0!</v>
      </c>
      <c r="BO54" s="111" t="e">
        <f t="shared" si="82"/>
        <v>#DIV/0!</v>
      </c>
      <c r="BP54" s="111" t="e">
        <f t="shared" si="82"/>
        <v>#DIV/0!</v>
      </c>
      <c r="BQ54" s="111" t="e">
        <f t="shared" si="82"/>
        <v>#DIV/0!</v>
      </c>
      <c r="BR54" s="111" t="e">
        <f t="shared" si="82"/>
        <v>#DIV/0!</v>
      </c>
      <c r="BS54" s="111" t="e">
        <f>BB54/SUM(O54:INDEX(O54:Q54,IF($B$3&lt;3,$B$3,3)))</f>
        <v>#DIV/0!</v>
      </c>
      <c r="BT54" s="111" t="e">
        <f>BC54/SUM(R54:INDEX(R54:T54,IF($B$3&lt;7,$B$3-3,3)))</f>
        <v>#DIV/0!</v>
      </c>
      <c r="BU54" s="111" t="e">
        <f t="shared" ref="BU54:BV62" si="83">BD54/AD54</f>
        <v>#DIV/0!</v>
      </c>
      <c r="BV54" s="111" t="e">
        <f t="shared" si="83"/>
        <v>#DIV/0!</v>
      </c>
      <c r="BW54" s="111" t="e">
        <f t="shared" ref="BW54:BW62" si="84">BF54/AA54</f>
        <v>#DIV/0!</v>
      </c>
    </row>
    <row r="55" spans="1:76" x14ac:dyDescent="0.25">
      <c r="A55" s="20" t="str">
        <f t="shared" ref="A55:A62" si="85">$B$53&amp;"_by_rookie_GENLION:"&amp;TRIM(B55)</f>
        <v># Case_by_rookie_GENLION:Rookie in month</v>
      </c>
      <c r="B55" t="s">
        <v>5</v>
      </c>
      <c r="Z55" s="6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31"/>
      <c r="AL55" s="31"/>
      <c r="AM55" s="31"/>
      <c r="AN55" s="31"/>
      <c r="AO55" s="31"/>
      <c r="AP55" s="113">
        <f>[16]cc!J42</f>
        <v>90</v>
      </c>
      <c r="AQ55" s="113">
        <f>[17]cc!J43</f>
        <v>158</v>
      </c>
      <c r="AR55" s="113">
        <f>[18]cc!J43</f>
        <v>260</v>
      </c>
      <c r="AS55" s="113">
        <f>[19]cc!J63</f>
        <v>253</v>
      </c>
      <c r="AT55" s="113">
        <f>[20]cc!J63</f>
        <v>218.5</v>
      </c>
      <c r="AU55" s="113">
        <f>[21]cc!J63</f>
        <v>337</v>
      </c>
      <c r="AV55" s="113">
        <f>[22]cc!J63</f>
        <v>224</v>
      </c>
      <c r="AW55" s="113"/>
      <c r="AX55" s="113"/>
      <c r="AY55" s="113"/>
      <c r="AZ55" s="113"/>
      <c r="BA55" s="113"/>
      <c r="BB55" s="110">
        <f>SUM(AP55:INDEX(AP55:AR55,IF($B$3&lt;3,$B$3,3)))</f>
        <v>508</v>
      </c>
      <c r="BC55" s="110">
        <f>SUM(AS55:INDEX(AS55:AU55,IF(AND($B$3&gt;3,B53&lt;7),$B$3-3,0)))</f>
        <v>808.5</v>
      </c>
      <c r="BD55" s="110">
        <f>SUM(AV55:INDEX(AV55:AX55,IF(AND($B$3&gt;6,$B$3&lt;10),$B$3-6,0)))</f>
        <v>224</v>
      </c>
      <c r="BE55" s="110">
        <f>SUM(AY55:INDEX(AY55:BA55,IF($B$3&gt;9,$B$3-9,0)))</f>
        <v>0</v>
      </c>
      <c r="BF55" s="110">
        <f>SUM($AP55:INDEX(AP55:BA55,$B$3))</f>
        <v>1540.5</v>
      </c>
      <c r="BG55" s="122" t="e">
        <f t="shared" si="82"/>
        <v>#DIV/0!</v>
      </c>
      <c r="BH55" s="111" t="e">
        <f t="shared" si="82"/>
        <v>#DIV/0!</v>
      </c>
      <c r="BI55" s="111" t="e">
        <f t="shared" si="82"/>
        <v>#DIV/0!</v>
      </c>
      <c r="BJ55" s="111" t="e">
        <f t="shared" si="82"/>
        <v>#DIV/0!</v>
      </c>
      <c r="BK55" s="111" t="e">
        <f t="shared" si="82"/>
        <v>#DIV/0!</v>
      </c>
      <c r="BL55" s="111" t="e">
        <f t="shared" si="82"/>
        <v>#DIV/0!</v>
      </c>
      <c r="BM55" s="111" t="e">
        <f t="shared" si="82"/>
        <v>#DIV/0!</v>
      </c>
      <c r="BN55" s="111" t="e">
        <f t="shared" si="82"/>
        <v>#DIV/0!</v>
      </c>
      <c r="BO55" s="111" t="e">
        <f t="shared" si="82"/>
        <v>#DIV/0!</v>
      </c>
      <c r="BP55" s="111" t="e">
        <f t="shared" si="82"/>
        <v>#DIV/0!</v>
      </c>
      <c r="BQ55" s="111" t="e">
        <f t="shared" si="82"/>
        <v>#DIV/0!</v>
      </c>
      <c r="BR55" s="111" t="e">
        <f t="shared" si="82"/>
        <v>#DIV/0!</v>
      </c>
      <c r="BS55" s="111" t="e">
        <f>BB55/SUM(O55:INDEX(O55:Q55,IF($B$3&lt;3,$B$3,3)))</f>
        <v>#DIV/0!</v>
      </c>
      <c r="BT55" s="111" t="e">
        <f>BC55/SUM(R55:INDEX(R55:T55,IF($B$3&lt;7,$B$3-3,3)))</f>
        <v>#DIV/0!</v>
      </c>
      <c r="BU55" s="111" t="e">
        <f t="shared" si="83"/>
        <v>#DIV/0!</v>
      </c>
      <c r="BV55" s="111" t="e">
        <f t="shared" si="83"/>
        <v>#DIV/0!</v>
      </c>
      <c r="BW55" s="111" t="e">
        <f t="shared" si="84"/>
        <v>#DIV/0!</v>
      </c>
    </row>
    <row r="56" spans="1:76" x14ac:dyDescent="0.25">
      <c r="A56" s="20" t="str">
        <f t="shared" si="85"/>
        <v># Case_by_rookie_GENLION:Rookie last month</v>
      </c>
      <c r="B56" t="s">
        <v>6</v>
      </c>
      <c r="Z56" s="6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31"/>
      <c r="AL56" s="31"/>
      <c r="AM56" s="31"/>
      <c r="AN56" s="31"/>
      <c r="AO56" s="31"/>
      <c r="AP56" s="113">
        <f>[16]cc!J43</f>
        <v>83</v>
      </c>
      <c r="AQ56" s="113">
        <f>[17]cc!J44</f>
        <v>69</v>
      </c>
      <c r="AR56" s="113">
        <f>[18]cc!J44</f>
        <v>201</v>
      </c>
      <c r="AS56" s="113">
        <f>[19]cc!J64</f>
        <v>102</v>
      </c>
      <c r="AT56" s="113">
        <f>[20]cc!J64</f>
        <v>158</v>
      </c>
      <c r="AU56" s="113">
        <f>[21]cc!J64</f>
        <v>149</v>
      </c>
      <c r="AV56" s="113">
        <f>[22]cc!J64</f>
        <v>121</v>
      </c>
      <c r="AW56" s="113"/>
      <c r="AX56" s="113"/>
      <c r="AY56" s="113"/>
      <c r="AZ56" s="113"/>
      <c r="BA56" s="113"/>
      <c r="BB56" s="110">
        <f>SUM(AP56:INDEX(AP56:AR56,IF($B$3&lt;3,$B$3,3)))</f>
        <v>353</v>
      </c>
      <c r="BC56" s="110">
        <f>SUM(AS56:INDEX(AS56:AU56,IF(AND($B$3&gt;3,B54&lt;7),$B$3-3,0)))</f>
        <v>409</v>
      </c>
      <c r="BD56" s="110">
        <f>SUM(AV56:INDEX(AV56:AX56,IF(AND($B$3&gt;6,$B$3&lt;10),$B$3-6,0)))</f>
        <v>121</v>
      </c>
      <c r="BE56" s="110">
        <f>SUM(AY56:INDEX(AY56:BA56,IF($B$3&gt;9,$B$3-9,0)))</f>
        <v>0</v>
      </c>
      <c r="BF56" s="110">
        <f>SUM($AP56:INDEX(AP56:BA56,$B$3))</f>
        <v>883</v>
      </c>
      <c r="BG56" s="122" t="e">
        <f t="shared" si="82"/>
        <v>#DIV/0!</v>
      </c>
      <c r="BH56" s="111" t="e">
        <f t="shared" si="82"/>
        <v>#DIV/0!</v>
      </c>
      <c r="BI56" s="111" t="e">
        <f t="shared" si="82"/>
        <v>#DIV/0!</v>
      </c>
      <c r="BJ56" s="111" t="e">
        <f t="shared" si="82"/>
        <v>#DIV/0!</v>
      </c>
      <c r="BK56" s="111" t="e">
        <f t="shared" si="82"/>
        <v>#DIV/0!</v>
      </c>
      <c r="BL56" s="111" t="e">
        <f t="shared" si="82"/>
        <v>#DIV/0!</v>
      </c>
      <c r="BM56" s="111" t="e">
        <f t="shared" si="82"/>
        <v>#DIV/0!</v>
      </c>
      <c r="BN56" s="111" t="e">
        <f t="shared" si="82"/>
        <v>#DIV/0!</v>
      </c>
      <c r="BO56" s="111" t="e">
        <f t="shared" si="82"/>
        <v>#DIV/0!</v>
      </c>
      <c r="BP56" s="111" t="e">
        <f t="shared" si="82"/>
        <v>#DIV/0!</v>
      </c>
      <c r="BQ56" s="111" t="e">
        <f t="shared" si="82"/>
        <v>#DIV/0!</v>
      </c>
      <c r="BR56" s="111" t="e">
        <f t="shared" si="82"/>
        <v>#DIV/0!</v>
      </c>
      <c r="BS56" s="111" t="e">
        <f>BB56/SUM(O56:INDEX(O56:Q56,IF($B$3&lt;3,$B$3,3)))</f>
        <v>#DIV/0!</v>
      </c>
      <c r="BT56" s="111" t="e">
        <f>BC56/SUM(R56:INDEX(R56:T56,IF($B$3&lt;7,$B$3-3,3)))</f>
        <v>#DIV/0!</v>
      </c>
      <c r="BU56" s="111" t="e">
        <f t="shared" si="83"/>
        <v>#DIV/0!</v>
      </c>
      <c r="BV56" s="111" t="e">
        <f t="shared" si="83"/>
        <v>#DIV/0!</v>
      </c>
      <c r="BW56" s="111" t="e">
        <f t="shared" si="84"/>
        <v>#DIV/0!</v>
      </c>
    </row>
    <row r="57" spans="1:76" x14ac:dyDescent="0.25">
      <c r="A57" s="20" t="str">
        <f t="shared" si="85"/>
        <v># Case_by_rookie_GENLION:2-3 months</v>
      </c>
      <c r="B57" t="s">
        <v>7</v>
      </c>
      <c r="Z57" s="6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31"/>
      <c r="AL57" s="31"/>
      <c r="AM57" s="31"/>
      <c r="AN57" s="31"/>
      <c r="AO57" s="31"/>
      <c r="AP57" s="113">
        <f>[16]cc!J44</f>
        <v>173</v>
      </c>
      <c r="AQ57" s="113">
        <f>[17]cc!J45</f>
        <v>208</v>
      </c>
      <c r="AR57" s="113">
        <f>[18]cc!J45</f>
        <v>149</v>
      </c>
      <c r="AS57" s="113">
        <f>[19]cc!J65</f>
        <v>101</v>
      </c>
      <c r="AT57" s="113">
        <f>[20]cc!J65</f>
        <v>126</v>
      </c>
      <c r="AU57" s="113">
        <f>[21]cc!J65</f>
        <v>175.5</v>
      </c>
      <c r="AV57" s="113">
        <f>[22]cc!J65</f>
        <v>149</v>
      </c>
      <c r="AW57" s="113"/>
      <c r="AX57" s="113"/>
      <c r="AY57" s="113"/>
      <c r="AZ57" s="113"/>
      <c r="BA57" s="113"/>
      <c r="BB57" s="110">
        <f>SUM(AP57:INDEX(AP57:AR57,IF($B$3&lt;3,$B$3,3)))</f>
        <v>530</v>
      </c>
      <c r="BC57" s="110">
        <f>SUM(AS57:INDEX(AS57:AU57,IF(AND($B$3&gt;3,B55&lt;7),$B$3-3,0)))</f>
        <v>402.5</v>
      </c>
      <c r="BD57" s="110">
        <f>SUM(AV57:INDEX(AV57:AX57,IF(AND($B$3&gt;6,$B$3&lt;10),$B$3-6,0)))</f>
        <v>149</v>
      </c>
      <c r="BE57" s="110">
        <f>SUM(AY57:INDEX(AY57:BA57,IF($B$3&gt;9,$B$3-9,0)))</f>
        <v>0</v>
      </c>
      <c r="BF57" s="110">
        <f>SUM($AP57:INDEX(AP57:BA57,$B$3))</f>
        <v>1081.5</v>
      </c>
      <c r="BG57" s="122" t="e">
        <f t="shared" si="82"/>
        <v>#DIV/0!</v>
      </c>
      <c r="BH57" s="111" t="e">
        <f t="shared" si="82"/>
        <v>#DIV/0!</v>
      </c>
      <c r="BI57" s="111" t="e">
        <f t="shared" si="82"/>
        <v>#DIV/0!</v>
      </c>
      <c r="BJ57" s="111" t="e">
        <f t="shared" si="82"/>
        <v>#DIV/0!</v>
      </c>
      <c r="BK57" s="111" t="e">
        <f t="shared" si="82"/>
        <v>#DIV/0!</v>
      </c>
      <c r="BL57" s="111" t="e">
        <f t="shared" si="82"/>
        <v>#DIV/0!</v>
      </c>
      <c r="BM57" s="111" t="e">
        <f t="shared" si="82"/>
        <v>#DIV/0!</v>
      </c>
      <c r="BN57" s="111" t="e">
        <f t="shared" si="82"/>
        <v>#DIV/0!</v>
      </c>
      <c r="BO57" s="111" t="e">
        <f t="shared" si="82"/>
        <v>#DIV/0!</v>
      </c>
      <c r="BP57" s="111" t="e">
        <f t="shared" si="82"/>
        <v>#DIV/0!</v>
      </c>
      <c r="BQ57" s="111" t="e">
        <f t="shared" si="82"/>
        <v>#DIV/0!</v>
      </c>
      <c r="BR57" s="111" t="e">
        <f t="shared" si="82"/>
        <v>#DIV/0!</v>
      </c>
      <c r="BS57" s="111" t="e">
        <f>BB57/SUM(O57:INDEX(O57:Q57,IF($B$3&lt;3,$B$3,3)))</f>
        <v>#DIV/0!</v>
      </c>
      <c r="BT57" s="111" t="e">
        <f>BC57/SUM(R57:INDEX(R57:T57,IF($B$3&lt;7,$B$3-3,3)))</f>
        <v>#DIV/0!</v>
      </c>
      <c r="BU57" s="111" t="e">
        <f t="shared" si="83"/>
        <v>#DIV/0!</v>
      </c>
      <c r="BV57" s="111" t="e">
        <f t="shared" si="83"/>
        <v>#DIV/0!</v>
      </c>
      <c r="BW57" s="111" t="e">
        <f t="shared" si="84"/>
        <v>#DIV/0!</v>
      </c>
    </row>
    <row r="58" spans="1:76" x14ac:dyDescent="0.25">
      <c r="A58" s="20" t="str">
        <f t="shared" si="85"/>
        <v># Case_by_rookie_GENLION:4 - 6 mths</v>
      </c>
      <c r="B58" t="s">
        <v>8</v>
      </c>
      <c r="Z58" s="6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31"/>
      <c r="AL58" s="31"/>
      <c r="AM58" s="31"/>
      <c r="AN58" s="31"/>
      <c r="AO58" s="31"/>
      <c r="AP58" s="113">
        <f>[16]cc!J45</f>
        <v>62</v>
      </c>
      <c r="AQ58" s="113">
        <f>[17]cc!J46</f>
        <v>152</v>
      </c>
      <c r="AR58" s="113">
        <f>[18]cc!J46</f>
        <v>279</v>
      </c>
      <c r="AS58" s="113">
        <f>[19]cc!J66</f>
        <v>79.5</v>
      </c>
      <c r="AT58" s="113">
        <f>[20]cc!J66</f>
        <v>53</v>
      </c>
      <c r="AU58" s="113">
        <f>[21]cc!J66</f>
        <v>58</v>
      </c>
      <c r="AV58" s="113">
        <f>[22]cc!J66</f>
        <v>62</v>
      </c>
      <c r="AW58" s="113"/>
      <c r="AX58" s="113"/>
      <c r="AY58" s="113"/>
      <c r="AZ58" s="113"/>
      <c r="BA58" s="113"/>
      <c r="BB58" s="110">
        <f>SUM(AP58:INDEX(AP58:AR58,IF($B$3&lt;3,$B$3,3)))</f>
        <v>493</v>
      </c>
      <c r="BC58" s="110">
        <f>SUM(AS58:INDEX(AS58:AU58,IF(AND($B$3&gt;3,B56&lt;7),$B$3-3,0)))</f>
        <v>190.5</v>
      </c>
      <c r="BD58" s="110">
        <f>SUM(AV58:INDEX(AV58:AX58,IF(AND($B$3&gt;6,$B$3&lt;10),$B$3-6,0)))</f>
        <v>62</v>
      </c>
      <c r="BE58" s="110">
        <f>SUM(AY58:INDEX(AY58:BA58,IF($B$3&gt;9,$B$3-9,0)))</f>
        <v>0</v>
      </c>
      <c r="BF58" s="110">
        <f>SUM($AP58:INDEX(AP58:BA58,$B$3))</f>
        <v>745.5</v>
      </c>
      <c r="BG58" s="122" t="e">
        <f t="shared" si="82"/>
        <v>#DIV/0!</v>
      </c>
      <c r="BH58" s="111" t="e">
        <f t="shared" si="82"/>
        <v>#DIV/0!</v>
      </c>
      <c r="BI58" s="111" t="e">
        <f t="shared" si="82"/>
        <v>#DIV/0!</v>
      </c>
      <c r="BJ58" s="111" t="e">
        <f t="shared" si="82"/>
        <v>#DIV/0!</v>
      </c>
      <c r="BK58" s="111" t="e">
        <f t="shared" si="82"/>
        <v>#DIV/0!</v>
      </c>
      <c r="BL58" s="111" t="e">
        <f t="shared" si="82"/>
        <v>#DIV/0!</v>
      </c>
      <c r="BM58" s="111" t="e">
        <f t="shared" si="82"/>
        <v>#DIV/0!</v>
      </c>
      <c r="BN58" s="111" t="e">
        <f t="shared" si="82"/>
        <v>#DIV/0!</v>
      </c>
      <c r="BO58" s="111" t="e">
        <f t="shared" si="82"/>
        <v>#DIV/0!</v>
      </c>
      <c r="BP58" s="111" t="e">
        <f t="shared" si="82"/>
        <v>#DIV/0!</v>
      </c>
      <c r="BQ58" s="111" t="e">
        <f t="shared" si="82"/>
        <v>#DIV/0!</v>
      </c>
      <c r="BR58" s="111" t="e">
        <f t="shared" si="82"/>
        <v>#DIV/0!</v>
      </c>
      <c r="BS58" s="111" t="e">
        <f>BB58/SUM(O58:INDEX(O58:Q58,IF($B$3&lt;3,$B$3,3)))</f>
        <v>#DIV/0!</v>
      </c>
      <c r="BT58" s="111" t="e">
        <f>BC58/SUM(R58:INDEX(R58:T58,IF($B$3&lt;7,$B$3-3,3)))</f>
        <v>#DIV/0!</v>
      </c>
      <c r="BU58" s="111" t="e">
        <f t="shared" si="83"/>
        <v>#DIV/0!</v>
      </c>
      <c r="BV58" s="111" t="e">
        <f t="shared" si="83"/>
        <v>#DIV/0!</v>
      </c>
      <c r="BW58" s="111" t="e">
        <f t="shared" si="84"/>
        <v>#DIV/0!</v>
      </c>
    </row>
    <row r="59" spans="1:76" x14ac:dyDescent="0.25">
      <c r="A59" s="20" t="str">
        <f t="shared" si="85"/>
        <v># Case_by_rookie_GENLION:7-12mth</v>
      </c>
      <c r="B59" t="s">
        <v>1</v>
      </c>
      <c r="Z59" s="6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31"/>
      <c r="AL59" s="31"/>
      <c r="AM59" s="31"/>
      <c r="AN59" s="31"/>
      <c r="AO59" s="31"/>
      <c r="AP59" s="113">
        <f>[16]cc!J46</f>
        <v>34</v>
      </c>
      <c r="AQ59" s="113">
        <f>[17]cc!J47</f>
        <v>37</v>
      </c>
      <c r="AR59" s="113">
        <f>[18]cc!J47</f>
        <v>80</v>
      </c>
      <c r="AS59" s="113">
        <f>[19]cc!J67</f>
        <v>105</v>
      </c>
      <c r="AT59" s="113">
        <f>[20]cc!J67</f>
        <v>777</v>
      </c>
      <c r="AU59" s="113">
        <f>[21]cc!J67</f>
        <v>145.5</v>
      </c>
      <c r="AV59" s="113">
        <f>[22]cc!J67</f>
        <v>115</v>
      </c>
      <c r="AW59" s="113"/>
      <c r="AX59" s="113"/>
      <c r="AY59" s="113"/>
      <c r="AZ59" s="113"/>
      <c r="BA59" s="113"/>
      <c r="BB59" s="110">
        <f>SUM(AP59:INDEX(AP59:AR59,IF($B$3&lt;3,$B$3,3)))</f>
        <v>151</v>
      </c>
      <c r="BC59" s="110">
        <f>SUM(AS59:INDEX(AS59:AU59,IF(AND($B$3&gt;3,B57&lt;7),$B$3-3,0)))</f>
        <v>1027.5</v>
      </c>
      <c r="BD59" s="110">
        <f>SUM(AV59:INDEX(AV59:AX59,IF(AND($B$3&gt;6,$B$3&lt;10),$B$3-6,0)))</f>
        <v>115</v>
      </c>
      <c r="BE59" s="110">
        <f>SUM(AY59:INDEX(AY59:BA59,IF($B$3&gt;9,$B$3-9,0)))</f>
        <v>0</v>
      </c>
      <c r="BF59" s="110">
        <f>SUM($AP59:INDEX(AP59:BA59,$B$3))</f>
        <v>1293.5</v>
      </c>
      <c r="BG59" s="122" t="e">
        <f t="shared" si="82"/>
        <v>#DIV/0!</v>
      </c>
      <c r="BH59" s="111" t="e">
        <f t="shared" si="82"/>
        <v>#DIV/0!</v>
      </c>
      <c r="BI59" s="111" t="e">
        <f t="shared" si="82"/>
        <v>#DIV/0!</v>
      </c>
      <c r="BJ59" s="111" t="e">
        <f t="shared" si="82"/>
        <v>#DIV/0!</v>
      </c>
      <c r="BK59" s="111" t="e">
        <f t="shared" si="82"/>
        <v>#DIV/0!</v>
      </c>
      <c r="BL59" s="111" t="e">
        <f t="shared" si="82"/>
        <v>#DIV/0!</v>
      </c>
      <c r="BM59" s="111" t="e">
        <f t="shared" si="82"/>
        <v>#DIV/0!</v>
      </c>
      <c r="BN59" s="111" t="e">
        <f t="shared" si="82"/>
        <v>#DIV/0!</v>
      </c>
      <c r="BO59" s="111" t="e">
        <f t="shared" si="82"/>
        <v>#DIV/0!</v>
      </c>
      <c r="BP59" s="111" t="e">
        <f t="shared" si="82"/>
        <v>#DIV/0!</v>
      </c>
      <c r="BQ59" s="111" t="e">
        <f t="shared" si="82"/>
        <v>#DIV/0!</v>
      </c>
      <c r="BR59" s="111" t="e">
        <f t="shared" si="82"/>
        <v>#DIV/0!</v>
      </c>
      <c r="BS59" s="111" t="e">
        <f>BB59/SUM(O59:INDEX(O59:Q59,IF($B$3&lt;3,$B$3,3)))</f>
        <v>#DIV/0!</v>
      </c>
      <c r="BT59" s="111" t="e">
        <f>BC59/SUM(R59:INDEX(R59:T59,IF($B$3&lt;7,$B$3-3,3)))</f>
        <v>#DIV/0!</v>
      </c>
      <c r="BU59" s="111" t="e">
        <f t="shared" si="83"/>
        <v>#DIV/0!</v>
      </c>
      <c r="BV59" s="111" t="e">
        <f t="shared" si="83"/>
        <v>#DIV/0!</v>
      </c>
      <c r="BW59" s="111" t="e">
        <f t="shared" si="84"/>
        <v>#DIV/0!</v>
      </c>
    </row>
    <row r="60" spans="1:76" x14ac:dyDescent="0.25">
      <c r="A60" s="20" t="str">
        <f t="shared" si="85"/>
        <v># Case_by_rookie_GENLION:13+mth</v>
      </c>
      <c r="B60" t="s">
        <v>2</v>
      </c>
      <c r="Z60" s="6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31"/>
      <c r="AL60" s="31"/>
      <c r="AM60" s="31"/>
      <c r="AN60" s="31"/>
      <c r="AO60" s="31"/>
      <c r="AP60" s="113">
        <f>[16]cc!J47</f>
        <v>75.5</v>
      </c>
      <c r="AQ60" s="113">
        <f>[17]cc!J48</f>
        <v>63</v>
      </c>
      <c r="AR60" s="113">
        <f>[18]cc!J48</f>
        <v>135</v>
      </c>
      <c r="AS60" s="113">
        <f>[19]cc!J68</f>
        <v>113</v>
      </c>
      <c r="AT60" s="113">
        <f>[20]cc!J68</f>
        <v>113</v>
      </c>
      <c r="AU60" s="113">
        <f>[21]cc!J68</f>
        <v>101.5</v>
      </c>
      <c r="AV60" s="113">
        <f>[22]cc!J68</f>
        <v>106.5</v>
      </c>
      <c r="AW60" s="113"/>
      <c r="AX60" s="113"/>
      <c r="AY60" s="113"/>
      <c r="AZ60" s="113"/>
      <c r="BA60" s="113"/>
      <c r="BB60" s="110">
        <f>SUM(AP60:INDEX(AP60:AR60,IF($B$3&lt;3,$B$3,3)))</f>
        <v>273.5</v>
      </c>
      <c r="BC60" s="110">
        <f>SUM(AS60:INDEX(AS60:AU60,IF(AND($B$3&gt;3,B58&lt;7),$B$3-3,0)))</f>
        <v>327.5</v>
      </c>
      <c r="BD60" s="110">
        <f>SUM(AV60:INDEX(AV60:AX60,IF(AND($B$3&gt;6,$B$3&lt;10),$B$3-6,0)))</f>
        <v>106.5</v>
      </c>
      <c r="BE60" s="110">
        <f>SUM(AY60:INDEX(AY60:BA60,IF($B$3&gt;9,$B$3-9,0)))</f>
        <v>0</v>
      </c>
      <c r="BF60" s="110">
        <f>SUM($AP60:INDEX(AP60:BA60,$B$3))</f>
        <v>707.5</v>
      </c>
      <c r="BG60" s="122" t="e">
        <f t="shared" si="82"/>
        <v>#DIV/0!</v>
      </c>
      <c r="BH60" s="111" t="e">
        <f t="shared" si="82"/>
        <v>#DIV/0!</v>
      </c>
      <c r="BI60" s="111" t="e">
        <f t="shared" si="82"/>
        <v>#DIV/0!</v>
      </c>
      <c r="BJ60" s="111" t="e">
        <f t="shared" si="82"/>
        <v>#DIV/0!</v>
      </c>
      <c r="BK60" s="111" t="e">
        <f t="shared" si="82"/>
        <v>#DIV/0!</v>
      </c>
      <c r="BL60" s="111" t="e">
        <f t="shared" si="82"/>
        <v>#DIV/0!</v>
      </c>
      <c r="BM60" s="111" t="e">
        <f t="shared" si="82"/>
        <v>#DIV/0!</v>
      </c>
      <c r="BN60" s="111" t="e">
        <f t="shared" si="82"/>
        <v>#DIV/0!</v>
      </c>
      <c r="BO60" s="111" t="e">
        <f t="shared" si="82"/>
        <v>#DIV/0!</v>
      </c>
      <c r="BP60" s="111" t="e">
        <f t="shared" si="82"/>
        <v>#DIV/0!</v>
      </c>
      <c r="BQ60" s="111" t="e">
        <f t="shared" si="82"/>
        <v>#DIV/0!</v>
      </c>
      <c r="BR60" s="111" t="e">
        <f t="shared" si="82"/>
        <v>#DIV/0!</v>
      </c>
      <c r="BS60" s="111" t="e">
        <f>BB60/SUM(O60:INDEX(O60:Q60,IF($B$3&lt;3,$B$3,3)))</f>
        <v>#DIV/0!</v>
      </c>
      <c r="BT60" s="111" t="e">
        <f>BC60/SUM(R60:INDEX(R60:T60,IF($B$3&lt;7,$B$3-3,3)))</f>
        <v>#DIV/0!</v>
      </c>
      <c r="BU60" s="111" t="e">
        <f t="shared" si="83"/>
        <v>#DIV/0!</v>
      </c>
      <c r="BV60" s="111" t="e">
        <f t="shared" si="83"/>
        <v>#DIV/0!</v>
      </c>
      <c r="BW60" s="111" t="e">
        <f t="shared" si="84"/>
        <v>#DIV/0!</v>
      </c>
    </row>
    <row r="61" spans="1:76" x14ac:dyDescent="0.25">
      <c r="A61" s="20" t="str">
        <f t="shared" si="85"/>
        <v># Case_by_rookie_GENLION:SA</v>
      </c>
      <c r="B61" s="135" t="s">
        <v>136</v>
      </c>
      <c r="Z61" s="6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31"/>
      <c r="AL61" s="31"/>
      <c r="AM61" s="31"/>
      <c r="AN61" s="31"/>
      <c r="AO61" s="31"/>
      <c r="AP61" s="113"/>
      <c r="AQ61" s="113">
        <f>[17]cc!J49</f>
        <v>36.5</v>
      </c>
      <c r="AR61" s="113">
        <f>[18]cc!J49</f>
        <v>39.5</v>
      </c>
      <c r="AS61" s="113">
        <f>[19]cc!J69</f>
        <v>56.5</v>
      </c>
      <c r="AT61" s="113">
        <f>[20]cc!J69</f>
        <v>29</v>
      </c>
      <c r="AU61" s="113">
        <f>[21]cc!J69</f>
        <v>15</v>
      </c>
      <c r="AV61" s="113">
        <f>[22]cc!J69</f>
        <v>25</v>
      </c>
      <c r="AW61" s="113"/>
      <c r="AX61" s="113"/>
      <c r="AY61" s="113"/>
      <c r="AZ61" s="113"/>
      <c r="BA61" s="113"/>
      <c r="BB61" s="110">
        <f>SUM(AP61:INDEX(AP61:AR61,IF($B$3&lt;3,$B$3,3)))</f>
        <v>76</v>
      </c>
      <c r="BC61" s="110">
        <f>SUM(AS61:INDEX(AS61:AU61,IF(AND($B$3&gt;3,B59&lt;7),$B$3-3,0)))</f>
        <v>100.5</v>
      </c>
      <c r="BD61" s="110">
        <f>SUM(AV61:INDEX(AV61:AX61,IF(AND($B$3&gt;6,$B$3&lt;10),$B$3-6,0)))</f>
        <v>25</v>
      </c>
      <c r="BE61" s="110">
        <f>SUM(AY61:INDEX(AY61:BA61,IF($B$3&gt;9,$B$3-9,0)))</f>
        <v>0</v>
      </c>
      <c r="BF61" s="110">
        <f>SUM($AP61:INDEX(AP61:BA61,$B$3))</f>
        <v>201.5</v>
      </c>
      <c r="BG61" s="122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</row>
    <row r="62" spans="1:76" s="17" customFormat="1" x14ac:dyDescent="0.25">
      <c r="A62" s="20" t="str">
        <f t="shared" si="85"/>
        <v># Case_by_rookie_GENLION:Total</v>
      </c>
      <c r="B62" s="1" t="s">
        <v>3</v>
      </c>
      <c r="C62" s="7">
        <f>SUM(C54:C60)</f>
        <v>0</v>
      </c>
      <c r="D62" s="7">
        <f t="shared" ref="D62:Z62" si="86">SUM(D54:D60)</f>
        <v>0</v>
      </c>
      <c r="E62" s="7">
        <f t="shared" si="86"/>
        <v>0</v>
      </c>
      <c r="F62" s="7">
        <f t="shared" si="86"/>
        <v>0</v>
      </c>
      <c r="G62" s="7">
        <f t="shared" si="86"/>
        <v>0</v>
      </c>
      <c r="H62" s="7">
        <f t="shared" si="86"/>
        <v>0</v>
      </c>
      <c r="I62" s="7">
        <f t="shared" si="86"/>
        <v>0</v>
      </c>
      <c r="J62" s="7">
        <f t="shared" si="86"/>
        <v>0</v>
      </c>
      <c r="K62" s="7">
        <f t="shared" si="86"/>
        <v>0</v>
      </c>
      <c r="L62" s="7">
        <f t="shared" si="86"/>
        <v>0</v>
      </c>
      <c r="M62" s="7">
        <f t="shared" si="86"/>
        <v>0</v>
      </c>
      <c r="N62" s="7">
        <f t="shared" si="86"/>
        <v>0</v>
      </c>
      <c r="O62" s="7">
        <f t="shared" si="86"/>
        <v>0</v>
      </c>
      <c r="P62" s="7">
        <f t="shared" si="86"/>
        <v>0</v>
      </c>
      <c r="Q62" s="7">
        <f t="shared" si="86"/>
        <v>0</v>
      </c>
      <c r="R62" s="7">
        <f t="shared" si="86"/>
        <v>0</v>
      </c>
      <c r="S62" s="7">
        <f t="shared" si="86"/>
        <v>0</v>
      </c>
      <c r="T62" s="7">
        <f t="shared" si="86"/>
        <v>0</v>
      </c>
      <c r="U62" s="7">
        <f t="shared" si="86"/>
        <v>0</v>
      </c>
      <c r="V62" s="7">
        <f t="shared" si="86"/>
        <v>0</v>
      </c>
      <c r="W62" s="7">
        <f t="shared" si="86"/>
        <v>0</v>
      </c>
      <c r="X62" s="7">
        <f t="shared" si="86"/>
        <v>0</v>
      </c>
      <c r="Y62" s="7">
        <f t="shared" si="86"/>
        <v>0</v>
      </c>
      <c r="Z62" s="7">
        <f t="shared" si="86"/>
        <v>0</v>
      </c>
      <c r="AA62" s="1">
        <f>SUM(O62:INDEX(O62:Z62,$B$3))</f>
        <v>0</v>
      </c>
      <c r="AB62" s="1">
        <f t="shared" ref="AB62:AJ62" si="87">SUM(AB54:AB60)</f>
        <v>0</v>
      </c>
      <c r="AC62" s="1">
        <f t="shared" si="87"/>
        <v>0</v>
      </c>
      <c r="AD62" s="1">
        <f t="shared" si="87"/>
        <v>0</v>
      </c>
      <c r="AE62" s="1">
        <f t="shared" si="87"/>
        <v>0</v>
      </c>
      <c r="AF62" s="7">
        <f t="shared" si="87"/>
        <v>0</v>
      </c>
      <c r="AG62" s="7">
        <f t="shared" si="87"/>
        <v>0</v>
      </c>
      <c r="AH62" s="7">
        <f t="shared" si="87"/>
        <v>0</v>
      </c>
      <c r="AI62" s="7">
        <f t="shared" si="87"/>
        <v>0</v>
      </c>
      <c r="AJ62" s="7">
        <f t="shared" si="87"/>
        <v>0</v>
      </c>
      <c r="AK62" s="32" t="e">
        <f t="shared" ref="AK62" si="88">AA62/AF62-1</f>
        <v>#DIV/0!</v>
      </c>
      <c r="AL62" s="32" t="e">
        <f t="shared" ref="AL62:AN62" si="89">AB62/AG62-1</f>
        <v>#DIV/0!</v>
      </c>
      <c r="AM62" s="32" t="e">
        <f t="shared" si="89"/>
        <v>#DIV/0!</v>
      </c>
      <c r="AN62" s="32" t="e">
        <f t="shared" si="89"/>
        <v>#DIV/0!</v>
      </c>
      <c r="AO62" s="31" t="e">
        <f>AE62/SUM(L62:INDEX(L62:N62,MOD($B$3,3)))-1</f>
        <v>#DIV/0!</v>
      </c>
      <c r="AP62" s="114">
        <f t="shared" ref="AP62" si="90">SUM(AP54:AP60)</f>
        <v>690</v>
      </c>
      <c r="AQ62" s="114">
        <f t="shared" ref="AQ62:AV62" si="91">SUM(AQ54:AQ61)</f>
        <v>918</v>
      </c>
      <c r="AR62" s="114">
        <f t="shared" si="91"/>
        <v>1428</v>
      </c>
      <c r="AS62" s="114">
        <f t="shared" si="91"/>
        <v>1259</v>
      </c>
      <c r="AT62" s="114">
        <f t="shared" si="91"/>
        <v>1915</v>
      </c>
      <c r="AU62" s="114">
        <f t="shared" si="91"/>
        <v>1626</v>
      </c>
      <c r="AV62" s="114">
        <f t="shared" si="91"/>
        <v>1171</v>
      </c>
      <c r="AW62" s="114"/>
      <c r="AX62" s="114"/>
      <c r="AY62" s="114"/>
      <c r="AZ62" s="114"/>
      <c r="BA62" s="114"/>
      <c r="BB62" s="116">
        <f>SUM(AP62:INDEX(AP62:AR62,IF($B$3&lt;3,$B$3,3)))</f>
        <v>3036</v>
      </c>
      <c r="BC62" s="116">
        <f>SUM(AS62:INDEX(AS62:AU62,IF(AND($B$3&gt;3,B59&lt;7),$B$3-3,0)))</f>
        <v>4800</v>
      </c>
      <c r="BD62" s="116">
        <f>SUM(AV62:INDEX(AV62:AX62,IF(AND($B$3&gt;6,$B$3&lt;10),$B$3-6,0)))</f>
        <v>1171</v>
      </c>
      <c r="BE62" s="116">
        <f>SUM(AY62:INDEX(AY62:BA62,IF($B$3&gt;9,$B$3-9,0)))</f>
        <v>0</v>
      </c>
      <c r="BF62" s="116">
        <f>SUM($AP62:INDEX(AP62:BA62,$B$3))</f>
        <v>9007</v>
      </c>
      <c r="BG62" s="123" t="e">
        <f t="shared" si="82"/>
        <v>#DIV/0!</v>
      </c>
      <c r="BH62" s="118" t="e">
        <f t="shared" si="82"/>
        <v>#DIV/0!</v>
      </c>
      <c r="BI62" s="118" t="e">
        <f t="shared" si="82"/>
        <v>#DIV/0!</v>
      </c>
      <c r="BJ62" s="118" t="e">
        <f t="shared" si="82"/>
        <v>#DIV/0!</v>
      </c>
      <c r="BK62" s="118" t="e">
        <f t="shared" si="82"/>
        <v>#DIV/0!</v>
      </c>
      <c r="BL62" s="118" t="e">
        <f t="shared" si="82"/>
        <v>#DIV/0!</v>
      </c>
      <c r="BM62" s="118" t="e">
        <f t="shared" si="82"/>
        <v>#DIV/0!</v>
      </c>
      <c r="BN62" s="118" t="e">
        <f t="shared" si="82"/>
        <v>#DIV/0!</v>
      </c>
      <c r="BO62" s="118" t="e">
        <f t="shared" si="82"/>
        <v>#DIV/0!</v>
      </c>
      <c r="BP62" s="118" t="e">
        <f t="shared" si="82"/>
        <v>#DIV/0!</v>
      </c>
      <c r="BQ62" s="118" t="e">
        <f t="shared" si="82"/>
        <v>#DIV/0!</v>
      </c>
      <c r="BR62" s="118" t="e">
        <f t="shared" si="82"/>
        <v>#DIV/0!</v>
      </c>
      <c r="BS62" s="118" t="e">
        <f>BB62/SUM(O62:INDEX(O62:Q62,IF($B$3&lt;3,$B$3,3)))</f>
        <v>#DIV/0!</v>
      </c>
      <c r="BT62" s="118" t="e">
        <f>BC62/SUM(R62:INDEX(R62:T62,IF($B$3&lt;7,$B$3-3,3)))</f>
        <v>#DIV/0!</v>
      </c>
      <c r="BU62" s="118" t="e">
        <f t="shared" si="83"/>
        <v>#DIV/0!</v>
      </c>
      <c r="BV62" s="118" t="e">
        <f t="shared" si="83"/>
        <v>#DIV/0!</v>
      </c>
      <c r="BW62" s="118" t="e">
        <f t="shared" si="84"/>
        <v>#DIV/0!</v>
      </c>
    </row>
    <row r="63" spans="1:76" x14ac:dyDescent="0.25">
      <c r="BG63" s="124"/>
    </row>
    <row r="64" spans="1:76" x14ac:dyDescent="0.25">
      <c r="BG64" s="124"/>
    </row>
    <row r="65" spans="1:75" s="17" customFormat="1" x14ac:dyDescent="0.25">
      <c r="B65" s="2" t="s">
        <v>13</v>
      </c>
      <c r="C65" s="3">
        <f t="shared" ref="C65:Z65" si="92">C29</f>
        <v>42005</v>
      </c>
      <c r="D65" s="3">
        <f t="shared" si="92"/>
        <v>42036</v>
      </c>
      <c r="E65" s="3">
        <f t="shared" si="92"/>
        <v>42064</v>
      </c>
      <c r="F65" s="3">
        <f t="shared" si="92"/>
        <v>42095</v>
      </c>
      <c r="G65" s="3">
        <f t="shared" si="92"/>
        <v>42125</v>
      </c>
      <c r="H65" s="3">
        <f t="shared" si="92"/>
        <v>42156</v>
      </c>
      <c r="I65" s="3">
        <f t="shared" si="92"/>
        <v>42186</v>
      </c>
      <c r="J65" s="3">
        <f t="shared" si="92"/>
        <v>42217</v>
      </c>
      <c r="K65" s="3">
        <f t="shared" si="92"/>
        <v>42248</v>
      </c>
      <c r="L65" s="3">
        <f t="shared" si="92"/>
        <v>42278</v>
      </c>
      <c r="M65" s="3">
        <f t="shared" si="92"/>
        <v>42309</v>
      </c>
      <c r="N65" s="3">
        <f t="shared" si="92"/>
        <v>42339</v>
      </c>
      <c r="O65" s="3">
        <f t="shared" si="92"/>
        <v>42370</v>
      </c>
      <c r="P65" s="3">
        <f t="shared" si="92"/>
        <v>42401</v>
      </c>
      <c r="Q65" s="3">
        <f t="shared" si="92"/>
        <v>42430</v>
      </c>
      <c r="R65" s="3">
        <f t="shared" si="92"/>
        <v>42461</v>
      </c>
      <c r="S65" s="3">
        <f t="shared" si="92"/>
        <v>42491</v>
      </c>
      <c r="T65" s="3">
        <f t="shared" si="92"/>
        <v>42522</v>
      </c>
      <c r="U65" s="3">
        <f t="shared" si="92"/>
        <v>42552</v>
      </c>
      <c r="V65" s="3">
        <f t="shared" si="92"/>
        <v>42583</v>
      </c>
      <c r="W65" s="3">
        <f t="shared" si="92"/>
        <v>42614</v>
      </c>
      <c r="X65" s="3">
        <f t="shared" si="92"/>
        <v>42644</v>
      </c>
      <c r="Y65" s="3">
        <f t="shared" si="92"/>
        <v>42675</v>
      </c>
      <c r="Z65" s="3">
        <f t="shared" si="92"/>
        <v>42705</v>
      </c>
      <c r="AA65" s="29" t="str">
        <f>$AA$4</f>
        <v>YTD 7/16</v>
      </c>
      <c r="AB65" s="29" t="s">
        <v>19</v>
      </c>
      <c r="AC65" s="29" t="s">
        <v>20</v>
      </c>
      <c r="AD65" s="29" t="s">
        <v>21</v>
      </c>
      <c r="AE65" s="29" t="s">
        <v>22</v>
      </c>
      <c r="AF65" s="26" t="str">
        <f t="shared" ref="AF65:AJ65" si="93">AF41</f>
        <v>YTD 7/15</v>
      </c>
      <c r="AG65" s="26" t="str">
        <f t="shared" si="93"/>
        <v>Q1 '15</v>
      </c>
      <c r="AH65" s="26" t="str">
        <f t="shared" si="93"/>
        <v>Q2 '15</v>
      </c>
      <c r="AI65" s="26" t="str">
        <f t="shared" si="93"/>
        <v>Q3 '15</v>
      </c>
      <c r="AJ65" s="26" t="str">
        <f t="shared" si="93"/>
        <v>Q4 '15</v>
      </c>
      <c r="AK65" s="30" t="s">
        <v>27</v>
      </c>
      <c r="AL65" s="30" t="s">
        <v>29</v>
      </c>
      <c r="AM65" s="30" t="s">
        <v>30</v>
      </c>
      <c r="AN65" s="30" t="s">
        <v>31</v>
      </c>
      <c r="AO65" s="30" t="s">
        <v>32</v>
      </c>
      <c r="AP65" s="108">
        <v>42736</v>
      </c>
      <c r="AQ65" s="108">
        <v>42767</v>
      </c>
      <c r="AR65" s="108">
        <v>42795</v>
      </c>
      <c r="AS65" s="108">
        <v>42826</v>
      </c>
      <c r="AT65" s="108">
        <v>42856</v>
      </c>
      <c r="AU65" s="108">
        <v>42887</v>
      </c>
      <c r="AV65" s="108">
        <v>42917</v>
      </c>
      <c r="AW65" s="108">
        <v>42948</v>
      </c>
      <c r="AX65" s="108">
        <v>42979</v>
      </c>
      <c r="AY65" s="108">
        <v>43009</v>
      </c>
      <c r="AZ65" s="108">
        <v>43040</v>
      </c>
      <c r="BA65" s="108">
        <v>43070</v>
      </c>
      <c r="BB65" s="29" t="s">
        <v>123</v>
      </c>
      <c r="BC65" s="29" t="s">
        <v>124</v>
      </c>
      <c r="BD65" s="29" t="s">
        <v>125</v>
      </c>
      <c r="BE65" s="29" t="s">
        <v>126</v>
      </c>
      <c r="BF65" s="29" t="str">
        <f>$BF$4</f>
        <v>YTD 7/17</v>
      </c>
      <c r="BG65" s="121">
        <v>42736</v>
      </c>
      <c r="BH65" s="108">
        <v>42767</v>
      </c>
      <c r="BI65" s="108">
        <v>42795</v>
      </c>
      <c r="BJ65" s="108">
        <v>42826</v>
      </c>
      <c r="BK65" s="108">
        <v>42856</v>
      </c>
      <c r="BL65" s="108">
        <v>42887</v>
      </c>
      <c r="BM65" s="108">
        <v>42917</v>
      </c>
      <c r="BN65" s="108">
        <v>42948</v>
      </c>
      <c r="BO65" s="108">
        <v>42979</v>
      </c>
      <c r="BP65" s="108">
        <v>43009</v>
      </c>
      <c r="BQ65" s="108">
        <v>43040</v>
      </c>
      <c r="BR65" s="108">
        <v>43070</v>
      </c>
      <c r="BS65" s="29" t="s">
        <v>127</v>
      </c>
      <c r="BT65" s="29" t="s">
        <v>128</v>
      </c>
      <c r="BU65" s="29" t="s">
        <v>96</v>
      </c>
      <c r="BV65" s="29" t="s">
        <v>129</v>
      </c>
      <c r="BW65" s="112" t="s">
        <v>130</v>
      </c>
    </row>
    <row r="66" spans="1:75" x14ac:dyDescent="0.25">
      <c r="A66" s="20" t="str">
        <f>$B$65&amp;"_by_rookie_GENLION:"&amp;TRIM(B66)</f>
        <v># Case/Active_by_rookie_GENLION:MDRT/ GEN Lion (from Apr '17)</v>
      </c>
      <c r="B66" t="s">
        <v>157</v>
      </c>
      <c r="C66" s="10" t="str">
        <f t="shared" ref="C66:AJ72" si="94">IFERROR(C54/C30,"")</f>
        <v/>
      </c>
      <c r="D66" s="10" t="str">
        <f t="shared" si="94"/>
        <v/>
      </c>
      <c r="E66" s="10" t="str">
        <f t="shared" si="94"/>
        <v/>
      </c>
      <c r="F66" s="10" t="str">
        <f t="shared" si="94"/>
        <v/>
      </c>
      <c r="G66" s="10" t="str">
        <f t="shared" si="94"/>
        <v/>
      </c>
      <c r="H66" s="10" t="str">
        <f t="shared" si="94"/>
        <v/>
      </c>
      <c r="I66" s="10" t="str">
        <f t="shared" si="94"/>
        <v/>
      </c>
      <c r="J66" s="10" t="str">
        <f t="shared" si="94"/>
        <v/>
      </c>
      <c r="K66" s="10" t="str">
        <f t="shared" si="94"/>
        <v/>
      </c>
      <c r="L66" s="10" t="str">
        <f t="shared" si="94"/>
        <v/>
      </c>
      <c r="M66" s="10" t="str">
        <f t="shared" si="94"/>
        <v/>
      </c>
      <c r="N66" s="10" t="str">
        <f t="shared" si="94"/>
        <v/>
      </c>
      <c r="O66" s="10" t="str">
        <f t="shared" si="94"/>
        <v/>
      </c>
      <c r="P66" s="10" t="str">
        <f t="shared" si="94"/>
        <v/>
      </c>
      <c r="Q66" s="10" t="str">
        <f t="shared" si="94"/>
        <v/>
      </c>
      <c r="R66" s="10" t="str">
        <f t="shared" si="94"/>
        <v/>
      </c>
      <c r="S66" s="10" t="str">
        <f t="shared" si="94"/>
        <v/>
      </c>
      <c r="T66" s="10" t="str">
        <f t="shared" si="94"/>
        <v/>
      </c>
      <c r="U66" s="10" t="str">
        <f t="shared" si="94"/>
        <v/>
      </c>
      <c r="V66" s="10" t="str">
        <f t="shared" si="94"/>
        <v/>
      </c>
      <c r="W66" s="10" t="str">
        <f t="shared" si="94"/>
        <v/>
      </c>
      <c r="X66" s="10" t="str">
        <f t="shared" si="94"/>
        <v/>
      </c>
      <c r="Y66" s="10" t="str">
        <f t="shared" si="94"/>
        <v/>
      </c>
      <c r="Z66" s="10" t="str">
        <f t="shared" si="94"/>
        <v/>
      </c>
      <c r="AA66" s="21" t="str">
        <f t="shared" si="94"/>
        <v/>
      </c>
      <c r="AB66" s="21" t="str">
        <f t="shared" si="94"/>
        <v/>
      </c>
      <c r="AC66" s="21" t="str">
        <f t="shared" si="94"/>
        <v/>
      </c>
      <c r="AD66" s="21" t="str">
        <f t="shared" si="94"/>
        <v/>
      </c>
      <c r="AE66" s="21" t="str">
        <f t="shared" si="94"/>
        <v/>
      </c>
      <c r="AF66" s="21" t="str">
        <f t="shared" si="94"/>
        <v/>
      </c>
      <c r="AG66" s="21" t="str">
        <f t="shared" si="94"/>
        <v/>
      </c>
      <c r="AH66" s="21" t="str">
        <f t="shared" si="94"/>
        <v/>
      </c>
      <c r="AI66" s="21" t="str">
        <f t="shared" si="94"/>
        <v/>
      </c>
      <c r="AJ66" s="21" t="str">
        <f t="shared" si="94"/>
        <v/>
      </c>
      <c r="AK66" s="31" t="e">
        <f>AA66/AF66-1</f>
        <v>#VALUE!</v>
      </c>
      <c r="AL66" s="31" t="e">
        <f t="shared" ref="AL66:AO74" si="95">AB66/AG66-1</f>
        <v>#VALUE!</v>
      </c>
      <c r="AM66" s="31" t="e">
        <f t="shared" si="95"/>
        <v>#VALUE!</v>
      </c>
      <c r="AN66" s="31" t="e">
        <f t="shared" si="95"/>
        <v>#VALUE!</v>
      </c>
      <c r="AO66" s="31" t="e">
        <f t="shared" si="95"/>
        <v>#VALUE!</v>
      </c>
      <c r="AP66" s="10">
        <f t="shared" ref="AP66:AV74" si="96">IFERROR(AP54/AP30,"")</f>
        <v>3.1363636363636362</v>
      </c>
      <c r="AQ66" s="10">
        <f t="shared" si="96"/>
        <v>2.9923076923076923</v>
      </c>
      <c r="AR66" s="10">
        <f t="shared" si="96"/>
        <v>3.8972602739726026</v>
      </c>
      <c r="AS66" s="10">
        <f t="shared" si="96"/>
        <v>3.0337837837837838</v>
      </c>
      <c r="AT66" s="10">
        <f t="shared" si="96"/>
        <v>2.9563758389261743</v>
      </c>
      <c r="AU66" s="10">
        <f t="shared" si="96"/>
        <v>4.5709219858156027</v>
      </c>
      <c r="AV66" s="10">
        <f t="shared" si="96"/>
        <v>3.2324561403508771</v>
      </c>
      <c r="BB66" s="10">
        <f t="shared" ref="BB66:BF73" si="97">IFERROR(BB54/BB30,"")</f>
        <v>3.3756476683937824</v>
      </c>
      <c r="BC66" s="10">
        <f t="shared" si="97"/>
        <v>3.5022831050228311</v>
      </c>
      <c r="BD66" s="10">
        <f t="shared" si="97"/>
        <v>3.2324561403508771</v>
      </c>
      <c r="BE66" s="10" t="str">
        <f t="shared" si="97"/>
        <v/>
      </c>
      <c r="BF66" s="10">
        <f t="shared" si="97"/>
        <v>3.4281879194630873</v>
      </c>
      <c r="BG66" s="122" t="e">
        <f t="shared" ref="BG66:BR74" si="98">AP66/O66</f>
        <v>#VALUE!</v>
      </c>
      <c r="BH66" s="111" t="e">
        <f t="shared" si="98"/>
        <v>#VALUE!</v>
      </c>
      <c r="BI66" s="111" t="e">
        <f t="shared" si="98"/>
        <v>#VALUE!</v>
      </c>
      <c r="BJ66" s="111" t="e">
        <f t="shared" si="98"/>
        <v>#VALUE!</v>
      </c>
      <c r="BK66" s="111" t="e">
        <f t="shared" si="98"/>
        <v>#VALUE!</v>
      </c>
      <c r="BL66" s="111" t="e">
        <f t="shared" si="98"/>
        <v>#VALUE!</v>
      </c>
      <c r="BM66" s="111" t="e">
        <f t="shared" si="98"/>
        <v>#VALUE!</v>
      </c>
      <c r="BN66" s="111" t="e">
        <f t="shared" si="98"/>
        <v>#VALUE!</v>
      </c>
      <c r="BO66" s="111" t="e">
        <f t="shared" si="98"/>
        <v>#VALUE!</v>
      </c>
      <c r="BP66" s="111" t="e">
        <f t="shared" si="98"/>
        <v>#VALUE!</v>
      </c>
      <c r="BQ66" s="111" t="e">
        <f t="shared" si="98"/>
        <v>#VALUE!</v>
      </c>
      <c r="BR66" s="111" t="e">
        <f t="shared" si="98"/>
        <v>#VALUE!</v>
      </c>
      <c r="BS66" s="111" t="e">
        <f>BB66/(SUM(O54:INDEX(O54:Q54,IF($B$3&lt;3,$B$3,3)))/SUM(O30:INDEX(O30:Q30,IF($B$3&lt;3,$B$3,3))))</f>
        <v>#DIV/0!</v>
      </c>
      <c r="BT66" s="111" t="e">
        <f>BC66/(SUM(R54:INDEX(R54:T54,$C$3))/SUM(R30:INDEX(R30:T30,$C$3)))</f>
        <v>#DIV/0!</v>
      </c>
      <c r="BW66" s="31" t="e">
        <f>BF66/AA66</f>
        <v>#VALUE!</v>
      </c>
    </row>
    <row r="67" spans="1:75" x14ac:dyDescent="0.25">
      <c r="A67" s="20" t="str">
        <f t="shared" ref="A67:A74" si="99">$B$65&amp;"_by_rookie_GENLION:"&amp;TRIM(B67)</f>
        <v># Case/Active_by_rookie_GENLION:Rookie in month</v>
      </c>
      <c r="B67" t="s">
        <v>5</v>
      </c>
      <c r="C67" s="10" t="str">
        <f t="shared" si="94"/>
        <v/>
      </c>
      <c r="D67" s="10" t="str">
        <f t="shared" si="94"/>
        <v/>
      </c>
      <c r="E67" s="10" t="str">
        <f t="shared" si="94"/>
        <v/>
      </c>
      <c r="F67" s="10" t="str">
        <f t="shared" si="94"/>
        <v/>
      </c>
      <c r="G67" s="10" t="str">
        <f t="shared" si="94"/>
        <v/>
      </c>
      <c r="H67" s="10" t="str">
        <f t="shared" si="94"/>
        <v/>
      </c>
      <c r="I67" s="10" t="str">
        <f t="shared" si="94"/>
        <v/>
      </c>
      <c r="J67" s="10" t="str">
        <f t="shared" si="94"/>
        <v/>
      </c>
      <c r="K67" s="10" t="str">
        <f t="shared" si="94"/>
        <v/>
      </c>
      <c r="L67" s="10" t="str">
        <f t="shared" si="94"/>
        <v/>
      </c>
      <c r="M67" s="10" t="str">
        <f t="shared" si="94"/>
        <v/>
      </c>
      <c r="N67" s="10" t="str">
        <f t="shared" si="94"/>
        <v/>
      </c>
      <c r="O67" s="10" t="str">
        <f t="shared" si="94"/>
        <v/>
      </c>
      <c r="P67" s="10" t="str">
        <f t="shared" si="94"/>
        <v/>
      </c>
      <c r="Q67" s="10" t="str">
        <f t="shared" si="94"/>
        <v/>
      </c>
      <c r="R67" s="10" t="str">
        <f t="shared" si="94"/>
        <v/>
      </c>
      <c r="S67" s="10" t="str">
        <f t="shared" si="94"/>
        <v/>
      </c>
      <c r="T67" s="10" t="str">
        <f t="shared" si="94"/>
        <v/>
      </c>
      <c r="U67" s="10" t="str">
        <f t="shared" si="94"/>
        <v/>
      </c>
      <c r="V67" s="10" t="str">
        <f t="shared" si="94"/>
        <v/>
      </c>
      <c r="W67" s="10" t="str">
        <f t="shared" si="94"/>
        <v/>
      </c>
      <c r="X67" s="10" t="str">
        <f t="shared" si="94"/>
        <v/>
      </c>
      <c r="Y67" s="10" t="str">
        <f t="shared" si="94"/>
        <v/>
      </c>
      <c r="Z67" s="10" t="str">
        <f t="shared" si="94"/>
        <v/>
      </c>
      <c r="AA67" s="21" t="str">
        <f t="shared" si="94"/>
        <v/>
      </c>
      <c r="AB67" s="21" t="str">
        <f t="shared" si="94"/>
        <v/>
      </c>
      <c r="AC67" s="21" t="str">
        <f t="shared" si="94"/>
        <v/>
      </c>
      <c r="AD67" s="21" t="str">
        <f t="shared" si="94"/>
        <v/>
      </c>
      <c r="AE67" s="21" t="str">
        <f t="shared" si="94"/>
        <v/>
      </c>
      <c r="AF67" s="21" t="str">
        <f t="shared" si="94"/>
        <v/>
      </c>
      <c r="AG67" s="21" t="str">
        <f t="shared" si="94"/>
        <v/>
      </c>
      <c r="AH67" s="21" t="str">
        <f t="shared" si="94"/>
        <v/>
      </c>
      <c r="AI67" s="21" t="str">
        <f t="shared" si="94"/>
        <v/>
      </c>
      <c r="AJ67" s="21" t="str">
        <f t="shared" si="94"/>
        <v/>
      </c>
      <c r="AK67" s="31" t="e">
        <f t="shared" ref="AK67:AK74" si="100">AA67/AF67-1</f>
        <v>#VALUE!</v>
      </c>
      <c r="AL67" s="31" t="e">
        <f t="shared" si="95"/>
        <v>#VALUE!</v>
      </c>
      <c r="AM67" s="31" t="e">
        <f t="shared" si="95"/>
        <v>#VALUE!</v>
      </c>
      <c r="AN67" s="31" t="e">
        <f t="shared" si="95"/>
        <v>#VALUE!</v>
      </c>
      <c r="AO67" s="31" t="e">
        <f t="shared" si="95"/>
        <v>#VALUE!</v>
      </c>
      <c r="AP67" s="10">
        <f t="shared" si="96"/>
        <v>1.9148936170212767</v>
      </c>
      <c r="AQ67" s="10">
        <f t="shared" si="96"/>
        <v>1.2950819672131149</v>
      </c>
      <c r="AR67" s="10">
        <f t="shared" si="96"/>
        <v>1.8181818181818181</v>
      </c>
      <c r="AS67" s="10">
        <f t="shared" si="96"/>
        <v>1.7692307692307692</v>
      </c>
      <c r="AT67" s="10">
        <f t="shared" si="96"/>
        <v>1.4188311688311688</v>
      </c>
      <c r="AU67" s="10">
        <f t="shared" si="96"/>
        <v>1.6201923076923077</v>
      </c>
      <c r="AV67" s="10">
        <f t="shared" ref="AV67" si="101">IFERROR(AV55/AV31,"")</f>
        <v>1.4451612903225806</v>
      </c>
      <c r="BB67" s="10">
        <f t="shared" si="97"/>
        <v>1.6282051282051282</v>
      </c>
      <c r="BC67" s="10">
        <f t="shared" si="97"/>
        <v>1.6009900990099011</v>
      </c>
      <c r="BD67" s="10">
        <f t="shared" si="97"/>
        <v>1.4451612903225806</v>
      </c>
      <c r="BE67" s="10" t="str">
        <f t="shared" si="97"/>
        <v/>
      </c>
      <c r="BF67" s="10">
        <f t="shared" si="97"/>
        <v>1.5848765432098766</v>
      </c>
      <c r="BG67" s="122" t="e">
        <f t="shared" si="98"/>
        <v>#VALUE!</v>
      </c>
      <c r="BH67" s="111" t="e">
        <f t="shared" si="98"/>
        <v>#VALUE!</v>
      </c>
      <c r="BI67" s="111" t="e">
        <f t="shared" si="98"/>
        <v>#VALUE!</v>
      </c>
      <c r="BJ67" s="111" t="e">
        <f t="shared" si="98"/>
        <v>#VALUE!</v>
      </c>
      <c r="BK67" s="111" t="e">
        <f t="shared" si="98"/>
        <v>#VALUE!</v>
      </c>
      <c r="BL67" s="111" t="e">
        <f t="shared" si="98"/>
        <v>#VALUE!</v>
      </c>
      <c r="BM67" s="111" t="e">
        <f t="shared" si="98"/>
        <v>#VALUE!</v>
      </c>
      <c r="BN67" s="111" t="e">
        <f t="shared" si="98"/>
        <v>#VALUE!</v>
      </c>
      <c r="BO67" s="111" t="e">
        <f t="shared" si="98"/>
        <v>#VALUE!</v>
      </c>
      <c r="BP67" s="111" t="e">
        <f t="shared" si="98"/>
        <v>#VALUE!</v>
      </c>
      <c r="BQ67" s="111" t="e">
        <f t="shared" si="98"/>
        <v>#VALUE!</v>
      </c>
      <c r="BR67" s="111" t="e">
        <f t="shared" si="98"/>
        <v>#VALUE!</v>
      </c>
      <c r="BS67" s="111" t="e">
        <f>BB67/(SUM(O55:INDEX(O55:Q55,IF($B$3&lt;3,$B$3,3)))/SUM(O31:INDEX(O31:Q31,IF($B$3&lt;3,$B$3,3))))</f>
        <v>#DIV/0!</v>
      </c>
      <c r="BT67" s="111" t="e">
        <f>BC67/(SUM(R55:INDEX(R55:T55,$C$3))/SUM(R31:INDEX(R31:T31,$C$3)))</f>
        <v>#DIV/0!</v>
      </c>
      <c r="BW67" s="31" t="e">
        <f t="shared" ref="BW67:BW74" si="102">BF67/AA67</f>
        <v>#VALUE!</v>
      </c>
    </row>
    <row r="68" spans="1:75" x14ac:dyDescent="0.25">
      <c r="A68" s="20" t="str">
        <f t="shared" si="99"/>
        <v># Case/Active_by_rookie_GENLION:Rookie last month</v>
      </c>
      <c r="B68" t="s">
        <v>6</v>
      </c>
      <c r="C68" s="10" t="str">
        <f t="shared" si="94"/>
        <v/>
      </c>
      <c r="D68" s="10" t="str">
        <f t="shared" si="94"/>
        <v/>
      </c>
      <c r="E68" s="10" t="str">
        <f t="shared" si="94"/>
        <v/>
      </c>
      <c r="F68" s="10" t="str">
        <f t="shared" si="94"/>
        <v/>
      </c>
      <c r="G68" s="10" t="str">
        <f t="shared" si="94"/>
        <v/>
      </c>
      <c r="H68" s="10" t="str">
        <f t="shared" si="94"/>
        <v/>
      </c>
      <c r="I68" s="10" t="str">
        <f t="shared" si="94"/>
        <v/>
      </c>
      <c r="J68" s="10" t="str">
        <f t="shared" si="94"/>
        <v/>
      </c>
      <c r="K68" s="10" t="str">
        <f t="shared" si="94"/>
        <v/>
      </c>
      <c r="L68" s="10" t="str">
        <f t="shared" si="94"/>
        <v/>
      </c>
      <c r="M68" s="10" t="str">
        <f t="shared" si="94"/>
        <v/>
      </c>
      <c r="N68" s="10" t="str">
        <f t="shared" si="94"/>
        <v/>
      </c>
      <c r="O68" s="10" t="str">
        <f t="shared" si="94"/>
        <v/>
      </c>
      <c r="P68" s="10" t="str">
        <f t="shared" si="94"/>
        <v/>
      </c>
      <c r="Q68" s="10" t="str">
        <f t="shared" si="94"/>
        <v/>
      </c>
      <c r="R68" s="10" t="str">
        <f t="shared" si="94"/>
        <v/>
      </c>
      <c r="S68" s="10" t="str">
        <f t="shared" si="94"/>
        <v/>
      </c>
      <c r="T68" s="10" t="str">
        <f t="shared" si="94"/>
        <v/>
      </c>
      <c r="U68" s="10" t="str">
        <f t="shared" si="94"/>
        <v/>
      </c>
      <c r="V68" s="10" t="str">
        <f t="shared" si="94"/>
        <v/>
      </c>
      <c r="W68" s="10" t="str">
        <f t="shared" si="94"/>
        <v/>
      </c>
      <c r="X68" s="10" t="str">
        <f t="shared" si="94"/>
        <v/>
      </c>
      <c r="Y68" s="10" t="str">
        <f t="shared" si="94"/>
        <v/>
      </c>
      <c r="Z68" s="10" t="str">
        <f t="shared" si="94"/>
        <v/>
      </c>
      <c r="AA68" s="21" t="str">
        <f t="shared" si="94"/>
        <v/>
      </c>
      <c r="AB68" s="21" t="str">
        <f t="shared" si="94"/>
        <v/>
      </c>
      <c r="AC68" s="21" t="str">
        <f t="shared" si="94"/>
        <v/>
      </c>
      <c r="AD68" s="21" t="str">
        <f t="shared" si="94"/>
        <v/>
      </c>
      <c r="AE68" s="21" t="str">
        <f t="shared" si="94"/>
        <v/>
      </c>
      <c r="AF68" s="21" t="str">
        <f t="shared" si="94"/>
        <v/>
      </c>
      <c r="AG68" s="21" t="str">
        <f t="shared" si="94"/>
        <v/>
      </c>
      <c r="AH68" s="21" t="str">
        <f t="shared" si="94"/>
        <v/>
      </c>
      <c r="AI68" s="21" t="str">
        <f t="shared" si="94"/>
        <v/>
      </c>
      <c r="AJ68" s="21" t="str">
        <f t="shared" si="94"/>
        <v/>
      </c>
      <c r="AK68" s="31" t="e">
        <f t="shared" si="100"/>
        <v>#VALUE!</v>
      </c>
      <c r="AL68" s="31" t="e">
        <f t="shared" si="95"/>
        <v>#VALUE!</v>
      </c>
      <c r="AM68" s="31" t="e">
        <f t="shared" si="95"/>
        <v>#VALUE!</v>
      </c>
      <c r="AN68" s="31" t="e">
        <f t="shared" si="95"/>
        <v>#VALUE!</v>
      </c>
      <c r="AO68" s="31" t="e">
        <f t="shared" si="95"/>
        <v>#VALUE!</v>
      </c>
      <c r="AP68" s="10">
        <f t="shared" si="96"/>
        <v>1.509090909090909</v>
      </c>
      <c r="AQ68" s="10">
        <f t="shared" si="96"/>
        <v>1.5</v>
      </c>
      <c r="AR68" s="10">
        <f t="shared" si="96"/>
        <v>2.1157894736842104</v>
      </c>
      <c r="AS68" s="10">
        <f t="shared" si="96"/>
        <v>1.3783783783783783</v>
      </c>
      <c r="AT68" s="10">
        <f t="shared" si="96"/>
        <v>2.0789473684210527</v>
      </c>
      <c r="AU68" s="10">
        <f t="shared" si="96"/>
        <v>1.6931818181818181</v>
      </c>
      <c r="AV68" s="10">
        <f t="shared" ref="AV68" si="103">IFERROR(AV56/AV32,"")</f>
        <v>1.9206349206349207</v>
      </c>
      <c r="BB68" s="10">
        <f t="shared" si="97"/>
        <v>1.8010204081632653</v>
      </c>
      <c r="BC68" s="10">
        <f t="shared" si="97"/>
        <v>1.7184873949579831</v>
      </c>
      <c r="BD68" s="10">
        <f t="shared" si="97"/>
        <v>1.9206349206349207</v>
      </c>
      <c r="BE68" s="10" t="str">
        <f t="shared" si="97"/>
        <v/>
      </c>
      <c r="BF68" s="10">
        <f t="shared" si="97"/>
        <v>1.7766599597585513</v>
      </c>
      <c r="BG68" s="122" t="e">
        <f t="shared" si="98"/>
        <v>#VALUE!</v>
      </c>
      <c r="BH68" s="111" t="e">
        <f t="shared" si="98"/>
        <v>#VALUE!</v>
      </c>
      <c r="BI68" s="111" t="e">
        <f t="shared" si="98"/>
        <v>#VALUE!</v>
      </c>
      <c r="BJ68" s="111" t="e">
        <f t="shared" si="98"/>
        <v>#VALUE!</v>
      </c>
      <c r="BK68" s="111" t="e">
        <f t="shared" si="98"/>
        <v>#VALUE!</v>
      </c>
      <c r="BL68" s="111" t="e">
        <f t="shared" si="98"/>
        <v>#VALUE!</v>
      </c>
      <c r="BM68" s="111" t="e">
        <f t="shared" si="98"/>
        <v>#VALUE!</v>
      </c>
      <c r="BN68" s="111" t="e">
        <f t="shared" si="98"/>
        <v>#VALUE!</v>
      </c>
      <c r="BO68" s="111" t="e">
        <f t="shared" si="98"/>
        <v>#VALUE!</v>
      </c>
      <c r="BP68" s="111" t="e">
        <f t="shared" si="98"/>
        <v>#VALUE!</v>
      </c>
      <c r="BQ68" s="111" t="e">
        <f t="shared" si="98"/>
        <v>#VALUE!</v>
      </c>
      <c r="BR68" s="111" t="e">
        <f t="shared" si="98"/>
        <v>#VALUE!</v>
      </c>
      <c r="BS68" s="111" t="e">
        <f>BB68/(SUM(O56:INDEX(O56:Q56,IF($B$3&lt;3,$B$3,3)))/SUM(O32:INDEX(O32:Q32,IF($B$3&lt;3,$B$3,3))))</f>
        <v>#DIV/0!</v>
      </c>
      <c r="BT68" s="111" t="e">
        <f>BC68/(SUM(R56:INDEX(R56:T56,$C$3))/SUM(R32:INDEX(R32:T32,$C$3)))</f>
        <v>#DIV/0!</v>
      </c>
      <c r="BW68" s="31" t="e">
        <f t="shared" si="102"/>
        <v>#VALUE!</v>
      </c>
    </row>
    <row r="69" spans="1:75" x14ac:dyDescent="0.25">
      <c r="A69" s="20" t="str">
        <f t="shared" si="99"/>
        <v># Case/Active_by_rookie_GENLION:2-3 months</v>
      </c>
      <c r="B69" t="s">
        <v>7</v>
      </c>
      <c r="C69" s="10" t="str">
        <f t="shared" si="94"/>
        <v/>
      </c>
      <c r="D69" s="10" t="str">
        <f t="shared" si="94"/>
        <v/>
      </c>
      <c r="E69" s="10" t="str">
        <f t="shared" si="94"/>
        <v/>
      </c>
      <c r="F69" s="10" t="str">
        <f t="shared" si="94"/>
        <v/>
      </c>
      <c r="G69" s="10" t="str">
        <f t="shared" si="94"/>
        <v/>
      </c>
      <c r="H69" s="10" t="str">
        <f t="shared" si="94"/>
        <v/>
      </c>
      <c r="I69" s="10" t="str">
        <f t="shared" si="94"/>
        <v/>
      </c>
      <c r="J69" s="10" t="str">
        <f t="shared" si="94"/>
        <v/>
      </c>
      <c r="K69" s="10" t="str">
        <f t="shared" si="94"/>
        <v/>
      </c>
      <c r="L69" s="10" t="str">
        <f t="shared" si="94"/>
        <v/>
      </c>
      <c r="M69" s="10" t="str">
        <f t="shared" si="94"/>
        <v/>
      </c>
      <c r="N69" s="10" t="str">
        <f t="shared" si="94"/>
        <v/>
      </c>
      <c r="O69" s="10" t="str">
        <f t="shared" si="94"/>
        <v/>
      </c>
      <c r="P69" s="10" t="str">
        <f t="shared" si="94"/>
        <v/>
      </c>
      <c r="Q69" s="10" t="str">
        <f t="shared" si="94"/>
        <v/>
      </c>
      <c r="R69" s="10" t="str">
        <f t="shared" si="94"/>
        <v/>
      </c>
      <c r="S69" s="10" t="str">
        <f t="shared" si="94"/>
        <v/>
      </c>
      <c r="T69" s="10" t="str">
        <f t="shared" si="94"/>
        <v/>
      </c>
      <c r="U69" s="10" t="str">
        <f t="shared" si="94"/>
        <v/>
      </c>
      <c r="V69" s="10" t="str">
        <f t="shared" si="94"/>
        <v/>
      </c>
      <c r="W69" s="10" t="str">
        <f t="shared" si="94"/>
        <v/>
      </c>
      <c r="X69" s="10" t="str">
        <f t="shared" si="94"/>
        <v/>
      </c>
      <c r="Y69" s="10" t="str">
        <f t="shared" si="94"/>
        <v/>
      </c>
      <c r="Z69" s="10" t="str">
        <f t="shared" si="94"/>
        <v/>
      </c>
      <c r="AA69" s="21" t="str">
        <f t="shared" si="94"/>
        <v/>
      </c>
      <c r="AB69" s="21" t="str">
        <f t="shared" si="94"/>
        <v/>
      </c>
      <c r="AC69" s="21" t="str">
        <f t="shared" si="94"/>
        <v/>
      </c>
      <c r="AD69" s="21" t="str">
        <f t="shared" si="94"/>
        <v/>
      </c>
      <c r="AE69" s="21" t="str">
        <f t="shared" si="94"/>
        <v/>
      </c>
      <c r="AF69" s="21" t="str">
        <f t="shared" si="94"/>
        <v/>
      </c>
      <c r="AG69" s="21" t="str">
        <f t="shared" si="94"/>
        <v/>
      </c>
      <c r="AH69" s="21" t="str">
        <f t="shared" si="94"/>
        <v/>
      </c>
      <c r="AI69" s="21" t="str">
        <f t="shared" si="94"/>
        <v/>
      </c>
      <c r="AJ69" s="21" t="str">
        <f t="shared" si="94"/>
        <v/>
      </c>
      <c r="AK69" s="31" t="e">
        <f t="shared" si="100"/>
        <v>#VALUE!</v>
      </c>
      <c r="AL69" s="31" t="e">
        <f t="shared" si="95"/>
        <v>#VALUE!</v>
      </c>
      <c r="AM69" s="31" t="e">
        <f t="shared" si="95"/>
        <v>#VALUE!</v>
      </c>
      <c r="AN69" s="31" t="e">
        <f t="shared" si="95"/>
        <v>#VALUE!</v>
      </c>
      <c r="AO69" s="31" t="e">
        <f>AE69/AJ69-1</f>
        <v>#VALUE!</v>
      </c>
      <c r="AP69" s="10">
        <f t="shared" si="96"/>
        <v>2.0595238095238093</v>
      </c>
      <c r="AQ69" s="10">
        <f t="shared" si="96"/>
        <v>1.6774193548387097</v>
      </c>
      <c r="AR69" s="10">
        <f t="shared" si="96"/>
        <v>1.7126436781609196</v>
      </c>
      <c r="AS69" s="10">
        <f t="shared" si="96"/>
        <v>1.5074626865671641</v>
      </c>
      <c r="AT69" s="10">
        <f t="shared" si="96"/>
        <v>1.5555555555555556</v>
      </c>
      <c r="AU69" s="10">
        <f t="shared" si="96"/>
        <v>2.0406976744186047</v>
      </c>
      <c r="AV69" s="10">
        <f t="shared" ref="AV69" si="104">IFERROR(AV57/AV33,"")</f>
        <v>1.8860759493670887</v>
      </c>
      <c r="BB69" s="10">
        <f t="shared" si="97"/>
        <v>1.7966101694915255</v>
      </c>
      <c r="BC69" s="10">
        <f t="shared" si="97"/>
        <v>1.7200854700854702</v>
      </c>
      <c r="BD69" s="10">
        <f t="shared" si="97"/>
        <v>1.8860759493670887</v>
      </c>
      <c r="BE69" s="10" t="str">
        <f t="shared" si="97"/>
        <v/>
      </c>
      <c r="BF69" s="10">
        <f t="shared" si="97"/>
        <v>1.778782894736842</v>
      </c>
      <c r="BG69" s="122" t="e">
        <f t="shared" si="98"/>
        <v>#VALUE!</v>
      </c>
      <c r="BH69" s="111" t="e">
        <f t="shared" si="98"/>
        <v>#VALUE!</v>
      </c>
      <c r="BI69" s="111" t="e">
        <f t="shared" si="98"/>
        <v>#VALUE!</v>
      </c>
      <c r="BJ69" s="111" t="e">
        <f t="shared" si="98"/>
        <v>#VALUE!</v>
      </c>
      <c r="BK69" s="111" t="e">
        <f t="shared" si="98"/>
        <v>#VALUE!</v>
      </c>
      <c r="BL69" s="111" t="e">
        <f t="shared" si="98"/>
        <v>#VALUE!</v>
      </c>
      <c r="BM69" s="111" t="e">
        <f t="shared" si="98"/>
        <v>#VALUE!</v>
      </c>
      <c r="BN69" s="111" t="e">
        <f t="shared" si="98"/>
        <v>#VALUE!</v>
      </c>
      <c r="BO69" s="111" t="e">
        <f t="shared" si="98"/>
        <v>#VALUE!</v>
      </c>
      <c r="BP69" s="111" t="e">
        <f t="shared" si="98"/>
        <v>#VALUE!</v>
      </c>
      <c r="BQ69" s="111" t="e">
        <f t="shared" si="98"/>
        <v>#VALUE!</v>
      </c>
      <c r="BR69" s="111" t="e">
        <f t="shared" si="98"/>
        <v>#VALUE!</v>
      </c>
      <c r="BS69" s="111" t="e">
        <f>BB69/(SUM(O57:INDEX(O57:Q57,IF($B$3&lt;3,$B$3,3)))/SUM(O33:INDEX(O33:Q33,IF($B$3&lt;3,$B$3,3))))</f>
        <v>#DIV/0!</v>
      </c>
      <c r="BT69" s="111" t="e">
        <f>BC69/(SUM(R57:INDEX(R57:T57,$C$3))/SUM(R33:INDEX(R33:T33,$C$3)))</f>
        <v>#DIV/0!</v>
      </c>
      <c r="BW69" s="31" t="e">
        <f t="shared" si="102"/>
        <v>#VALUE!</v>
      </c>
    </row>
    <row r="70" spans="1:75" x14ac:dyDescent="0.25">
      <c r="A70" s="20" t="str">
        <f t="shared" si="99"/>
        <v># Case/Active_by_rookie_GENLION:4 - 6 mths</v>
      </c>
      <c r="B70" t="s">
        <v>8</v>
      </c>
      <c r="C70" s="10" t="str">
        <f t="shared" si="94"/>
        <v/>
      </c>
      <c r="D70" s="10" t="str">
        <f t="shared" si="94"/>
        <v/>
      </c>
      <c r="E70" s="10" t="str">
        <f t="shared" si="94"/>
        <v/>
      </c>
      <c r="F70" s="10" t="str">
        <f t="shared" si="94"/>
        <v/>
      </c>
      <c r="G70" s="10" t="str">
        <f t="shared" si="94"/>
        <v/>
      </c>
      <c r="H70" s="10" t="str">
        <f t="shared" si="94"/>
        <v/>
      </c>
      <c r="I70" s="10" t="str">
        <f t="shared" si="94"/>
        <v/>
      </c>
      <c r="J70" s="10" t="str">
        <f t="shared" si="94"/>
        <v/>
      </c>
      <c r="K70" s="10" t="str">
        <f t="shared" si="94"/>
        <v/>
      </c>
      <c r="L70" s="10" t="str">
        <f t="shared" si="94"/>
        <v/>
      </c>
      <c r="M70" s="10" t="str">
        <f t="shared" si="94"/>
        <v/>
      </c>
      <c r="N70" s="10" t="str">
        <f t="shared" si="94"/>
        <v/>
      </c>
      <c r="O70" s="10" t="str">
        <f t="shared" si="94"/>
        <v/>
      </c>
      <c r="P70" s="10" t="str">
        <f t="shared" si="94"/>
        <v/>
      </c>
      <c r="Q70" s="10" t="str">
        <f t="shared" si="94"/>
        <v/>
      </c>
      <c r="R70" s="10" t="str">
        <f t="shared" si="94"/>
        <v/>
      </c>
      <c r="S70" s="10" t="str">
        <f t="shared" si="94"/>
        <v/>
      </c>
      <c r="T70" s="10" t="str">
        <f t="shared" si="94"/>
        <v/>
      </c>
      <c r="U70" s="10" t="str">
        <f t="shared" si="94"/>
        <v/>
      </c>
      <c r="V70" s="10" t="str">
        <f t="shared" si="94"/>
        <v/>
      </c>
      <c r="W70" s="10" t="str">
        <f t="shared" si="94"/>
        <v/>
      </c>
      <c r="X70" s="10" t="str">
        <f t="shared" si="94"/>
        <v/>
      </c>
      <c r="Y70" s="10" t="str">
        <f t="shared" si="94"/>
        <v/>
      </c>
      <c r="Z70" s="10" t="str">
        <f t="shared" si="94"/>
        <v/>
      </c>
      <c r="AA70" s="21" t="str">
        <f t="shared" si="94"/>
        <v/>
      </c>
      <c r="AB70" s="21" t="str">
        <f t="shared" si="94"/>
        <v/>
      </c>
      <c r="AC70" s="21" t="str">
        <f t="shared" si="94"/>
        <v/>
      </c>
      <c r="AD70" s="21" t="str">
        <f t="shared" si="94"/>
        <v/>
      </c>
      <c r="AE70" s="21" t="str">
        <f t="shared" si="94"/>
        <v/>
      </c>
      <c r="AF70" s="21" t="str">
        <f t="shared" si="94"/>
        <v/>
      </c>
      <c r="AG70" s="21" t="str">
        <f t="shared" si="94"/>
        <v/>
      </c>
      <c r="AH70" s="21" t="str">
        <f t="shared" si="94"/>
        <v/>
      </c>
      <c r="AI70" s="21" t="str">
        <f t="shared" si="94"/>
        <v/>
      </c>
      <c r="AJ70" s="21" t="str">
        <f t="shared" si="94"/>
        <v/>
      </c>
      <c r="AK70" s="31" t="e">
        <f t="shared" si="100"/>
        <v>#VALUE!</v>
      </c>
      <c r="AL70" s="31" t="e">
        <f t="shared" si="95"/>
        <v>#VALUE!</v>
      </c>
      <c r="AM70" s="31" t="e">
        <f t="shared" si="95"/>
        <v>#VALUE!</v>
      </c>
      <c r="AN70" s="31" t="e">
        <f t="shared" si="95"/>
        <v>#VALUE!</v>
      </c>
      <c r="AO70" s="31" t="e">
        <f t="shared" si="95"/>
        <v>#VALUE!</v>
      </c>
      <c r="AP70" s="10">
        <f t="shared" si="96"/>
        <v>1.5121951219512195</v>
      </c>
      <c r="AQ70" s="10">
        <f t="shared" si="96"/>
        <v>1.7471264367816093</v>
      </c>
      <c r="AR70" s="10">
        <f t="shared" si="96"/>
        <v>1.8851351351351351</v>
      </c>
      <c r="AS70" s="10">
        <f t="shared" si="96"/>
        <v>1.59</v>
      </c>
      <c r="AT70" s="10">
        <f t="shared" si="96"/>
        <v>1.358974358974359</v>
      </c>
      <c r="AU70" s="10">
        <f t="shared" si="96"/>
        <v>1.5675675675675675</v>
      </c>
      <c r="AV70" s="10">
        <f t="shared" ref="AV70" si="105">IFERROR(AV58/AV34,"")</f>
        <v>1.3777777777777778</v>
      </c>
      <c r="BB70" s="10">
        <f t="shared" si="97"/>
        <v>1.786231884057971</v>
      </c>
      <c r="BC70" s="10">
        <f t="shared" si="97"/>
        <v>1.5119047619047619</v>
      </c>
      <c r="BD70" s="10">
        <f t="shared" si="97"/>
        <v>1.3777777777777778</v>
      </c>
      <c r="BE70" s="10" t="str">
        <f t="shared" si="97"/>
        <v/>
      </c>
      <c r="BF70" s="10">
        <f t="shared" si="97"/>
        <v>1.6677852348993289</v>
      </c>
      <c r="BG70" s="122" t="e">
        <f t="shared" si="98"/>
        <v>#VALUE!</v>
      </c>
      <c r="BH70" s="111" t="e">
        <f t="shared" si="98"/>
        <v>#VALUE!</v>
      </c>
      <c r="BI70" s="111" t="e">
        <f t="shared" si="98"/>
        <v>#VALUE!</v>
      </c>
      <c r="BJ70" s="111" t="e">
        <f t="shared" si="98"/>
        <v>#VALUE!</v>
      </c>
      <c r="BK70" s="111" t="e">
        <f t="shared" si="98"/>
        <v>#VALUE!</v>
      </c>
      <c r="BL70" s="111" t="e">
        <f t="shared" si="98"/>
        <v>#VALUE!</v>
      </c>
      <c r="BM70" s="111" t="e">
        <f t="shared" si="98"/>
        <v>#VALUE!</v>
      </c>
      <c r="BN70" s="111" t="e">
        <f t="shared" si="98"/>
        <v>#VALUE!</v>
      </c>
      <c r="BO70" s="111" t="e">
        <f t="shared" si="98"/>
        <v>#VALUE!</v>
      </c>
      <c r="BP70" s="111" t="e">
        <f t="shared" si="98"/>
        <v>#VALUE!</v>
      </c>
      <c r="BQ70" s="111" t="e">
        <f t="shared" si="98"/>
        <v>#VALUE!</v>
      </c>
      <c r="BR70" s="111" t="e">
        <f t="shared" si="98"/>
        <v>#VALUE!</v>
      </c>
      <c r="BS70" s="111" t="e">
        <f>BB70/(SUM(O58:INDEX(O58:Q58,IF($B$3&lt;3,$B$3,3)))/SUM(O34:INDEX(O34:Q34,IF($B$3&lt;3,$B$3,3))))</f>
        <v>#DIV/0!</v>
      </c>
      <c r="BT70" s="111" t="e">
        <f>BC70/(SUM(R58:INDEX(R58:T58,$C$3))/SUM(R34:INDEX(R34:T34,$C$3)))</f>
        <v>#DIV/0!</v>
      </c>
      <c r="BW70" s="31" t="e">
        <f t="shared" si="102"/>
        <v>#VALUE!</v>
      </c>
    </row>
    <row r="71" spans="1:75" x14ac:dyDescent="0.25">
      <c r="A71" s="20" t="str">
        <f t="shared" si="99"/>
        <v># Case/Active_by_rookie_GENLION:7-12mth</v>
      </c>
      <c r="B71" t="s">
        <v>1</v>
      </c>
      <c r="C71" s="10" t="str">
        <f t="shared" si="94"/>
        <v/>
      </c>
      <c r="D71" s="10" t="str">
        <f t="shared" si="94"/>
        <v/>
      </c>
      <c r="E71" s="10" t="str">
        <f t="shared" si="94"/>
        <v/>
      </c>
      <c r="F71" s="10" t="str">
        <f t="shared" si="94"/>
        <v/>
      </c>
      <c r="G71" s="10" t="str">
        <f t="shared" si="94"/>
        <v/>
      </c>
      <c r="H71" s="10" t="str">
        <f t="shared" si="94"/>
        <v/>
      </c>
      <c r="I71" s="10" t="str">
        <f t="shared" si="94"/>
        <v/>
      </c>
      <c r="J71" s="10" t="str">
        <f t="shared" si="94"/>
        <v/>
      </c>
      <c r="K71" s="10" t="str">
        <f t="shared" si="94"/>
        <v/>
      </c>
      <c r="L71" s="10" t="str">
        <f t="shared" si="94"/>
        <v/>
      </c>
      <c r="M71" s="10" t="str">
        <f t="shared" si="94"/>
        <v/>
      </c>
      <c r="N71" s="10" t="str">
        <f t="shared" si="94"/>
        <v/>
      </c>
      <c r="O71" s="10" t="str">
        <f t="shared" si="94"/>
        <v/>
      </c>
      <c r="P71" s="10" t="str">
        <f t="shared" si="94"/>
        <v/>
      </c>
      <c r="Q71" s="10" t="str">
        <f t="shared" si="94"/>
        <v/>
      </c>
      <c r="R71" s="10" t="str">
        <f t="shared" si="94"/>
        <v/>
      </c>
      <c r="S71" s="10" t="str">
        <f t="shared" si="94"/>
        <v/>
      </c>
      <c r="T71" s="10" t="str">
        <f t="shared" si="94"/>
        <v/>
      </c>
      <c r="U71" s="10" t="str">
        <f t="shared" si="94"/>
        <v/>
      </c>
      <c r="V71" s="10" t="str">
        <f t="shared" si="94"/>
        <v/>
      </c>
      <c r="W71" s="10" t="str">
        <f t="shared" si="94"/>
        <v/>
      </c>
      <c r="X71" s="10" t="str">
        <f t="shared" si="94"/>
        <v/>
      </c>
      <c r="Y71" s="10" t="str">
        <f t="shared" si="94"/>
        <v/>
      </c>
      <c r="Z71" s="10" t="str">
        <f t="shared" si="94"/>
        <v/>
      </c>
      <c r="AA71" s="21" t="str">
        <f t="shared" si="94"/>
        <v/>
      </c>
      <c r="AB71" s="21" t="str">
        <f t="shared" si="94"/>
        <v/>
      </c>
      <c r="AC71" s="21" t="str">
        <f t="shared" si="94"/>
        <v/>
      </c>
      <c r="AD71" s="21" t="str">
        <f t="shared" si="94"/>
        <v/>
      </c>
      <c r="AE71" s="21" t="str">
        <f t="shared" si="94"/>
        <v/>
      </c>
      <c r="AF71" s="21" t="str">
        <f t="shared" si="94"/>
        <v/>
      </c>
      <c r="AG71" s="21" t="str">
        <f t="shared" si="94"/>
        <v/>
      </c>
      <c r="AH71" s="21" t="str">
        <f t="shared" si="94"/>
        <v/>
      </c>
      <c r="AI71" s="21" t="str">
        <f t="shared" si="94"/>
        <v/>
      </c>
      <c r="AJ71" s="21" t="str">
        <f t="shared" si="94"/>
        <v/>
      </c>
      <c r="AK71" s="31" t="e">
        <f t="shared" si="100"/>
        <v>#VALUE!</v>
      </c>
      <c r="AL71" s="31" t="e">
        <f t="shared" si="95"/>
        <v>#VALUE!</v>
      </c>
      <c r="AM71" s="31" t="e">
        <f t="shared" si="95"/>
        <v>#VALUE!</v>
      </c>
      <c r="AN71" s="31" t="e">
        <f t="shared" si="95"/>
        <v>#VALUE!</v>
      </c>
      <c r="AO71" s="31" t="e">
        <f t="shared" si="95"/>
        <v>#VALUE!</v>
      </c>
      <c r="AP71" s="10">
        <f t="shared" si="96"/>
        <v>1.2142857142857142</v>
      </c>
      <c r="AQ71" s="10">
        <f t="shared" si="96"/>
        <v>1.088235294117647</v>
      </c>
      <c r="AR71" s="10">
        <f t="shared" si="96"/>
        <v>1.4545454545454546</v>
      </c>
      <c r="AS71" s="10">
        <f t="shared" si="96"/>
        <v>2.3333333333333335</v>
      </c>
      <c r="AT71" s="10">
        <f t="shared" si="96"/>
        <v>14.660377358490566</v>
      </c>
      <c r="AU71" s="10">
        <f t="shared" si="96"/>
        <v>2.6454545454545455</v>
      </c>
      <c r="AV71" s="10">
        <f t="shared" ref="AV71" si="106">IFERROR(AV59/AV35,"")</f>
        <v>2.9487179487179489</v>
      </c>
      <c r="BB71" s="10">
        <f t="shared" si="97"/>
        <v>1.2905982905982907</v>
      </c>
      <c r="BC71" s="10">
        <f t="shared" si="97"/>
        <v>6.715686274509804</v>
      </c>
      <c r="BD71" s="10">
        <f t="shared" si="97"/>
        <v>2.9487179487179489</v>
      </c>
      <c r="BE71" s="10" t="str">
        <f t="shared" si="97"/>
        <v/>
      </c>
      <c r="BF71" s="10">
        <f t="shared" si="97"/>
        <v>4.1860841423948223</v>
      </c>
      <c r="BG71" s="122" t="e">
        <f t="shared" si="98"/>
        <v>#VALUE!</v>
      </c>
      <c r="BH71" s="111" t="e">
        <f t="shared" si="98"/>
        <v>#VALUE!</v>
      </c>
      <c r="BI71" s="111" t="e">
        <f t="shared" si="98"/>
        <v>#VALUE!</v>
      </c>
      <c r="BJ71" s="111" t="e">
        <f t="shared" si="98"/>
        <v>#VALUE!</v>
      </c>
      <c r="BK71" s="111" t="e">
        <f t="shared" si="98"/>
        <v>#VALUE!</v>
      </c>
      <c r="BL71" s="111" t="e">
        <f t="shared" si="98"/>
        <v>#VALUE!</v>
      </c>
      <c r="BM71" s="111" t="e">
        <f t="shared" si="98"/>
        <v>#VALUE!</v>
      </c>
      <c r="BN71" s="111" t="e">
        <f t="shared" si="98"/>
        <v>#VALUE!</v>
      </c>
      <c r="BO71" s="111" t="e">
        <f t="shared" si="98"/>
        <v>#VALUE!</v>
      </c>
      <c r="BP71" s="111" t="e">
        <f t="shared" si="98"/>
        <v>#VALUE!</v>
      </c>
      <c r="BQ71" s="111" t="e">
        <f t="shared" si="98"/>
        <v>#VALUE!</v>
      </c>
      <c r="BR71" s="111" t="e">
        <f t="shared" si="98"/>
        <v>#VALUE!</v>
      </c>
      <c r="BS71" s="111" t="e">
        <f>BB71/(SUM(O59:INDEX(O59:Q59,IF($B$3&lt;3,$B$3,3)))/SUM(O35:INDEX(O35:Q35,IF($B$3&lt;3,$B$3,3))))</f>
        <v>#DIV/0!</v>
      </c>
      <c r="BT71" s="111" t="e">
        <f>BC71/(SUM(R59:INDEX(R59:T59,$C$3))/SUM(R35:INDEX(R35:T35,$C$3)))</f>
        <v>#DIV/0!</v>
      </c>
      <c r="BW71" s="31" t="e">
        <f t="shared" si="102"/>
        <v>#VALUE!</v>
      </c>
    </row>
    <row r="72" spans="1:75" x14ac:dyDescent="0.25">
      <c r="A72" s="20" t="str">
        <f t="shared" si="99"/>
        <v># Case/Active_by_rookie_GENLION:13+mth</v>
      </c>
      <c r="B72" t="s">
        <v>2</v>
      </c>
      <c r="C72" s="10" t="str">
        <f t="shared" si="94"/>
        <v/>
      </c>
      <c r="D72" s="10" t="str">
        <f t="shared" si="94"/>
        <v/>
      </c>
      <c r="E72" s="10" t="str">
        <f t="shared" si="94"/>
        <v/>
      </c>
      <c r="F72" s="10" t="str">
        <f t="shared" si="94"/>
        <v/>
      </c>
      <c r="G72" s="10" t="str">
        <f t="shared" si="94"/>
        <v/>
      </c>
      <c r="H72" s="10" t="str">
        <f t="shared" si="94"/>
        <v/>
      </c>
      <c r="I72" s="10" t="str">
        <f t="shared" si="94"/>
        <v/>
      </c>
      <c r="J72" s="10" t="str">
        <f t="shared" si="94"/>
        <v/>
      </c>
      <c r="K72" s="10" t="str">
        <f t="shared" si="94"/>
        <v/>
      </c>
      <c r="L72" s="10" t="str">
        <f t="shared" si="94"/>
        <v/>
      </c>
      <c r="M72" s="10" t="str">
        <f t="shared" si="94"/>
        <v/>
      </c>
      <c r="N72" s="10" t="str">
        <f t="shared" si="94"/>
        <v/>
      </c>
      <c r="O72" s="10" t="str">
        <f t="shared" si="94"/>
        <v/>
      </c>
      <c r="P72" s="10" t="str">
        <f t="shared" si="94"/>
        <v/>
      </c>
      <c r="Q72" s="10" t="str">
        <f t="shared" si="94"/>
        <v/>
      </c>
      <c r="R72" s="10" t="str">
        <f t="shared" si="94"/>
        <v/>
      </c>
      <c r="S72" s="10" t="str">
        <f t="shared" si="94"/>
        <v/>
      </c>
      <c r="T72" s="10" t="str">
        <f t="shared" si="94"/>
        <v/>
      </c>
      <c r="U72" s="10" t="str">
        <f t="shared" si="94"/>
        <v/>
      </c>
      <c r="V72" s="10" t="str">
        <f t="shared" si="94"/>
        <v/>
      </c>
      <c r="W72" s="10" t="str">
        <f t="shared" si="94"/>
        <v/>
      </c>
      <c r="X72" s="10" t="str">
        <f t="shared" si="94"/>
        <v/>
      </c>
      <c r="Y72" s="10" t="str">
        <f t="shared" si="94"/>
        <v/>
      </c>
      <c r="Z72" s="10" t="str">
        <f t="shared" si="94"/>
        <v/>
      </c>
      <c r="AA72" s="21" t="str">
        <f t="shared" si="94"/>
        <v/>
      </c>
      <c r="AB72" s="21" t="str">
        <f t="shared" si="94"/>
        <v/>
      </c>
      <c r="AC72" s="21" t="str">
        <f t="shared" si="94"/>
        <v/>
      </c>
      <c r="AD72" s="21" t="str">
        <f t="shared" si="94"/>
        <v/>
      </c>
      <c r="AE72" s="21" t="str">
        <f t="shared" si="94"/>
        <v/>
      </c>
      <c r="AF72" s="21" t="str">
        <f t="shared" si="94"/>
        <v/>
      </c>
      <c r="AG72" s="21" t="str">
        <f t="shared" si="94"/>
        <v/>
      </c>
      <c r="AH72" s="21" t="str">
        <f t="shared" si="94"/>
        <v/>
      </c>
      <c r="AI72" s="21" t="str">
        <f t="shared" si="94"/>
        <v/>
      </c>
      <c r="AJ72" s="21" t="str">
        <f t="shared" si="94"/>
        <v/>
      </c>
      <c r="AK72" s="31" t="e">
        <f t="shared" si="100"/>
        <v>#VALUE!</v>
      </c>
      <c r="AL72" s="31" t="e">
        <f t="shared" si="95"/>
        <v>#VALUE!</v>
      </c>
      <c r="AM72" s="31" t="e">
        <f t="shared" si="95"/>
        <v>#VALUE!</v>
      </c>
      <c r="AN72" s="31" t="e">
        <f t="shared" si="95"/>
        <v>#VALUE!</v>
      </c>
      <c r="AO72" s="31" t="e">
        <f t="shared" si="95"/>
        <v>#VALUE!</v>
      </c>
      <c r="AP72" s="10">
        <f t="shared" si="96"/>
        <v>1.51</v>
      </c>
      <c r="AQ72" s="10">
        <f t="shared" si="96"/>
        <v>1.4318181818181819</v>
      </c>
      <c r="AR72" s="10">
        <f t="shared" si="96"/>
        <v>1.9852941176470589</v>
      </c>
      <c r="AS72" s="10">
        <f t="shared" si="96"/>
        <v>1.9482758620689655</v>
      </c>
      <c r="AT72" s="10">
        <f t="shared" si="96"/>
        <v>2.215686274509804</v>
      </c>
      <c r="AU72" s="10">
        <f t="shared" si="96"/>
        <v>2.1595744680851063</v>
      </c>
      <c r="AV72" s="10">
        <f t="shared" ref="AV72" si="107">IFERROR(AV60/AV36,"")</f>
        <v>2.3666666666666667</v>
      </c>
      <c r="BB72" s="10">
        <f t="shared" si="97"/>
        <v>1.6882716049382716</v>
      </c>
      <c r="BC72" s="10">
        <f t="shared" si="97"/>
        <v>2.0993589743589745</v>
      </c>
      <c r="BD72" s="10">
        <f t="shared" si="97"/>
        <v>2.3666666666666667</v>
      </c>
      <c r="BE72" s="10" t="str">
        <f t="shared" si="97"/>
        <v/>
      </c>
      <c r="BF72" s="10">
        <f t="shared" si="97"/>
        <v>1.9490358126721763</v>
      </c>
      <c r="BG72" s="122" t="e">
        <f t="shared" si="98"/>
        <v>#VALUE!</v>
      </c>
      <c r="BH72" s="111" t="e">
        <f t="shared" si="98"/>
        <v>#VALUE!</v>
      </c>
      <c r="BI72" s="111" t="e">
        <f t="shared" si="98"/>
        <v>#VALUE!</v>
      </c>
      <c r="BJ72" s="111" t="e">
        <f t="shared" si="98"/>
        <v>#VALUE!</v>
      </c>
      <c r="BK72" s="111" t="e">
        <f t="shared" si="98"/>
        <v>#VALUE!</v>
      </c>
      <c r="BL72" s="111" t="e">
        <f t="shared" si="98"/>
        <v>#VALUE!</v>
      </c>
      <c r="BM72" s="111" t="e">
        <f t="shared" si="98"/>
        <v>#VALUE!</v>
      </c>
      <c r="BN72" s="111" t="e">
        <f t="shared" si="98"/>
        <v>#VALUE!</v>
      </c>
      <c r="BO72" s="111" t="e">
        <f t="shared" si="98"/>
        <v>#VALUE!</v>
      </c>
      <c r="BP72" s="111" t="e">
        <f t="shared" si="98"/>
        <v>#VALUE!</v>
      </c>
      <c r="BQ72" s="111" t="e">
        <f t="shared" si="98"/>
        <v>#VALUE!</v>
      </c>
      <c r="BR72" s="111" t="e">
        <f t="shared" si="98"/>
        <v>#VALUE!</v>
      </c>
      <c r="BS72" s="111" t="e">
        <f>BB72/(SUM(O60:INDEX(O60:Q60,IF($B$3&lt;3,$B$3,3)))/SUM(O36:INDEX(O36:Q36,IF($B$3&lt;3,$B$3,3))))</f>
        <v>#DIV/0!</v>
      </c>
      <c r="BT72" s="111" t="e">
        <f>BC72/(SUM(R60:INDEX(R60:T60,$C$3))/SUM(R36:INDEX(R36:T36,$C$3)))</f>
        <v>#DIV/0!</v>
      </c>
      <c r="BW72" s="31" t="e">
        <f t="shared" si="102"/>
        <v>#VALUE!</v>
      </c>
    </row>
    <row r="73" spans="1:75" x14ac:dyDescent="0.25">
      <c r="A73" s="20" t="str">
        <f t="shared" si="99"/>
        <v># Case/Active_by_rookie_GENLION:SA</v>
      </c>
      <c r="B73" t="s">
        <v>136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31"/>
      <c r="AL73" s="31"/>
      <c r="AM73" s="31"/>
      <c r="AN73" s="31"/>
      <c r="AO73" s="31"/>
      <c r="AP73" s="10"/>
      <c r="AQ73" s="10">
        <f t="shared" si="96"/>
        <v>1.1774193548387097</v>
      </c>
      <c r="AR73" s="10">
        <f t="shared" si="96"/>
        <v>1.2741935483870968</v>
      </c>
      <c r="AS73" s="10">
        <f t="shared" si="96"/>
        <v>1.6142857142857143</v>
      </c>
      <c r="AT73" s="10">
        <f t="shared" si="96"/>
        <v>1.2608695652173914</v>
      </c>
      <c r="AU73" s="10">
        <f t="shared" si="96"/>
        <v>1</v>
      </c>
      <c r="AV73" s="10">
        <f t="shared" ref="AV73" si="108">IFERROR(AV61/AV37,"")</f>
        <v>1.25</v>
      </c>
      <c r="BB73" s="10">
        <f t="shared" si="97"/>
        <v>1.2258064516129032</v>
      </c>
      <c r="BC73" s="10">
        <f t="shared" si="97"/>
        <v>1.3767123287671232</v>
      </c>
      <c r="BD73" s="10">
        <f t="shared" si="97"/>
        <v>1.25</v>
      </c>
      <c r="BE73" s="10"/>
      <c r="BF73" s="10">
        <f t="shared" si="97"/>
        <v>1.3</v>
      </c>
      <c r="BG73" s="122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W73" s="31"/>
    </row>
    <row r="74" spans="1:75" s="17" customFormat="1" x14ac:dyDescent="0.25">
      <c r="A74" s="20" t="str">
        <f t="shared" si="99"/>
        <v># Case/Active_by_rookie_GENLION:Total</v>
      </c>
      <c r="B74" s="1" t="s">
        <v>3</v>
      </c>
      <c r="C74" s="11" t="str">
        <f t="shared" ref="C74:AJ74" si="109">IFERROR(C62/C38,"")</f>
        <v/>
      </c>
      <c r="D74" s="11" t="str">
        <f t="shared" si="109"/>
        <v/>
      </c>
      <c r="E74" s="11" t="str">
        <f t="shared" si="109"/>
        <v/>
      </c>
      <c r="F74" s="11" t="str">
        <f t="shared" si="109"/>
        <v/>
      </c>
      <c r="G74" s="11" t="str">
        <f t="shared" si="109"/>
        <v/>
      </c>
      <c r="H74" s="11" t="str">
        <f t="shared" si="109"/>
        <v/>
      </c>
      <c r="I74" s="11" t="str">
        <f t="shared" si="109"/>
        <v/>
      </c>
      <c r="J74" s="11" t="str">
        <f t="shared" si="109"/>
        <v/>
      </c>
      <c r="K74" s="11" t="str">
        <f t="shared" si="109"/>
        <v/>
      </c>
      <c r="L74" s="11" t="str">
        <f t="shared" si="109"/>
        <v/>
      </c>
      <c r="M74" s="11" t="str">
        <f t="shared" si="109"/>
        <v/>
      </c>
      <c r="N74" s="11" t="str">
        <f t="shared" si="109"/>
        <v/>
      </c>
      <c r="O74" s="11" t="str">
        <f t="shared" si="109"/>
        <v/>
      </c>
      <c r="P74" s="11" t="str">
        <f t="shared" si="109"/>
        <v/>
      </c>
      <c r="Q74" s="11" t="str">
        <f t="shared" si="109"/>
        <v/>
      </c>
      <c r="R74" s="11" t="str">
        <f t="shared" si="109"/>
        <v/>
      </c>
      <c r="S74" s="11" t="str">
        <f t="shared" si="109"/>
        <v/>
      </c>
      <c r="T74" s="11" t="str">
        <f t="shared" si="109"/>
        <v/>
      </c>
      <c r="U74" s="11" t="str">
        <f t="shared" si="109"/>
        <v/>
      </c>
      <c r="V74" s="11" t="str">
        <f t="shared" si="109"/>
        <v/>
      </c>
      <c r="W74" s="11" t="str">
        <f t="shared" si="109"/>
        <v/>
      </c>
      <c r="X74" s="11" t="str">
        <f t="shared" si="109"/>
        <v/>
      </c>
      <c r="Y74" s="11" t="str">
        <f t="shared" si="109"/>
        <v/>
      </c>
      <c r="Z74" s="11" t="str">
        <f t="shared" si="109"/>
        <v/>
      </c>
      <c r="AA74" s="23" t="str">
        <f t="shared" si="109"/>
        <v/>
      </c>
      <c r="AB74" s="23" t="str">
        <f t="shared" si="109"/>
        <v/>
      </c>
      <c r="AC74" s="23" t="str">
        <f t="shared" si="109"/>
        <v/>
      </c>
      <c r="AD74" s="23" t="str">
        <f t="shared" si="109"/>
        <v/>
      </c>
      <c r="AE74" s="23" t="str">
        <f t="shared" si="109"/>
        <v/>
      </c>
      <c r="AF74" s="23" t="str">
        <f t="shared" si="109"/>
        <v/>
      </c>
      <c r="AG74" s="23" t="str">
        <f t="shared" si="109"/>
        <v/>
      </c>
      <c r="AH74" s="23" t="str">
        <f t="shared" si="109"/>
        <v/>
      </c>
      <c r="AI74" s="23" t="str">
        <f t="shared" si="109"/>
        <v/>
      </c>
      <c r="AJ74" s="23" t="str">
        <f t="shared" si="109"/>
        <v/>
      </c>
      <c r="AK74" s="32" t="e">
        <f t="shared" si="100"/>
        <v>#VALUE!</v>
      </c>
      <c r="AL74" s="32" t="e">
        <f t="shared" si="95"/>
        <v>#VALUE!</v>
      </c>
      <c r="AM74" s="32" t="e">
        <f t="shared" si="95"/>
        <v>#VALUE!</v>
      </c>
      <c r="AN74" s="32" t="e">
        <f t="shared" si="95"/>
        <v>#VALUE!</v>
      </c>
      <c r="AO74" s="32" t="e">
        <f t="shared" si="95"/>
        <v>#VALUE!</v>
      </c>
      <c r="AP74" s="11">
        <f t="shared" ref="AP74:AQ74" si="110">IFERROR(AP62/AP38,"")</f>
        <v>1.9166666666666667</v>
      </c>
      <c r="AQ74" s="11">
        <f t="shared" si="110"/>
        <v>1.7586206896551724</v>
      </c>
      <c r="AR74" s="11">
        <f t="shared" si="96"/>
        <v>2.1345291479820627</v>
      </c>
      <c r="AS74" s="11">
        <f t="shared" si="96"/>
        <v>2.152136752136752</v>
      </c>
      <c r="AT74" s="11">
        <f t="shared" si="96"/>
        <v>3.1757877280265339</v>
      </c>
      <c r="AU74" s="11">
        <f t="shared" si="96"/>
        <v>2.4561933534743203</v>
      </c>
      <c r="AV74" s="11">
        <f t="shared" si="96"/>
        <v>2.1685185185185185</v>
      </c>
      <c r="BB74" s="11">
        <f t="shared" ref="BB74:BF74" si="111">IFERROR(BB62/BB38,"")</f>
        <v>1.9574468085106382</v>
      </c>
      <c r="BC74" s="11">
        <f t="shared" si="111"/>
        <v>2.5945945945945947</v>
      </c>
      <c r="BD74" s="11">
        <f t="shared" si="111"/>
        <v>2.1685185185185185</v>
      </c>
      <c r="BE74" s="11" t="str">
        <f t="shared" si="111"/>
        <v/>
      </c>
      <c r="BF74" s="11">
        <f t="shared" si="111"/>
        <v>2.2854605430093886</v>
      </c>
      <c r="BG74" s="123" t="e">
        <f t="shared" si="98"/>
        <v>#VALUE!</v>
      </c>
      <c r="BH74" s="118" t="e">
        <f t="shared" si="98"/>
        <v>#VALUE!</v>
      </c>
      <c r="BI74" s="118" t="e">
        <f t="shared" si="98"/>
        <v>#VALUE!</v>
      </c>
      <c r="BJ74" s="118" t="e">
        <f t="shared" si="98"/>
        <v>#VALUE!</v>
      </c>
      <c r="BK74" s="118" t="e">
        <f t="shared" si="98"/>
        <v>#VALUE!</v>
      </c>
      <c r="BL74" s="118" t="e">
        <f t="shared" si="98"/>
        <v>#VALUE!</v>
      </c>
      <c r="BM74" s="118" t="e">
        <f t="shared" si="98"/>
        <v>#VALUE!</v>
      </c>
      <c r="BN74" s="118" t="e">
        <f t="shared" si="98"/>
        <v>#VALUE!</v>
      </c>
      <c r="BO74" s="118" t="e">
        <f t="shared" si="98"/>
        <v>#VALUE!</v>
      </c>
      <c r="BP74" s="118" t="e">
        <f t="shared" si="98"/>
        <v>#VALUE!</v>
      </c>
      <c r="BQ74" s="118" t="e">
        <f t="shared" si="98"/>
        <v>#VALUE!</v>
      </c>
      <c r="BR74" s="118" t="e">
        <f t="shared" si="98"/>
        <v>#VALUE!</v>
      </c>
      <c r="BS74" s="118" t="e">
        <f>BB74/(SUM(O62:INDEX(O62:Q62,IF($B$3&lt;3,$B$3,3)))/SUM(O38:INDEX(O38:Q38,IF($B$3&lt;3,$B$3,3))))</f>
        <v>#DIV/0!</v>
      </c>
      <c r="BT74" s="111" t="e">
        <f>BC74/(SUM(R62:INDEX(R62:T62,$C$3))/SUM(R38:INDEX(R38:T38,$C$3)))</f>
        <v>#DIV/0!</v>
      </c>
      <c r="BW74" s="32" t="e">
        <f t="shared" si="102"/>
        <v>#VALUE!</v>
      </c>
    </row>
    <row r="75" spans="1:75" x14ac:dyDescent="0.25">
      <c r="BG75" s="124"/>
    </row>
    <row r="76" spans="1:75" x14ac:dyDescent="0.25">
      <c r="BG76" s="124"/>
    </row>
    <row r="77" spans="1:75" s="17" customFormat="1" x14ac:dyDescent="0.25">
      <c r="B77" s="2" t="s">
        <v>14</v>
      </c>
      <c r="C77" s="3">
        <f t="shared" ref="C77:Z77" si="112">C41</f>
        <v>42005</v>
      </c>
      <c r="D77" s="3">
        <f t="shared" si="112"/>
        <v>42036</v>
      </c>
      <c r="E77" s="3">
        <f t="shared" si="112"/>
        <v>42064</v>
      </c>
      <c r="F77" s="3">
        <f t="shared" si="112"/>
        <v>42095</v>
      </c>
      <c r="G77" s="3">
        <f t="shared" si="112"/>
        <v>42125</v>
      </c>
      <c r="H77" s="3">
        <f t="shared" si="112"/>
        <v>42156</v>
      </c>
      <c r="I77" s="3">
        <f t="shared" si="112"/>
        <v>42186</v>
      </c>
      <c r="J77" s="3">
        <f t="shared" si="112"/>
        <v>42217</v>
      </c>
      <c r="K77" s="3">
        <f t="shared" si="112"/>
        <v>42248</v>
      </c>
      <c r="L77" s="3">
        <f t="shared" si="112"/>
        <v>42278</v>
      </c>
      <c r="M77" s="3">
        <f t="shared" si="112"/>
        <v>42309</v>
      </c>
      <c r="N77" s="3">
        <f t="shared" si="112"/>
        <v>42339</v>
      </c>
      <c r="O77" s="3">
        <f t="shared" si="112"/>
        <v>42370</v>
      </c>
      <c r="P77" s="3">
        <f t="shared" si="112"/>
        <v>42401</v>
      </c>
      <c r="Q77" s="3">
        <f t="shared" si="112"/>
        <v>42430</v>
      </c>
      <c r="R77" s="3">
        <f t="shared" si="112"/>
        <v>42461</v>
      </c>
      <c r="S77" s="3">
        <f t="shared" si="112"/>
        <v>42491</v>
      </c>
      <c r="T77" s="3">
        <f t="shared" si="112"/>
        <v>42522</v>
      </c>
      <c r="U77" s="3">
        <f t="shared" si="112"/>
        <v>42552</v>
      </c>
      <c r="V77" s="3">
        <f t="shared" si="112"/>
        <v>42583</v>
      </c>
      <c r="W77" s="3">
        <f t="shared" si="112"/>
        <v>42614</v>
      </c>
      <c r="X77" s="3">
        <f t="shared" si="112"/>
        <v>42644</v>
      </c>
      <c r="Y77" s="3">
        <f t="shared" si="112"/>
        <v>42675</v>
      </c>
      <c r="Z77" s="3">
        <f t="shared" si="112"/>
        <v>42705</v>
      </c>
      <c r="AA77" s="29" t="str">
        <f>$AA$4</f>
        <v>YTD 7/16</v>
      </c>
      <c r="AB77" s="29" t="s">
        <v>19</v>
      </c>
      <c r="AC77" s="29" t="s">
        <v>20</v>
      </c>
      <c r="AD77" s="29" t="s">
        <v>21</v>
      </c>
      <c r="AE77" s="29" t="s">
        <v>22</v>
      </c>
      <c r="AF77" s="26" t="str">
        <f t="shared" ref="AF77:AJ77" si="113">AF53</f>
        <v>YTD 7/15</v>
      </c>
      <c r="AG77" s="26" t="str">
        <f t="shared" si="113"/>
        <v>Q1 '15</v>
      </c>
      <c r="AH77" s="26" t="str">
        <f t="shared" si="113"/>
        <v>Q2 '15</v>
      </c>
      <c r="AI77" s="26" t="str">
        <f t="shared" si="113"/>
        <v>Q3 '15</v>
      </c>
      <c r="AJ77" s="26" t="str">
        <f t="shared" si="113"/>
        <v>Q4 '15</v>
      </c>
      <c r="AK77" s="30" t="s">
        <v>27</v>
      </c>
      <c r="AL77" s="30" t="s">
        <v>29</v>
      </c>
      <c r="AM77" s="30" t="s">
        <v>30</v>
      </c>
      <c r="AN77" s="30" t="s">
        <v>31</v>
      </c>
      <c r="AO77" s="30" t="s">
        <v>32</v>
      </c>
      <c r="AP77" s="108">
        <v>42736</v>
      </c>
      <c r="AQ77" s="108">
        <v>42767</v>
      </c>
      <c r="AR77" s="108">
        <v>42795</v>
      </c>
      <c r="AS77" s="108">
        <v>42826</v>
      </c>
      <c r="AT77" s="108">
        <v>42856</v>
      </c>
      <c r="AU77" s="108">
        <v>42887</v>
      </c>
      <c r="AV77" s="108">
        <v>42917</v>
      </c>
      <c r="AW77" s="108">
        <v>42948</v>
      </c>
      <c r="AX77" s="108">
        <v>42979</v>
      </c>
      <c r="AY77" s="108">
        <v>43009</v>
      </c>
      <c r="AZ77" s="108">
        <v>43040</v>
      </c>
      <c r="BA77" s="108">
        <v>43070</v>
      </c>
      <c r="BB77" s="29" t="s">
        <v>123</v>
      </c>
      <c r="BC77" s="29" t="s">
        <v>124</v>
      </c>
      <c r="BD77" s="29" t="s">
        <v>125</v>
      </c>
      <c r="BE77" s="29" t="s">
        <v>126</v>
      </c>
      <c r="BF77" s="29" t="str">
        <f>$BF$4</f>
        <v>YTD 7/17</v>
      </c>
      <c r="BG77" s="121">
        <v>42736</v>
      </c>
      <c r="BH77" s="108">
        <v>42767</v>
      </c>
      <c r="BI77" s="108">
        <v>42795</v>
      </c>
      <c r="BJ77" s="108">
        <v>42826</v>
      </c>
      <c r="BK77" s="108">
        <v>42856</v>
      </c>
      <c r="BL77" s="108">
        <v>42887</v>
      </c>
      <c r="BM77" s="108">
        <v>42917</v>
      </c>
      <c r="BN77" s="108">
        <v>42948</v>
      </c>
      <c r="BO77" s="108">
        <v>42979</v>
      </c>
      <c r="BP77" s="108">
        <v>43009</v>
      </c>
      <c r="BQ77" s="108">
        <v>43040</v>
      </c>
      <c r="BR77" s="108">
        <v>43070</v>
      </c>
      <c r="BS77" s="29" t="s">
        <v>127</v>
      </c>
      <c r="BT77" s="29" t="s">
        <v>128</v>
      </c>
      <c r="BU77" s="29" t="s">
        <v>96</v>
      </c>
      <c r="BV77" s="29" t="s">
        <v>129</v>
      </c>
      <c r="BW77" s="112" t="s">
        <v>130</v>
      </c>
    </row>
    <row r="78" spans="1:75" x14ac:dyDescent="0.25">
      <c r="A78" s="20" t="str">
        <f>$B$77&amp;"_by_rookie_GENLION:"&amp;TRIM(B78)</f>
        <v>CaseSize_by_rookie_GENLION:MDRT/ GEN Lion (from Apr '17)</v>
      </c>
      <c r="B78" t="s">
        <v>157</v>
      </c>
      <c r="C78" s="4" t="str">
        <f t="shared" ref="C78:AJ78" si="114">IFERROR(C5/C54,"")</f>
        <v/>
      </c>
      <c r="D78" s="4" t="str">
        <f t="shared" si="114"/>
        <v/>
      </c>
      <c r="E78" s="4" t="str">
        <f t="shared" si="114"/>
        <v/>
      </c>
      <c r="F78" s="4" t="str">
        <f t="shared" si="114"/>
        <v/>
      </c>
      <c r="G78" s="4" t="str">
        <f t="shared" si="114"/>
        <v/>
      </c>
      <c r="H78" s="4" t="str">
        <f t="shared" si="114"/>
        <v/>
      </c>
      <c r="I78" s="4" t="str">
        <f t="shared" si="114"/>
        <v/>
      </c>
      <c r="J78" s="4" t="str">
        <f t="shared" si="114"/>
        <v/>
      </c>
      <c r="K78" s="4" t="str">
        <f t="shared" si="114"/>
        <v/>
      </c>
      <c r="L78" s="4" t="str">
        <f t="shared" si="114"/>
        <v/>
      </c>
      <c r="M78" s="4" t="str">
        <f t="shared" si="114"/>
        <v/>
      </c>
      <c r="N78" s="4" t="str">
        <f t="shared" si="114"/>
        <v/>
      </c>
      <c r="O78" s="4" t="str">
        <f t="shared" si="114"/>
        <v/>
      </c>
      <c r="P78" s="4" t="str">
        <f t="shared" si="114"/>
        <v/>
      </c>
      <c r="Q78" s="4" t="str">
        <f t="shared" si="114"/>
        <v/>
      </c>
      <c r="R78" s="4" t="str">
        <f t="shared" si="114"/>
        <v/>
      </c>
      <c r="S78" s="4" t="str">
        <f t="shared" si="114"/>
        <v/>
      </c>
      <c r="T78" s="4" t="str">
        <f t="shared" si="114"/>
        <v/>
      </c>
      <c r="U78" s="4" t="str">
        <f t="shared" si="114"/>
        <v/>
      </c>
      <c r="V78" s="4" t="str">
        <f t="shared" si="114"/>
        <v/>
      </c>
      <c r="W78" s="4" t="str">
        <f t="shared" si="114"/>
        <v/>
      </c>
      <c r="X78" s="4" t="str">
        <f t="shared" si="114"/>
        <v/>
      </c>
      <c r="Y78" s="4" t="str">
        <f t="shared" si="114"/>
        <v/>
      </c>
      <c r="Z78" s="4" t="str">
        <f t="shared" si="114"/>
        <v/>
      </c>
      <c r="AA78" s="4" t="str">
        <f t="shared" si="114"/>
        <v/>
      </c>
      <c r="AB78" s="4" t="str">
        <f t="shared" si="114"/>
        <v/>
      </c>
      <c r="AC78" s="4" t="str">
        <f t="shared" si="114"/>
        <v/>
      </c>
      <c r="AD78" s="4" t="str">
        <f t="shared" si="114"/>
        <v/>
      </c>
      <c r="AE78" s="4" t="str">
        <f t="shared" si="114"/>
        <v/>
      </c>
      <c r="AF78" s="4" t="str">
        <f t="shared" si="114"/>
        <v/>
      </c>
      <c r="AG78" s="4" t="str">
        <f t="shared" si="114"/>
        <v/>
      </c>
      <c r="AH78" s="4" t="str">
        <f t="shared" si="114"/>
        <v/>
      </c>
      <c r="AI78" s="4" t="str">
        <f t="shared" si="114"/>
        <v/>
      </c>
      <c r="AJ78" s="4" t="str">
        <f t="shared" si="114"/>
        <v/>
      </c>
      <c r="AK78" s="31" t="e">
        <f>AA78/AF78-1</f>
        <v>#VALUE!</v>
      </c>
      <c r="AL78" s="31" t="e">
        <f t="shared" ref="AL78:AO86" si="115">AB78/AG78-1</f>
        <v>#VALUE!</v>
      </c>
      <c r="AM78" s="31" t="e">
        <f t="shared" si="115"/>
        <v>#VALUE!</v>
      </c>
      <c r="AN78" s="31" t="e">
        <f t="shared" si="115"/>
        <v>#VALUE!</v>
      </c>
      <c r="AO78" s="31" t="e">
        <f t="shared" si="115"/>
        <v>#VALUE!</v>
      </c>
      <c r="AP78" s="4">
        <f t="shared" ref="AP78:AU84" si="116">IFERROR(AP5/AP54,"")</f>
        <v>22.802869565217392</v>
      </c>
      <c r="AQ78" s="4">
        <f t="shared" si="116"/>
        <v>37.392935732647871</v>
      </c>
      <c r="AR78" s="4">
        <f t="shared" si="116"/>
        <v>28.016168717047453</v>
      </c>
      <c r="AS78" s="4">
        <f t="shared" si="116"/>
        <v>23.830356347438752</v>
      </c>
      <c r="AT78" s="4">
        <f t="shared" si="116"/>
        <v>24.836662883087399</v>
      </c>
      <c r="AU78" s="4">
        <f t="shared" si="116"/>
        <v>22.014259115593482</v>
      </c>
      <c r="AV78" s="4">
        <f t="shared" ref="AV78" si="117">IFERROR(AV5/AV54,"")</f>
        <v>22.267327001356854</v>
      </c>
      <c r="BB78" s="4">
        <f t="shared" ref="BB78:BF85" si="118">IFERROR(BB5/BB54,"")</f>
        <v>29.435181887950893</v>
      </c>
      <c r="BC78" s="4">
        <f t="shared" si="118"/>
        <v>23.356303780964797</v>
      </c>
      <c r="BD78" s="4">
        <f t="shared" si="118"/>
        <v>22.267327001356854</v>
      </c>
      <c r="BE78" s="4" t="str">
        <f t="shared" si="118"/>
        <v/>
      </c>
      <c r="BF78" s="4">
        <f t="shared" si="118"/>
        <v>24.749843774471422</v>
      </c>
      <c r="BG78" s="122" t="e">
        <f t="shared" ref="BG78:BR86" si="119">AP78/O78</f>
        <v>#VALUE!</v>
      </c>
      <c r="BH78" s="111" t="e">
        <f t="shared" si="119"/>
        <v>#VALUE!</v>
      </c>
      <c r="BI78" s="111" t="e">
        <f t="shared" si="119"/>
        <v>#VALUE!</v>
      </c>
      <c r="BJ78" s="111" t="e">
        <f t="shared" si="119"/>
        <v>#VALUE!</v>
      </c>
      <c r="BK78" s="111" t="e">
        <f t="shared" si="119"/>
        <v>#VALUE!</v>
      </c>
      <c r="BL78" s="111" t="e">
        <f t="shared" si="119"/>
        <v>#VALUE!</v>
      </c>
      <c r="BM78" s="111" t="e">
        <f t="shared" si="119"/>
        <v>#VALUE!</v>
      </c>
      <c r="BN78" s="111" t="e">
        <f t="shared" si="119"/>
        <v>#VALUE!</v>
      </c>
      <c r="BO78" s="111" t="e">
        <f t="shared" si="119"/>
        <v>#VALUE!</v>
      </c>
      <c r="BP78" s="111" t="e">
        <f t="shared" si="119"/>
        <v>#VALUE!</v>
      </c>
      <c r="BQ78" s="111" t="e">
        <f t="shared" si="119"/>
        <v>#VALUE!</v>
      </c>
      <c r="BR78" s="111" t="e">
        <f t="shared" si="119"/>
        <v>#VALUE!</v>
      </c>
      <c r="BS78" s="111">
        <f>IFERROR(BB78/(SUM(O5:INDEX(O5:Q5,IF($B$3&lt;3,$B$3,3)))/SUM(O54:INDEX(O54:Q54,IF($B$3&lt;3,$B$3,3)))),0)</f>
        <v>0</v>
      </c>
      <c r="BT78" s="111">
        <f>IFERROR(BC78/(SUM(R5:INDEX(R5:T5,IF($B$3&lt;7,$B$3-3,3)))/SUM(R54:INDEX(R54:T54,IF($B$3&lt;7,$B$3-3,3)))),0)</f>
        <v>0</v>
      </c>
      <c r="BU78" s="111"/>
      <c r="BV78" s="111"/>
      <c r="BW78" s="111">
        <f>IFERROR(BF78/AA78,0)</f>
        <v>0</v>
      </c>
    </row>
    <row r="79" spans="1:75" x14ac:dyDescent="0.25">
      <c r="A79" s="20" t="str">
        <f t="shared" ref="A79:A86" si="120">$B$77&amp;"_by_rookie_GENLION:"&amp;TRIM(B79)</f>
        <v>CaseSize_by_rookie_GENLION:Rookie in month</v>
      </c>
      <c r="B79" t="s">
        <v>5</v>
      </c>
      <c r="C79" s="4" t="str">
        <f t="shared" ref="C79:AJ79" si="121">IFERROR(C6/C55,"")</f>
        <v/>
      </c>
      <c r="D79" s="4" t="str">
        <f t="shared" si="121"/>
        <v/>
      </c>
      <c r="E79" s="4" t="str">
        <f t="shared" si="121"/>
        <v/>
      </c>
      <c r="F79" s="4" t="str">
        <f t="shared" si="121"/>
        <v/>
      </c>
      <c r="G79" s="4" t="str">
        <f t="shared" si="121"/>
        <v/>
      </c>
      <c r="H79" s="4" t="str">
        <f t="shared" si="121"/>
        <v/>
      </c>
      <c r="I79" s="4" t="str">
        <f t="shared" si="121"/>
        <v/>
      </c>
      <c r="J79" s="4" t="str">
        <f t="shared" si="121"/>
        <v/>
      </c>
      <c r="K79" s="4" t="str">
        <f t="shared" si="121"/>
        <v/>
      </c>
      <c r="L79" s="4" t="str">
        <f t="shared" si="121"/>
        <v/>
      </c>
      <c r="M79" s="4" t="str">
        <f t="shared" si="121"/>
        <v/>
      </c>
      <c r="N79" s="4" t="str">
        <f t="shared" si="121"/>
        <v/>
      </c>
      <c r="O79" s="4" t="str">
        <f t="shared" si="121"/>
        <v/>
      </c>
      <c r="P79" s="4" t="str">
        <f t="shared" si="121"/>
        <v/>
      </c>
      <c r="Q79" s="4" t="str">
        <f t="shared" si="121"/>
        <v/>
      </c>
      <c r="R79" s="4" t="str">
        <f t="shared" si="121"/>
        <v/>
      </c>
      <c r="S79" s="4" t="str">
        <f t="shared" si="121"/>
        <v/>
      </c>
      <c r="T79" s="4" t="str">
        <f t="shared" si="121"/>
        <v/>
      </c>
      <c r="U79" s="4" t="str">
        <f t="shared" si="121"/>
        <v/>
      </c>
      <c r="V79" s="4" t="str">
        <f t="shared" si="121"/>
        <v/>
      </c>
      <c r="W79" s="4" t="str">
        <f t="shared" si="121"/>
        <v/>
      </c>
      <c r="X79" s="4" t="str">
        <f t="shared" si="121"/>
        <v/>
      </c>
      <c r="Y79" s="4" t="str">
        <f t="shared" si="121"/>
        <v/>
      </c>
      <c r="Z79" s="4" t="str">
        <f t="shared" si="121"/>
        <v/>
      </c>
      <c r="AA79" s="4" t="str">
        <f t="shared" si="121"/>
        <v/>
      </c>
      <c r="AB79" s="4" t="str">
        <f t="shared" si="121"/>
        <v/>
      </c>
      <c r="AC79" s="4" t="str">
        <f t="shared" si="121"/>
        <v/>
      </c>
      <c r="AD79" s="4" t="str">
        <f t="shared" si="121"/>
        <v/>
      </c>
      <c r="AE79" s="4" t="str">
        <f t="shared" si="121"/>
        <v/>
      </c>
      <c r="AF79" s="4" t="str">
        <f t="shared" si="121"/>
        <v/>
      </c>
      <c r="AG79" s="4" t="str">
        <f t="shared" si="121"/>
        <v/>
      </c>
      <c r="AH79" s="4" t="str">
        <f t="shared" si="121"/>
        <v/>
      </c>
      <c r="AI79" s="4" t="str">
        <f t="shared" si="121"/>
        <v/>
      </c>
      <c r="AJ79" s="4" t="str">
        <f t="shared" si="121"/>
        <v/>
      </c>
      <c r="AK79" s="31" t="e">
        <f t="shared" ref="AK79:AK86" si="122">AA79/AF79-1</f>
        <v>#VALUE!</v>
      </c>
      <c r="AL79" s="31" t="e">
        <f t="shared" si="115"/>
        <v>#VALUE!</v>
      </c>
      <c r="AM79" s="31" t="e">
        <f t="shared" si="115"/>
        <v>#VALUE!</v>
      </c>
      <c r="AN79" s="31" t="e">
        <f t="shared" si="115"/>
        <v>#VALUE!</v>
      </c>
      <c r="AO79" s="31" t="e">
        <f t="shared" si="115"/>
        <v>#VALUE!</v>
      </c>
      <c r="AP79" s="4">
        <f t="shared" si="116"/>
        <v>14.049899999999999</v>
      </c>
      <c r="AQ79" s="4">
        <f t="shared" si="116"/>
        <v>13.476670886075949</v>
      </c>
      <c r="AR79" s="4">
        <f t="shared" si="116"/>
        <v>16.668076923076921</v>
      </c>
      <c r="AS79" s="4">
        <f t="shared" si="116"/>
        <v>15.484505928853755</v>
      </c>
      <c r="AT79" s="4">
        <f t="shared" si="116"/>
        <v>15.096521739130436</v>
      </c>
      <c r="AU79" s="4">
        <f t="shared" si="116"/>
        <v>14.846646884272996</v>
      </c>
      <c r="AV79" s="4">
        <f t="shared" ref="AV79" si="123">IFERROR(AV6/AV55,"")</f>
        <v>15.162678571428572</v>
      </c>
      <c r="BB79" s="4">
        <f t="shared" si="118"/>
        <v>15.211624015748029</v>
      </c>
      <c r="BC79" s="4">
        <f t="shared" si="118"/>
        <v>15.113778602350031</v>
      </c>
      <c r="BD79" s="4">
        <f t="shared" si="118"/>
        <v>15.162678571428572</v>
      </c>
      <c r="BE79" s="4" t="str">
        <f t="shared" si="118"/>
        <v/>
      </c>
      <c r="BF79" s="4">
        <f t="shared" si="118"/>
        <v>15.15315481986368</v>
      </c>
      <c r="BG79" s="122" t="e">
        <f t="shared" si="119"/>
        <v>#VALUE!</v>
      </c>
      <c r="BH79" s="111" t="e">
        <f t="shared" si="119"/>
        <v>#VALUE!</v>
      </c>
      <c r="BI79" s="111" t="e">
        <f t="shared" si="119"/>
        <v>#VALUE!</v>
      </c>
      <c r="BJ79" s="111" t="e">
        <f t="shared" si="119"/>
        <v>#VALUE!</v>
      </c>
      <c r="BK79" s="111" t="e">
        <f t="shared" si="119"/>
        <v>#VALUE!</v>
      </c>
      <c r="BL79" s="111" t="e">
        <f t="shared" si="119"/>
        <v>#VALUE!</v>
      </c>
      <c r="BM79" s="111" t="e">
        <f t="shared" si="119"/>
        <v>#VALUE!</v>
      </c>
      <c r="BN79" s="111" t="e">
        <f t="shared" si="119"/>
        <v>#VALUE!</v>
      </c>
      <c r="BO79" s="111" t="e">
        <f t="shared" si="119"/>
        <v>#VALUE!</v>
      </c>
      <c r="BP79" s="111" t="e">
        <f t="shared" si="119"/>
        <v>#VALUE!</v>
      </c>
      <c r="BQ79" s="111" t="e">
        <f t="shared" si="119"/>
        <v>#VALUE!</v>
      </c>
      <c r="BR79" s="111" t="e">
        <f t="shared" si="119"/>
        <v>#VALUE!</v>
      </c>
      <c r="BS79" s="111">
        <f>IFERROR(BB79/(SUM(O6:INDEX(O6:Q6,IF($B$3&lt;3,$B$3,3)))/SUM(O55:INDEX(O55:Q55,IF($B$3&lt;3,$B$3,3)))),0)</f>
        <v>0</v>
      </c>
      <c r="BT79" s="111">
        <f>IFERROR(BC79/(SUM(R6:INDEX(R6:T6,IF($B$3&lt;7,$B$3-3,3)))/SUM(R55:INDEX(R55:T55,IF($B$3&lt;7,$B$3-3,3)))),0)</f>
        <v>0</v>
      </c>
      <c r="BU79" s="111"/>
      <c r="BV79" s="111"/>
      <c r="BW79" s="111">
        <f t="shared" ref="BW79:BW86" si="124">IFERROR(BF79/AA79,0)</f>
        <v>0</v>
      </c>
    </row>
    <row r="80" spans="1:75" x14ac:dyDescent="0.25">
      <c r="A80" s="20" t="str">
        <f t="shared" si="120"/>
        <v>CaseSize_by_rookie_GENLION:Rookie last month</v>
      </c>
      <c r="B80" t="s">
        <v>6</v>
      </c>
      <c r="C80" s="4" t="str">
        <f t="shared" ref="C80:AJ80" si="125">IFERROR(C7/C56,"")</f>
        <v/>
      </c>
      <c r="D80" s="4" t="str">
        <f t="shared" si="125"/>
        <v/>
      </c>
      <c r="E80" s="4" t="str">
        <f t="shared" si="125"/>
        <v/>
      </c>
      <c r="F80" s="4" t="str">
        <f t="shared" si="125"/>
        <v/>
      </c>
      <c r="G80" s="4" t="str">
        <f t="shared" si="125"/>
        <v/>
      </c>
      <c r="H80" s="4" t="str">
        <f t="shared" si="125"/>
        <v/>
      </c>
      <c r="I80" s="4" t="str">
        <f t="shared" si="125"/>
        <v/>
      </c>
      <c r="J80" s="4" t="str">
        <f t="shared" si="125"/>
        <v/>
      </c>
      <c r="K80" s="4" t="str">
        <f t="shared" si="125"/>
        <v/>
      </c>
      <c r="L80" s="4" t="str">
        <f t="shared" si="125"/>
        <v/>
      </c>
      <c r="M80" s="4" t="str">
        <f t="shared" si="125"/>
        <v/>
      </c>
      <c r="N80" s="4" t="str">
        <f t="shared" si="125"/>
        <v/>
      </c>
      <c r="O80" s="4" t="str">
        <f t="shared" si="125"/>
        <v/>
      </c>
      <c r="P80" s="4" t="str">
        <f t="shared" si="125"/>
        <v/>
      </c>
      <c r="Q80" s="4" t="str">
        <f t="shared" si="125"/>
        <v/>
      </c>
      <c r="R80" s="4" t="str">
        <f t="shared" si="125"/>
        <v/>
      </c>
      <c r="S80" s="4" t="str">
        <f t="shared" si="125"/>
        <v/>
      </c>
      <c r="T80" s="4" t="str">
        <f t="shared" si="125"/>
        <v/>
      </c>
      <c r="U80" s="4" t="str">
        <f t="shared" si="125"/>
        <v/>
      </c>
      <c r="V80" s="4" t="str">
        <f t="shared" si="125"/>
        <v/>
      </c>
      <c r="W80" s="4" t="str">
        <f t="shared" si="125"/>
        <v/>
      </c>
      <c r="X80" s="4" t="str">
        <f t="shared" si="125"/>
        <v/>
      </c>
      <c r="Y80" s="4" t="str">
        <f t="shared" si="125"/>
        <v/>
      </c>
      <c r="Z80" s="4" t="str">
        <f t="shared" si="125"/>
        <v/>
      </c>
      <c r="AA80" s="4" t="str">
        <f t="shared" si="125"/>
        <v/>
      </c>
      <c r="AB80" s="4" t="str">
        <f t="shared" si="125"/>
        <v/>
      </c>
      <c r="AC80" s="4" t="str">
        <f t="shared" si="125"/>
        <v/>
      </c>
      <c r="AD80" s="4" t="str">
        <f t="shared" si="125"/>
        <v/>
      </c>
      <c r="AE80" s="4" t="str">
        <f t="shared" si="125"/>
        <v/>
      </c>
      <c r="AF80" s="4" t="str">
        <f t="shared" si="125"/>
        <v/>
      </c>
      <c r="AG80" s="4" t="str">
        <f t="shared" si="125"/>
        <v/>
      </c>
      <c r="AH80" s="4" t="str">
        <f t="shared" si="125"/>
        <v/>
      </c>
      <c r="AI80" s="4" t="str">
        <f t="shared" si="125"/>
        <v/>
      </c>
      <c r="AJ80" s="4" t="str">
        <f t="shared" si="125"/>
        <v/>
      </c>
      <c r="AK80" s="31" t="e">
        <f t="shared" si="122"/>
        <v>#VALUE!</v>
      </c>
      <c r="AL80" s="31" t="e">
        <f t="shared" si="115"/>
        <v>#VALUE!</v>
      </c>
      <c r="AM80" s="31" t="e">
        <f t="shared" si="115"/>
        <v>#VALUE!</v>
      </c>
      <c r="AN80" s="31" t="e">
        <f t="shared" si="115"/>
        <v>#VALUE!</v>
      </c>
      <c r="AO80" s="31" t="e">
        <f t="shared" si="115"/>
        <v>#VALUE!</v>
      </c>
      <c r="AP80" s="4">
        <f t="shared" si="116"/>
        <v>15.254915662650602</v>
      </c>
      <c r="AQ80" s="4">
        <f t="shared" si="116"/>
        <v>15.42413043478261</v>
      </c>
      <c r="AR80" s="4">
        <f t="shared" si="116"/>
        <v>16.414825870646766</v>
      </c>
      <c r="AS80" s="4">
        <f t="shared" si="116"/>
        <v>15.556960784313725</v>
      </c>
      <c r="AT80" s="4">
        <f t="shared" si="116"/>
        <v>20.559493670886077</v>
      </c>
      <c r="AU80" s="4">
        <f t="shared" si="116"/>
        <v>14.470738255033556</v>
      </c>
      <c r="AV80" s="4">
        <f t="shared" ref="AV80" si="126">IFERROR(AV7/AV56,"")</f>
        <v>17.991487603305785</v>
      </c>
      <c r="BB80" s="4">
        <f t="shared" si="118"/>
        <v>15.948450424929177</v>
      </c>
      <c r="BC80" s="4">
        <f t="shared" si="118"/>
        <v>17.093765281173596</v>
      </c>
      <c r="BD80" s="4">
        <f t="shared" si="118"/>
        <v>17.991487603305785</v>
      </c>
      <c r="BE80" s="4" t="str">
        <f t="shared" si="118"/>
        <v/>
      </c>
      <c r="BF80" s="4">
        <f t="shared" si="118"/>
        <v>16.758916194790483</v>
      </c>
      <c r="BG80" s="122" t="e">
        <f t="shared" si="119"/>
        <v>#VALUE!</v>
      </c>
      <c r="BH80" s="111" t="e">
        <f t="shared" si="119"/>
        <v>#VALUE!</v>
      </c>
      <c r="BI80" s="111" t="e">
        <f t="shared" si="119"/>
        <v>#VALUE!</v>
      </c>
      <c r="BJ80" s="111" t="e">
        <f t="shared" si="119"/>
        <v>#VALUE!</v>
      </c>
      <c r="BK80" s="111" t="e">
        <f t="shared" si="119"/>
        <v>#VALUE!</v>
      </c>
      <c r="BL80" s="111" t="e">
        <f t="shared" si="119"/>
        <v>#VALUE!</v>
      </c>
      <c r="BM80" s="111" t="e">
        <f t="shared" si="119"/>
        <v>#VALUE!</v>
      </c>
      <c r="BN80" s="111" t="e">
        <f t="shared" si="119"/>
        <v>#VALUE!</v>
      </c>
      <c r="BO80" s="111" t="e">
        <f t="shared" si="119"/>
        <v>#VALUE!</v>
      </c>
      <c r="BP80" s="111" t="e">
        <f t="shared" si="119"/>
        <v>#VALUE!</v>
      </c>
      <c r="BQ80" s="111" t="e">
        <f t="shared" si="119"/>
        <v>#VALUE!</v>
      </c>
      <c r="BR80" s="111" t="e">
        <f t="shared" si="119"/>
        <v>#VALUE!</v>
      </c>
      <c r="BS80" s="111">
        <f>IFERROR(BB80/(SUM(O7:INDEX(O7:Q7,IF($B$3&lt;3,$B$3,3)))/SUM(O56:INDEX(O56:Q56,IF($B$3&lt;3,$B$3,3)))),0)</f>
        <v>0</v>
      </c>
      <c r="BT80" s="111">
        <f>IFERROR(BC80/(SUM(R7:INDEX(R7:T7,IF($B$3&lt;7,$B$3-3,3)))/SUM(R56:INDEX(R56:T56,IF($B$3&lt;7,$B$3-3,3)))),0)</f>
        <v>0</v>
      </c>
      <c r="BU80" s="111"/>
      <c r="BV80" s="111"/>
      <c r="BW80" s="111">
        <f t="shared" si="124"/>
        <v>0</v>
      </c>
    </row>
    <row r="81" spans="1:75" x14ac:dyDescent="0.25">
      <c r="A81" s="20" t="str">
        <f t="shared" si="120"/>
        <v>CaseSize_by_rookie_GENLION:2-3 months</v>
      </c>
      <c r="B81" t="s">
        <v>7</v>
      </c>
      <c r="C81" s="4" t="str">
        <f t="shared" ref="C81:AJ81" si="127">IFERROR(C8/C57,"")</f>
        <v/>
      </c>
      <c r="D81" s="4" t="str">
        <f t="shared" si="127"/>
        <v/>
      </c>
      <c r="E81" s="4" t="str">
        <f t="shared" si="127"/>
        <v/>
      </c>
      <c r="F81" s="4" t="str">
        <f t="shared" si="127"/>
        <v/>
      </c>
      <c r="G81" s="4" t="str">
        <f t="shared" si="127"/>
        <v/>
      </c>
      <c r="H81" s="4" t="str">
        <f t="shared" si="127"/>
        <v/>
      </c>
      <c r="I81" s="4" t="str">
        <f t="shared" si="127"/>
        <v/>
      </c>
      <c r="J81" s="4" t="str">
        <f t="shared" si="127"/>
        <v/>
      </c>
      <c r="K81" s="4" t="str">
        <f t="shared" si="127"/>
        <v/>
      </c>
      <c r="L81" s="4" t="str">
        <f t="shared" si="127"/>
        <v/>
      </c>
      <c r="M81" s="4" t="str">
        <f t="shared" si="127"/>
        <v/>
      </c>
      <c r="N81" s="4" t="str">
        <f t="shared" si="127"/>
        <v/>
      </c>
      <c r="O81" s="4" t="str">
        <f t="shared" si="127"/>
        <v/>
      </c>
      <c r="P81" s="4" t="str">
        <f t="shared" si="127"/>
        <v/>
      </c>
      <c r="Q81" s="4" t="str">
        <f t="shared" si="127"/>
        <v/>
      </c>
      <c r="R81" s="4" t="str">
        <f t="shared" si="127"/>
        <v/>
      </c>
      <c r="S81" s="4" t="str">
        <f t="shared" si="127"/>
        <v/>
      </c>
      <c r="T81" s="4" t="str">
        <f t="shared" si="127"/>
        <v/>
      </c>
      <c r="U81" s="4" t="str">
        <f t="shared" si="127"/>
        <v/>
      </c>
      <c r="V81" s="4" t="str">
        <f t="shared" si="127"/>
        <v/>
      </c>
      <c r="W81" s="4" t="str">
        <f t="shared" si="127"/>
        <v/>
      </c>
      <c r="X81" s="4" t="str">
        <f t="shared" si="127"/>
        <v/>
      </c>
      <c r="Y81" s="4" t="str">
        <f t="shared" si="127"/>
        <v/>
      </c>
      <c r="Z81" s="4" t="str">
        <f t="shared" si="127"/>
        <v/>
      </c>
      <c r="AA81" s="4" t="str">
        <f t="shared" si="127"/>
        <v/>
      </c>
      <c r="AB81" s="4" t="str">
        <f t="shared" si="127"/>
        <v/>
      </c>
      <c r="AC81" s="4" t="str">
        <f t="shared" si="127"/>
        <v/>
      </c>
      <c r="AD81" s="4" t="str">
        <f t="shared" si="127"/>
        <v/>
      </c>
      <c r="AE81" s="4" t="str">
        <f t="shared" si="127"/>
        <v/>
      </c>
      <c r="AF81" s="4" t="str">
        <f t="shared" si="127"/>
        <v/>
      </c>
      <c r="AG81" s="4" t="str">
        <f t="shared" si="127"/>
        <v/>
      </c>
      <c r="AH81" s="4" t="str">
        <f t="shared" si="127"/>
        <v/>
      </c>
      <c r="AI81" s="4" t="str">
        <f t="shared" si="127"/>
        <v/>
      </c>
      <c r="AJ81" s="4" t="str">
        <f t="shared" si="127"/>
        <v/>
      </c>
      <c r="AK81" s="31" t="e">
        <f t="shared" si="122"/>
        <v>#VALUE!</v>
      </c>
      <c r="AL81" s="31" t="e">
        <f t="shared" si="115"/>
        <v>#VALUE!</v>
      </c>
      <c r="AM81" s="31" t="e">
        <f t="shared" si="115"/>
        <v>#VALUE!</v>
      </c>
      <c r="AN81" s="31" t="e">
        <f t="shared" si="115"/>
        <v>#VALUE!</v>
      </c>
      <c r="AO81" s="31" t="e">
        <f t="shared" si="115"/>
        <v>#VALUE!</v>
      </c>
      <c r="AP81" s="4">
        <f t="shared" si="116"/>
        <v>17.411794797687861</v>
      </c>
      <c r="AQ81" s="4">
        <f t="shared" si="116"/>
        <v>21.798480769230768</v>
      </c>
      <c r="AR81" s="4">
        <f t="shared" si="116"/>
        <v>15.661879194630872</v>
      </c>
      <c r="AS81" s="4">
        <f t="shared" si="116"/>
        <v>15.479603960396041</v>
      </c>
      <c r="AT81" s="4">
        <f t="shared" si="116"/>
        <v>14.802857142857144</v>
      </c>
      <c r="AU81" s="4">
        <f t="shared" si="116"/>
        <v>19.178062678062677</v>
      </c>
      <c r="AV81" s="4">
        <f t="shared" ref="AV81" si="128">IFERROR(AV8/AV57,"")</f>
        <v>19.804832214765103</v>
      </c>
      <c r="BB81" s="4">
        <f t="shared" si="118"/>
        <v>18.641404716981132</v>
      </c>
      <c r="BC81" s="4">
        <f t="shared" si="118"/>
        <v>16.880372670807454</v>
      </c>
      <c r="BD81" s="4">
        <f t="shared" si="118"/>
        <v>19.804832214765103</v>
      </c>
      <c r="BE81" s="4" t="str">
        <f t="shared" si="118"/>
        <v/>
      </c>
      <c r="BF81" s="4">
        <f t="shared" si="118"/>
        <v>18.146291724456773</v>
      </c>
      <c r="BG81" s="122" t="e">
        <f t="shared" si="119"/>
        <v>#VALUE!</v>
      </c>
      <c r="BH81" s="111" t="e">
        <f t="shared" si="119"/>
        <v>#VALUE!</v>
      </c>
      <c r="BI81" s="111" t="e">
        <f t="shared" si="119"/>
        <v>#VALUE!</v>
      </c>
      <c r="BJ81" s="111" t="e">
        <f t="shared" si="119"/>
        <v>#VALUE!</v>
      </c>
      <c r="BK81" s="111" t="e">
        <f t="shared" si="119"/>
        <v>#VALUE!</v>
      </c>
      <c r="BL81" s="111" t="e">
        <f t="shared" si="119"/>
        <v>#VALUE!</v>
      </c>
      <c r="BM81" s="111" t="e">
        <f t="shared" si="119"/>
        <v>#VALUE!</v>
      </c>
      <c r="BN81" s="111" t="e">
        <f t="shared" si="119"/>
        <v>#VALUE!</v>
      </c>
      <c r="BO81" s="111" t="e">
        <f t="shared" si="119"/>
        <v>#VALUE!</v>
      </c>
      <c r="BP81" s="111" t="e">
        <f t="shared" si="119"/>
        <v>#VALUE!</v>
      </c>
      <c r="BQ81" s="111" t="e">
        <f t="shared" si="119"/>
        <v>#VALUE!</v>
      </c>
      <c r="BR81" s="111" t="e">
        <f t="shared" si="119"/>
        <v>#VALUE!</v>
      </c>
      <c r="BS81" s="111">
        <f>IFERROR(BB81/(SUM(O8:INDEX(O8:Q8,IF($B$3&lt;3,$B$3,3)))/SUM(O57:INDEX(O57:Q57,IF($B$3&lt;3,$B$3,3)))),0)</f>
        <v>0</v>
      </c>
      <c r="BT81" s="111">
        <f>IFERROR(BC81/(SUM(R8:INDEX(R8:T8,IF($B$3&lt;7,$B$3-3,3)))/SUM(R57:INDEX(R57:T57,IF($B$3&lt;7,$B$3-3,3)))),0)</f>
        <v>0</v>
      </c>
      <c r="BU81" s="111"/>
      <c r="BV81" s="111"/>
      <c r="BW81" s="111">
        <f t="shared" si="124"/>
        <v>0</v>
      </c>
    </row>
    <row r="82" spans="1:75" x14ac:dyDescent="0.25">
      <c r="A82" s="20" t="str">
        <f t="shared" si="120"/>
        <v>CaseSize_by_rookie_GENLION:4 - 6 mths</v>
      </c>
      <c r="B82" t="s">
        <v>8</v>
      </c>
      <c r="C82" s="4" t="str">
        <f t="shared" ref="C82:AJ82" si="129">IFERROR(C9/C58,"")</f>
        <v/>
      </c>
      <c r="D82" s="4" t="str">
        <f t="shared" si="129"/>
        <v/>
      </c>
      <c r="E82" s="4" t="str">
        <f t="shared" si="129"/>
        <v/>
      </c>
      <c r="F82" s="4" t="str">
        <f t="shared" si="129"/>
        <v/>
      </c>
      <c r="G82" s="4" t="str">
        <f t="shared" si="129"/>
        <v/>
      </c>
      <c r="H82" s="4" t="str">
        <f t="shared" si="129"/>
        <v/>
      </c>
      <c r="I82" s="4" t="str">
        <f t="shared" si="129"/>
        <v/>
      </c>
      <c r="J82" s="4" t="str">
        <f t="shared" si="129"/>
        <v/>
      </c>
      <c r="K82" s="4" t="str">
        <f t="shared" si="129"/>
        <v/>
      </c>
      <c r="L82" s="4" t="str">
        <f t="shared" si="129"/>
        <v/>
      </c>
      <c r="M82" s="4" t="str">
        <f t="shared" si="129"/>
        <v/>
      </c>
      <c r="N82" s="4" t="str">
        <f t="shared" si="129"/>
        <v/>
      </c>
      <c r="O82" s="4" t="str">
        <f t="shared" si="129"/>
        <v/>
      </c>
      <c r="P82" s="4" t="str">
        <f t="shared" si="129"/>
        <v/>
      </c>
      <c r="Q82" s="4" t="str">
        <f t="shared" si="129"/>
        <v/>
      </c>
      <c r="R82" s="4" t="str">
        <f t="shared" si="129"/>
        <v/>
      </c>
      <c r="S82" s="4" t="str">
        <f t="shared" si="129"/>
        <v/>
      </c>
      <c r="T82" s="4" t="str">
        <f t="shared" si="129"/>
        <v/>
      </c>
      <c r="U82" s="4" t="str">
        <f t="shared" si="129"/>
        <v/>
      </c>
      <c r="V82" s="4" t="str">
        <f t="shared" si="129"/>
        <v/>
      </c>
      <c r="W82" s="4" t="str">
        <f t="shared" si="129"/>
        <v/>
      </c>
      <c r="X82" s="4" t="str">
        <f t="shared" si="129"/>
        <v/>
      </c>
      <c r="Y82" s="4" t="str">
        <f t="shared" si="129"/>
        <v/>
      </c>
      <c r="Z82" s="4" t="str">
        <f t="shared" si="129"/>
        <v/>
      </c>
      <c r="AA82" s="4" t="str">
        <f t="shared" si="129"/>
        <v/>
      </c>
      <c r="AB82" s="4" t="str">
        <f t="shared" si="129"/>
        <v/>
      </c>
      <c r="AC82" s="4" t="str">
        <f t="shared" si="129"/>
        <v/>
      </c>
      <c r="AD82" s="4" t="str">
        <f t="shared" si="129"/>
        <v/>
      </c>
      <c r="AE82" s="4" t="str">
        <f t="shared" si="129"/>
        <v/>
      </c>
      <c r="AF82" s="4" t="str">
        <f t="shared" si="129"/>
        <v/>
      </c>
      <c r="AG82" s="4" t="str">
        <f t="shared" si="129"/>
        <v/>
      </c>
      <c r="AH82" s="4" t="str">
        <f t="shared" si="129"/>
        <v/>
      </c>
      <c r="AI82" s="4" t="str">
        <f t="shared" si="129"/>
        <v/>
      </c>
      <c r="AJ82" s="4" t="str">
        <f t="shared" si="129"/>
        <v/>
      </c>
      <c r="AK82" s="31" t="e">
        <f t="shared" si="122"/>
        <v>#VALUE!</v>
      </c>
      <c r="AL82" s="31" t="e">
        <f t="shared" si="115"/>
        <v>#VALUE!</v>
      </c>
      <c r="AM82" s="31" t="e">
        <f t="shared" si="115"/>
        <v>#VALUE!</v>
      </c>
      <c r="AN82" s="31" t="e">
        <f t="shared" si="115"/>
        <v>#VALUE!</v>
      </c>
      <c r="AO82" s="31" t="e">
        <f t="shared" si="115"/>
        <v>#VALUE!</v>
      </c>
      <c r="AP82" s="4">
        <f t="shared" si="116"/>
        <v>20.015096774193548</v>
      </c>
      <c r="AQ82" s="4">
        <f t="shared" si="116"/>
        <v>24.977717105263157</v>
      </c>
      <c r="AR82" s="4">
        <f t="shared" si="116"/>
        <v>19.618100358422939</v>
      </c>
      <c r="AS82" s="4">
        <f t="shared" si="116"/>
        <v>15.102138364779872</v>
      </c>
      <c r="AT82" s="4">
        <f t="shared" si="116"/>
        <v>19.247735849056603</v>
      </c>
      <c r="AU82" s="4">
        <f t="shared" si="116"/>
        <v>17.322413793103451</v>
      </c>
      <c r="AV82" s="4">
        <f t="shared" ref="AV82" si="130">IFERROR(AV9/AV58,"")</f>
        <v>16.506612903225808</v>
      </c>
      <c r="BB82" s="4">
        <f t="shared" si="118"/>
        <v>21.320484787018255</v>
      </c>
      <c r="BC82" s="4">
        <f t="shared" si="118"/>
        <v>16.931496062992125</v>
      </c>
      <c r="BD82" s="4">
        <f t="shared" si="118"/>
        <v>16.506612903225808</v>
      </c>
      <c r="BE82" s="4" t="str">
        <f t="shared" si="118"/>
        <v/>
      </c>
      <c r="BF82" s="4">
        <f t="shared" si="118"/>
        <v>19.798603621730379</v>
      </c>
      <c r="BG82" s="122" t="e">
        <f t="shared" si="119"/>
        <v>#VALUE!</v>
      </c>
      <c r="BH82" s="111" t="e">
        <f t="shared" si="119"/>
        <v>#VALUE!</v>
      </c>
      <c r="BI82" s="111" t="e">
        <f t="shared" si="119"/>
        <v>#VALUE!</v>
      </c>
      <c r="BJ82" s="111" t="e">
        <f t="shared" si="119"/>
        <v>#VALUE!</v>
      </c>
      <c r="BK82" s="111" t="e">
        <f t="shared" si="119"/>
        <v>#VALUE!</v>
      </c>
      <c r="BL82" s="111" t="e">
        <f t="shared" si="119"/>
        <v>#VALUE!</v>
      </c>
      <c r="BM82" s="111" t="e">
        <f t="shared" si="119"/>
        <v>#VALUE!</v>
      </c>
      <c r="BN82" s="111" t="e">
        <f t="shared" si="119"/>
        <v>#VALUE!</v>
      </c>
      <c r="BO82" s="111" t="e">
        <f t="shared" si="119"/>
        <v>#VALUE!</v>
      </c>
      <c r="BP82" s="111" t="e">
        <f t="shared" si="119"/>
        <v>#VALUE!</v>
      </c>
      <c r="BQ82" s="111" t="e">
        <f t="shared" si="119"/>
        <v>#VALUE!</v>
      </c>
      <c r="BR82" s="111" t="e">
        <f t="shared" si="119"/>
        <v>#VALUE!</v>
      </c>
      <c r="BS82" s="111">
        <f>IFERROR(BB82/(SUM(O9:INDEX(O9:Q9,IF($B$3&lt;3,$B$3,3)))/SUM(O58:INDEX(O58:Q58,IF($B$3&lt;3,$B$3,3)))),0)</f>
        <v>0</v>
      </c>
      <c r="BT82" s="111">
        <f>IFERROR(BC82/(SUM(R9:INDEX(R9:T9,IF($B$3&lt;7,$B$3-3,3)))/SUM(R58:INDEX(R58:T58,IF($B$3&lt;7,$B$3-3,3)))),0)</f>
        <v>0</v>
      </c>
      <c r="BU82" s="111"/>
      <c r="BV82" s="111"/>
      <c r="BW82" s="111">
        <f t="shared" si="124"/>
        <v>0</v>
      </c>
    </row>
    <row r="83" spans="1:75" x14ac:dyDescent="0.25">
      <c r="A83" s="20" t="str">
        <f t="shared" si="120"/>
        <v>CaseSize_by_rookie_GENLION:7-12mth</v>
      </c>
      <c r="B83" t="s">
        <v>1</v>
      </c>
      <c r="C83" s="4" t="str">
        <f t="shared" ref="C83:AJ83" si="131">IFERROR(C10/C59,"")</f>
        <v/>
      </c>
      <c r="D83" s="4" t="str">
        <f t="shared" si="131"/>
        <v/>
      </c>
      <c r="E83" s="4" t="str">
        <f t="shared" si="131"/>
        <v/>
      </c>
      <c r="F83" s="4" t="str">
        <f t="shared" si="131"/>
        <v/>
      </c>
      <c r="G83" s="4" t="str">
        <f t="shared" si="131"/>
        <v/>
      </c>
      <c r="H83" s="4" t="str">
        <f t="shared" si="131"/>
        <v/>
      </c>
      <c r="I83" s="4" t="str">
        <f t="shared" si="131"/>
        <v/>
      </c>
      <c r="J83" s="4" t="str">
        <f t="shared" si="131"/>
        <v/>
      </c>
      <c r="K83" s="4" t="str">
        <f t="shared" si="131"/>
        <v/>
      </c>
      <c r="L83" s="4" t="str">
        <f t="shared" si="131"/>
        <v/>
      </c>
      <c r="M83" s="4" t="str">
        <f t="shared" si="131"/>
        <v/>
      </c>
      <c r="N83" s="4" t="str">
        <f t="shared" si="131"/>
        <v/>
      </c>
      <c r="O83" s="4" t="str">
        <f t="shared" si="131"/>
        <v/>
      </c>
      <c r="P83" s="4" t="str">
        <f t="shared" si="131"/>
        <v/>
      </c>
      <c r="Q83" s="4" t="str">
        <f t="shared" si="131"/>
        <v/>
      </c>
      <c r="R83" s="4" t="str">
        <f t="shared" si="131"/>
        <v/>
      </c>
      <c r="S83" s="4" t="str">
        <f t="shared" si="131"/>
        <v/>
      </c>
      <c r="T83" s="4" t="str">
        <f t="shared" si="131"/>
        <v/>
      </c>
      <c r="U83" s="4" t="str">
        <f t="shared" si="131"/>
        <v/>
      </c>
      <c r="V83" s="4" t="str">
        <f t="shared" si="131"/>
        <v/>
      </c>
      <c r="W83" s="4" t="str">
        <f t="shared" si="131"/>
        <v/>
      </c>
      <c r="X83" s="4" t="str">
        <f t="shared" si="131"/>
        <v/>
      </c>
      <c r="Y83" s="4" t="str">
        <f t="shared" si="131"/>
        <v/>
      </c>
      <c r="Z83" s="4" t="str">
        <f t="shared" si="131"/>
        <v/>
      </c>
      <c r="AA83" s="4" t="str">
        <f t="shared" si="131"/>
        <v/>
      </c>
      <c r="AB83" s="4" t="str">
        <f t="shared" si="131"/>
        <v/>
      </c>
      <c r="AC83" s="4" t="str">
        <f t="shared" si="131"/>
        <v/>
      </c>
      <c r="AD83" s="4" t="str">
        <f t="shared" si="131"/>
        <v/>
      </c>
      <c r="AE83" s="4" t="str">
        <f t="shared" si="131"/>
        <v/>
      </c>
      <c r="AF83" s="4" t="str">
        <f t="shared" si="131"/>
        <v/>
      </c>
      <c r="AG83" s="4" t="str">
        <f t="shared" si="131"/>
        <v/>
      </c>
      <c r="AH83" s="4" t="str">
        <f t="shared" si="131"/>
        <v/>
      </c>
      <c r="AI83" s="4" t="str">
        <f t="shared" si="131"/>
        <v/>
      </c>
      <c r="AJ83" s="4" t="str">
        <f t="shared" si="131"/>
        <v/>
      </c>
      <c r="AK83" s="31" t="e">
        <f t="shared" si="122"/>
        <v>#VALUE!</v>
      </c>
      <c r="AL83" s="31" t="e">
        <f t="shared" si="115"/>
        <v>#VALUE!</v>
      </c>
      <c r="AM83" s="31" t="e">
        <f t="shared" si="115"/>
        <v>#VALUE!</v>
      </c>
      <c r="AN83" s="31" t="e">
        <f t="shared" si="115"/>
        <v>#VALUE!</v>
      </c>
      <c r="AO83" s="31" t="e">
        <f t="shared" si="115"/>
        <v>#VALUE!</v>
      </c>
      <c r="AP83" s="4">
        <f t="shared" si="116"/>
        <v>14.291323529411764</v>
      </c>
      <c r="AQ83" s="4">
        <f t="shared" si="116"/>
        <v>14.49</v>
      </c>
      <c r="AR83" s="4">
        <f t="shared" si="116"/>
        <v>16.381875000000001</v>
      </c>
      <c r="AS83" s="4">
        <f t="shared" si="116"/>
        <v>23.490666666666666</v>
      </c>
      <c r="AT83" s="4">
        <f t="shared" si="116"/>
        <v>10.123500643500643</v>
      </c>
      <c r="AU83" s="4">
        <f t="shared" si="116"/>
        <v>17.829072164948453</v>
      </c>
      <c r="AV83" s="4">
        <f t="shared" ref="AV83" si="132">IFERROR(AV10/AV59,"")</f>
        <v>20.546434782608696</v>
      </c>
      <c r="BB83" s="4">
        <f t="shared" si="118"/>
        <v>15.447582781456953</v>
      </c>
      <c r="BC83" s="4">
        <f t="shared" si="118"/>
        <v>12.580642335766424</v>
      </c>
      <c r="BD83" s="4">
        <f t="shared" si="118"/>
        <v>20.546434782608696</v>
      </c>
      <c r="BE83" s="4" t="str">
        <f t="shared" si="118"/>
        <v/>
      </c>
      <c r="BF83" s="4">
        <f t="shared" si="118"/>
        <v>13.623529184383456</v>
      </c>
      <c r="BG83" s="122" t="e">
        <f t="shared" si="119"/>
        <v>#VALUE!</v>
      </c>
      <c r="BH83" s="111" t="e">
        <f t="shared" si="119"/>
        <v>#VALUE!</v>
      </c>
      <c r="BI83" s="111" t="e">
        <f t="shared" si="119"/>
        <v>#VALUE!</v>
      </c>
      <c r="BJ83" s="111" t="e">
        <f t="shared" si="119"/>
        <v>#VALUE!</v>
      </c>
      <c r="BK83" s="111" t="e">
        <f t="shared" si="119"/>
        <v>#VALUE!</v>
      </c>
      <c r="BL83" s="111" t="e">
        <f t="shared" si="119"/>
        <v>#VALUE!</v>
      </c>
      <c r="BM83" s="111" t="e">
        <f t="shared" si="119"/>
        <v>#VALUE!</v>
      </c>
      <c r="BN83" s="111" t="e">
        <f t="shared" si="119"/>
        <v>#VALUE!</v>
      </c>
      <c r="BO83" s="111" t="e">
        <f t="shared" si="119"/>
        <v>#VALUE!</v>
      </c>
      <c r="BP83" s="111" t="e">
        <f t="shared" si="119"/>
        <v>#VALUE!</v>
      </c>
      <c r="BQ83" s="111" t="e">
        <f t="shared" si="119"/>
        <v>#VALUE!</v>
      </c>
      <c r="BR83" s="111" t="e">
        <f t="shared" si="119"/>
        <v>#VALUE!</v>
      </c>
      <c r="BS83" s="111">
        <f>IFERROR(BB83/(SUM(O10:INDEX(O10:Q10,IF($B$3&lt;3,$B$3,3)))/SUM(O59:INDEX(O59:Q59,IF($B$3&lt;3,$B$3,3)))),0)</f>
        <v>0</v>
      </c>
      <c r="BT83" s="111">
        <f>IFERROR(BC83/(SUM(R10:INDEX(R10:T10,IF($B$3&lt;7,$B$3-3,3)))/SUM(R59:INDEX(R59:T59,IF($B$3&lt;7,$B$3-3,3)))),0)</f>
        <v>0</v>
      </c>
      <c r="BU83" s="111"/>
      <c r="BV83" s="111"/>
      <c r="BW83" s="111">
        <f t="shared" si="124"/>
        <v>0</v>
      </c>
    </row>
    <row r="84" spans="1:75" x14ac:dyDescent="0.25">
      <c r="A84" s="20" t="str">
        <f t="shared" si="120"/>
        <v>CaseSize_by_rookie_GENLION:13+mth</v>
      </c>
      <c r="B84" t="s">
        <v>2</v>
      </c>
      <c r="C84" s="4" t="str">
        <f t="shared" ref="C84:AJ84" si="133">IFERROR(C11/C60,"")</f>
        <v/>
      </c>
      <c r="D84" s="4" t="str">
        <f t="shared" si="133"/>
        <v/>
      </c>
      <c r="E84" s="4" t="str">
        <f t="shared" si="133"/>
        <v/>
      </c>
      <c r="F84" s="4" t="str">
        <f t="shared" si="133"/>
        <v/>
      </c>
      <c r="G84" s="4" t="str">
        <f t="shared" si="133"/>
        <v/>
      </c>
      <c r="H84" s="4" t="str">
        <f t="shared" si="133"/>
        <v/>
      </c>
      <c r="I84" s="4" t="str">
        <f t="shared" si="133"/>
        <v/>
      </c>
      <c r="J84" s="4" t="str">
        <f t="shared" si="133"/>
        <v/>
      </c>
      <c r="K84" s="4" t="str">
        <f t="shared" si="133"/>
        <v/>
      </c>
      <c r="L84" s="4" t="str">
        <f t="shared" si="133"/>
        <v/>
      </c>
      <c r="M84" s="4" t="str">
        <f t="shared" si="133"/>
        <v/>
      </c>
      <c r="N84" s="4" t="str">
        <f t="shared" si="133"/>
        <v/>
      </c>
      <c r="O84" s="4" t="str">
        <f t="shared" si="133"/>
        <v/>
      </c>
      <c r="P84" s="4" t="str">
        <f t="shared" si="133"/>
        <v/>
      </c>
      <c r="Q84" s="4" t="str">
        <f t="shared" si="133"/>
        <v/>
      </c>
      <c r="R84" s="4" t="str">
        <f t="shared" si="133"/>
        <v/>
      </c>
      <c r="S84" s="4" t="str">
        <f t="shared" si="133"/>
        <v/>
      </c>
      <c r="T84" s="4" t="str">
        <f t="shared" si="133"/>
        <v/>
      </c>
      <c r="U84" s="4" t="str">
        <f t="shared" si="133"/>
        <v/>
      </c>
      <c r="V84" s="4" t="str">
        <f t="shared" si="133"/>
        <v/>
      </c>
      <c r="W84" s="4" t="str">
        <f t="shared" si="133"/>
        <v/>
      </c>
      <c r="X84" s="4" t="str">
        <f t="shared" si="133"/>
        <v/>
      </c>
      <c r="Y84" s="4" t="str">
        <f t="shared" si="133"/>
        <v/>
      </c>
      <c r="Z84" s="4" t="str">
        <f t="shared" si="133"/>
        <v/>
      </c>
      <c r="AA84" s="4" t="str">
        <f t="shared" si="133"/>
        <v/>
      </c>
      <c r="AB84" s="4" t="str">
        <f t="shared" si="133"/>
        <v/>
      </c>
      <c r="AC84" s="4" t="str">
        <f t="shared" si="133"/>
        <v/>
      </c>
      <c r="AD84" s="4" t="str">
        <f t="shared" si="133"/>
        <v/>
      </c>
      <c r="AE84" s="4" t="str">
        <f t="shared" si="133"/>
        <v/>
      </c>
      <c r="AF84" s="4" t="str">
        <f t="shared" si="133"/>
        <v/>
      </c>
      <c r="AG84" s="4" t="str">
        <f t="shared" si="133"/>
        <v/>
      </c>
      <c r="AH84" s="4" t="str">
        <f t="shared" si="133"/>
        <v/>
      </c>
      <c r="AI84" s="4" t="str">
        <f t="shared" si="133"/>
        <v/>
      </c>
      <c r="AJ84" s="4" t="str">
        <f t="shared" si="133"/>
        <v/>
      </c>
      <c r="AK84" s="31" t="e">
        <f t="shared" si="122"/>
        <v>#VALUE!</v>
      </c>
      <c r="AL84" s="31" t="e">
        <f t="shared" si="115"/>
        <v>#VALUE!</v>
      </c>
      <c r="AM84" s="31" t="e">
        <f t="shared" si="115"/>
        <v>#VALUE!</v>
      </c>
      <c r="AN84" s="31" t="e">
        <f t="shared" si="115"/>
        <v>#VALUE!</v>
      </c>
      <c r="AO84" s="31" t="e">
        <f t="shared" si="115"/>
        <v>#VALUE!</v>
      </c>
      <c r="AP84" s="4">
        <f t="shared" si="116"/>
        <v>20.747410596026491</v>
      </c>
      <c r="AQ84" s="4">
        <f t="shared" si="116"/>
        <v>17.379777777777775</v>
      </c>
      <c r="AR84" s="4">
        <f t="shared" si="116"/>
        <v>16.522444444444446</v>
      </c>
      <c r="AS84" s="4">
        <f t="shared" si="116"/>
        <v>19.449469026548673</v>
      </c>
      <c r="AT84" s="4">
        <f t="shared" si="116"/>
        <v>21.824778761061946</v>
      </c>
      <c r="AU84" s="4">
        <f t="shared" si="116"/>
        <v>21.633004926108374</v>
      </c>
      <c r="AV84" s="4">
        <f t="shared" ref="AV84" si="134">IFERROR(AV11/AV60,"")</f>
        <v>25.541596244131455</v>
      </c>
      <c r="BB84" s="4">
        <f t="shared" si="118"/>
        <v>17.886235831809874</v>
      </c>
      <c r="BC84" s="4">
        <f t="shared" si="118"/>
        <v>20.945770992366413</v>
      </c>
      <c r="BD84" s="4">
        <f t="shared" si="118"/>
        <v>25.541596244131455</v>
      </c>
      <c r="BE84" s="4" t="str">
        <f t="shared" si="118"/>
        <v/>
      </c>
      <c r="BF84" s="4">
        <f t="shared" si="118"/>
        <v>20.454848763250883</v>
      </c>
      <c r="BG84" s="122" t="e">
        <f t="shared" si="119"/>
        <v>#VALUE!</v>
      </c>
      <c r="BH84" s="111" t="e">
        <f t="shared" si="119"/>
        <v>#VALUE!</v>
      </c>
      <c r="BI84" s="111" t="e">
        <f t="shared" si="119"/>
        <v>#VALUE!</v>
      </c>
      <c r="BJ84" s="111" t="e">
        <f t="shared" si="119"/>
        <v>#VALUE!</v>
      </c>
      <c r="BK84" s="111" t="e">
        <f t="shared" si="119"/>
        <v>#VALUE!</v>
      </c>
      <c r="BL84" s="111" t="e">
        <f t="shared" si="119"/>
        <v>#VALUE!</v>
      </c>
      <c r="BM84" s="111" t="e">
        <f t="shared" si="119"/>
        <v>#VALUE!</v>
      </c>
      <c r="BN84" s="111" t="e">
        <f t="shared" si="119"/>
        <v>#VALUE!</v>
      </c>
      <c r="BO84" s="111" t="e">
        <f t="shared" si="119"/>
        <v>#VALUE!</v>
      </c>
      <c r="BP84" s="111" t="e">
        <f t="shared" si="119"/>
        <v>#VALUE!</v>
      </c>
      <c r="BQ84" s="111" t="e">
        <f t="shared" si="119"/>
        <v>#VALUE!</v>
      </c>
      <c r="BR84" s="111" t="e">
        <f t="shared" si="119"/>
        <v>#VALUE!</v>
      </c>
      <c r="BS84" s="111">
        <f>IFERROR(BB84/(SUM(O11:INDEX(O11:Q11,IF($B$3&lt;3,$B$3,3)))/SUM(O60:INDEX(O60:Q60,IF($B$3&lt;3,$B$3,3)))),0)</f>
        <v>0</v>
      </c>
      <c r="BT84" s="111">
        <f>IFERROR(BC84/(SUM(R11:INDEX(R11:T11,IF($B$3&lt;7,$B$3-3,3)))/SUM(R60:INDEX(R60:T60,IF($B$3&lt;7,$B$3-3,3)))),0)</f>
        <v>0</v>
      </c>
      <c r="BU84" s="111"/>
      <c r="BV84" s="111"/>
      <c r="BW84" s="111">
        <f t="shared" si="124"/>
        <v>0</v>
      </c>
    </row>
    <row r="85" spans="1:75" x14ac:dyDescent="0.25">
      <c r="A85" s="20" t="str">
        <f t="shared" si="120"/>
        <v>CaseSize_by_rookie_GENLION:SA</v>
      </c>
      <c r="B85" t="s">
        <v>136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31"/>
      <c r="AL85" s="31"/>
      <c r="AM85" s="31"/>
      <c r="AN85" s="31"/>
      <c r="AO85" s="31"/>
      <c r="AP85" s="4"/>
      <c r="AQ85" s="4">
        <f>IFERROR(AQ12/AQ61,"")</f>
        <v>14.834301369863013</v>
      </c>
      <c r="AR85" s="4">
        <f>IFERROR(AR12/AR61,"")</f>
        <v>15.398734177215189</v>
      </c>
      <c r="AS85" s="4">
        <f>IFERROR(AS12/AS61,"")</f>
        <v>14.691150442477875</v>
      </c>
      <c r="AT85" s="4">
        <f>IFERROR(AT12/AT61,"")</f>
        <v>16.654137931034484</v>
      </c>
      <c r="AU85" s="4">
        <f>IFERROR(AU12/AU61,"")</f>
        <v>16.958000000000002</v>
      </c>
      <c r="AV85" s="4">
        <f t="shared" ref="AV85" si="135">IFERROR(AV12/AV61,"")</f>
        <v>15.5076</v>
      </c>
      <c r="BB85" s="4">
        <f t="shared" si="118"/>
        <v>15.127657894736842</v>
      </c>
      <c r="BC85" s="4">
        <f t="shared" si="118"/>
        <v>15.595920398009948</v>
      </c>
      <c r="BD85" s="4">
        <f t="shared" si="118"/>
        <v>15.5076</v>
      </c>
      <c r="BE85" s="4" t="str">
        <f t="shared" si="118"/>
        <v/>
      </c>
      <c r="BF85" s="4">
        <f t="shared" si="118"/>
        <v>15.408347394540941</v>
      </c>
      <c r="BG85" s="122"/>
      <c r="BH85" s="111"/>
      <c r="BI85" s="111"/>
      <c r="BJ85" s="111"/>
      <c r="BK85" s="111"/>
      <c r="BL85" s="111"/>
      <c r="BM85" s="111"/>
      <c r="BN85" s="111"/>
      <c r="BO85" s="111"/>
      <c r="BP85" s="111"/>
      <c r="BQ85" s="111"/>
      <c r="BR85" s="111"/>
      <c r="BS85" s="111"/>
      <c r="BT85" s="111"/>
      <c r="BU85" s="111"/>
      <c r="BV85" s="111"/>
      <c r="BW85" s="111"/>
    </row>
    <row r="86" spans="1:75" s="17" customFormat="1" x14ac:dyDescent="0.25">
      <c r="A86" s="20" t="str">
        <f t="shared" si="120"/>
        <v>CaseSize_by_rookie_GENLION:Total</v>
      </c>
      <c r="B86" s="1" t="s">
        <v>3</v>
      </c>
      <c r="C86" s="5" t="str">
        <f t="shared" ref="C86:AJ86" si="136">IFERROR(C13/C62,"")</f>
        <v/>
      </c>
      <c r="D86" s="5" t="str">
        <f t="shared" si="136"/>
        <v/>
      </c>
      <c r="E86" s="5" t="str">
        <f t="shared" si="136"/>
        <v/>
      </c>
      <c r="F86" s="5" t="str">
        <f t="shared" si="136"/>
        <v/>
      </c>
      <c r="G86" s="5" t="str">
        <f t="shared" si="136"/>
        <v/>
      </c>
      <c r="H86" s="5" t="str">
        <f t="shared" si="136"/>
        <v/>
      </c>
      <c r="I86" s="5" t="str">
        <f t="shared" si="136"/>
        <v/>
      </c>
      <c r="J86" s="5" t="str">
        <f t="shared" si="136"/>
        <v/>
      </c>
      <c r="K86" s="5" t="str">
        <f t="shared" si="136"/>
        <v/>
      </c>
      <c r="L86" s="5" t="str">
        <f t="shared" si="136"/>
        <v/>
      </c>
      <c r="M86" s="5" t="str">
        <f t="shared" si="136"/>
        <v/>
      </c>
      <c r="N86" s="5" t="str">
        <f t="shared" si="136"/>
        <v/>
      </c>
      <c r="O86" s="5" t="str">
        <f t="shared" si="136"/>
        <v/>
      </c>
      <c r="P86" s="5" t="str">
        <f t="shared" si="136"/>
        <v/>
      </c>
      <c r="Q86" s="5" t="str">
        <f t="shared" si="136"/>
        <v/>
      </c>
      <c r="R86" s="5" t="str">
        <f t="shared" si="136"/>
        <v/>
      </c>
      <c r="S86" s="5" t="str">
        <f t="shared" si="136"/>
        <v/>
      </c>
      <c r="T86" s="5" t="str">
        <f t="shared" si="136"/>
        <v/>
      </c>
      <c r="U86" s="5" t="str">
        <f t="shared" si="136"/>
        <v/>
      </c>
      <c r="V86" s="5" t="str">
        <f t="shared" si="136"/>
        <v/>
      </c>
      <c r="W86" s="5" t="str">
        <f t="shared" si="136"/>
        <v/>
      </c>
      <c r="X86" s="5" t="str">
        <f t="shared" si="136"/>
        <v/>
      </c>
      <c r="Y86" s="5" t="str">
        <f t="shared" si="136"/>
        <v/>
      </c>
      <c r="Z86" s="5" t="str">
        <f t="shared" si="136"/>
        <v/>
      </c>
      <c r="AA86" s="5" t="str">
        <f t="shared" si="136"/>
        <v/>
      </c>
      <c r="AB86" s="5" t="str">
        <f t="shared" si="136"/>
        <v/>
      </c>
      <c r="AC86" s="5" t="str">
        <f t="shared" si="136"/>
        <v/>
      </c>
      <c r="AD86" s="5" t="str">
        <f t="shared" si="136"/>
        <v/>
      </c>
      <c r="AE86" s="5" t="str">
        <f t="shared" si="136"/>
        <v/>
      </c>
      <c r="AF86" s="5" t="str">
        <f t="shared" si="136"/>
        <v/>
      </c>
      <c r="AG86" s="5" t="str">
        <f t="shared" si="136"/>
        <v/>
      </c>
      <c r="AH86" s="5" t="str">
        <f t="shared" si="136"/>
        <v/>
      </c>
      <c r="AI86" s="5" t="str">
        <f t="shared" si="136"/>
        <v/>
      </c>
      <c r="AJ86" s="5" t="str">
        <f t="shared" si="136"/>
        <v/>
      </c>
      <c r="AK86" s="32" t="e">
        <f t="shared" si="122"/>
        <v>#VALUE!</v>
      </c>
      <c r="AL86" s="32" t="e">
        <f t="shared" si="115"/>
        <v>#VALUE!</v>
      </c>
      <c r="AM86" s="32" t="e">
        <f t="shared" si="115"/>
        <v>#VALUE!</v>
      </c>
      <c r="AN86" s="31" t="e">
        <f t="shared" si="115"/>
        <v>#VALUE!</v>
      </c>
      <c r="AO86" s="31" t="e">
        <f t="shared" si="115"/>
        <v>#VALUE!</v>
      </c>
      <c r="AP86" s="5">
        <f t="shared" ref="AP86:AQ86" si="137">IFERROR(AP13/AP62,"")</f>
        <v>18.506746376811595</v>
      </c>
      <c r="AQ86" s="5">
        <f t="shared" si="137"/>
        <v>22.842821350762541</v>
      </c>
      <c r="AR86" s="5">
        <f>IFERROR(AR13/AR62,"")</f>
        <v>19.299775910364144</v>
      </c>
      <c r="AS86" s="5">
        <f>IFERROR(AS13/AS62,"")</f>
        <v>19.430214455917394</v>
      </c>
      <c r="AT86" s="5">
        <f>IFERROR(AT13/AT62,"")</f>
        <v>16.286140992167102</v>
      </c>
      <c r="AU86" s="5">
        <f>IFERROR(AU13/AU62,"")</f>
        <v>18.919034440344404</v>
      </c>
      <c r="AV86" s="5">
        <f>IFERROR(AV13/AV62,"")</f>
        <v>19.832587532023911</v>
      </c>
      <c r="BB86" s="5">
        <f t="shared" ref="BB86:BF86" si="138">IFERROR(BB13/BB62,"")</f>
        <v>20.190858036890649</v>
      </c>
      <c r="BC86" s="5">
        <f t="shared" si="138"/>
        <v>18.002697916666669</v>
      </c>
      <c r="BD86" s="5">
        <f t="shared" si="138"/>
        <v>19.832587532023911</v>
      </c>
      <c r="BE86" s="5" t="str">
        <f t="shared" si="138"/>
        <v/>
      </c>
      <c r="BF86" s="5">
        <f t="shared" si="138"/>
        <v>18.978167536360608</v>
      </c>
      <c r="BG86" s="123" t="e">
        <f t="shared" si="119"/>
        <v>#VALUE!</v>
      </c>
      <c r="BH86" s="118" t="e">
        <f t="shared" si="119"/>
        <v>#VALUE!</v>
      </c>
      <c r="BI86" s="118" t="e">
        <f t="shared" si="119"/>
        <v>#VALUE!</v>
      </c>
      <c r="BJ86" s="118" t="e">
        <f t="shared" si="119"/>
        <v>#VALUE!</v>
      </c>
      <c r="BK86" s="118" t="e">
        <f t="shared" si="119"/>
        <v>#VALUE!</v>
      </c>
      <c r="BL86" s="118" t="e">
        <f t="shared" si="119"/>
        <v>#VALUE!</v>
      </c>
      <c r="BM86" s="118" t="e">
        <f t="shared" si="119"/>
        <v>#VALUE!</v>
      </c>
      <c r="BN86" s="118" t="e">
        <f t="shared" si="119"/>
        <v>#VALUE!</v>
      </c>
      <c r="BO86" s="118" t="e">
        <f t="shared" si="119"/>
        <v>#VALUE!</v>
      </c>
      <c r="BP86" s="118" t="e">
        <f t="shared" si="119"/>
        <v>#VALUE!</v>
      </c>
      <c r="BQ86" s="118" t="e">
        <f t="shared" si="119"/>
        <v>#VALUE!</v>
      </c>
      <c r="BR86" s="118" t="e">
        <f t="shared" si="119"/>
        <v>#VALUE!</v>
      </c>
      <c r="BS86" s="118">
        <f>IFERROR(BB86/(SUM(O13:INDEX(O13:Q13,IF($B$3&lt;3,$B$3,3)))/SUM(O62:INDEX(O62:Q62,IF($B$3&lt;3,$B$3,3)))),0)</f>
        <v>0</v>
      </c>
      <c r="BT86" s="118">
        <f>IFERROR(BC86/(SUM(R13:INDEX(R13:T13,IF($B$3&lt;7,$B$3-3,3)))/SUM(R62:INDEX(R62:T62,IF($B$3&lt;7,$B$3-3,3)))),0)</f>
        <v>0</v>
      </c>
      <c r="BU86" s="118"/>
      <c r="BV86" s="118"/>
      <c r="BW86" s="118">
        <f t="shared" si="124"/>
        <v>0</v>
      </c>
    </row>
    <row r="87" spans="1:75" x14ac:dyDescent="0.25">
      <c r="BG87" s="124"/>
    </row>
    <row r="88" spans="1:75" x14ac:dyDescent="0.25"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BG88" s="124"/>
    </row>
    <row r="89" spans="1:75" x14ac:dyDescent="0.25">
      <c r="B89" s="2" t="s">
        <v>15</v>
      </c>
      <c r="C89" s="3">
        <f t="shared" ref="C89:Z89" si="139">C29</f>
        <v>42005</v>
      </c>
      <c r="D89" s="3">
        <f t="shared" si="139"/>
        <v>42036</v>
      </c>
      <c r="E89" s="3">
        <f t="shared" si="139"/>
        <v>42064</v>
      </c>
      <c r="F89" s="3">
        <f t="shared" si="139"/>
        <v>42095</v>
      </c>
      <c r="G89" s="3">
        <f t="shared" si="139"/>
        <v>42125</v>
      </c>
      <c r="H89" s="3">
        <f t="shared" si="139"/>
        <v>42156</v>
      </c>
      <c r="I89" s="3">
        <f t="shared" si="139"/>
        <v>42186</v>
      </c>
      <c r="J89" s="3">
        <f t="shared" si="139"/>
        <v>42217</v>
      </c>
      <c r="K89" s="3">
        <f t="shared" si="139"/>
        <v>42248</v>
      </c>
      <c r="L89" s="3">
        <f t="shared" si="139"/>
        <v>42278</v>
      </c>
      <c r="M89" s="3">
        <f t="shared" si="139"/>
        <v>42309</v>
      </c>
      <c r="N89" s="3">
        <f t="shared" si="139"/>
        <v>42339</v>
      </c>
      <c r="O89" s="3">
        <f t="shared" si="139"/>
        <v>42370</v>
      </c>
      <c r="P89" s="3">
        <f t="shared" si="139"/>
        <v>42401</v>
      </c>
      <c r="Q89" s="3">
        <f t="shared" si="139"/>
        <v>42430</v>
      </c>
      <c r="R89" s="3">
        <f t="shared" si="139"/>
        <v>42461</v>
      </c>
      <c r="S89" s="3">
        <f t="shared" si="139"/>
        <v>42491</v>
      </c>
      <c r="T89" s="3">
        <f t="shared" si="139"/>
        <v>42522</v>
      </c>
      <c r="U89" s="3">
        <f t="shared" si="139"/>
        <v>42552</v>
      </c>
      <c r="V89" s="3">
        <f t="shared" si="139"/>
        <v>42583</v>
      </c>
      <c r="W89" s="3">
        <f t="shared" si="139"/>
        <v>42614</v>
      </c>
      <c r="X89" s="3">
        <f t="shared" si="139"/>
        <v>42644</v>
      </c>
      <c r="Y89" s="3">
        <f t="shared" si="139"/>
        <v>42675</v>
      </c>
      <c r="Z89" s="3">
        <f t="shared" si="139"/>
        <v>42705</v>
      </c>
      <c r="AA89" s="29" t="str">
        <f>$AA$4</f>
        <v>YTD 7/16</v>
      </c>
      <c r="AB89" s="29" t="s">
        <v>19</v>
      </c>
      <c r="AC89" s="29" t="s">
        <v>20</v>
      </c>
      <c r="AD89" s="29" t="s">
        <v>21</v>
      </c>
      <c r="AE89" s="29" t="s">
        <v>22</v>
      </c>
      <c r="AF89" s="26" t="str">
        <f t="shared" ref="AF89:AJ89" si="140">AF65</f>
        <v>YTD 7/15</v>
      </c>
      <c r="AG89" s="26" t="str">
        <f t="shared" si="140"/>
        <v>Q1 '15</v>
      </c>
      <c r="AH89" s="26" t="str">
        <f t="shared" si="140"/>
        <v>Q2 '15</v>
      </c>
      <c r="AI89" s="26" t="str">
        <f t="shared" si="140"/>
        <v>Q3 '15</v>
      </c>
      <c r="AJ89" s="26" t="str">
        <f t="shared" si="140"/>
        <v>Q4 '15</v>
      </c>
      <c r="AK89" s="30" t="s">
        <v>27</v>
      </c>
      <c r="AL89" s="30" t="s">
        <v>29</v>
      </c>
      <c r="AM89" s="30" t="s">
        <v>30</v>
      </c>
      <c r="AN89" s="30" t="s">
        <v>31</v>
      </c>
      <c r="AO89" s="30" t="s">
        <v>32</v>
      </c>
      <c r="AP89" s="108">
        <v>42736</v>
      </c>
      <c r="AQ89" s="108">
        <v>42767</v>
      </c>
      <c r="AR89" s="108">
        <v>42795</v>
      </c>
      <c r="AS89" s="108">
        <v>42826</v>
      </c>
      <c r="AT89" s="108">
        <v>42856</v>
      </c>
      <c r="AU89" s="108">
        <v>42887</v>
      </c>
      <c r="AV89" s="108">
        <v>42917</v>
      </c>
      <c r="AW89" s="108">
        <v>42948</v>
      </c>
      <c r="AX89" s="108">
        <v>42979</v>
      </c>
      <c r="AY89" s="108">
        <v>43009</v>
      </c>
      <c r="AZ89" s="108">
        <v>43040</v>
      </c>
      <c r="BA89" s="108">
        <v>43070</v>
      </c>
      <c r="BB89" s="29" t="s">
        <v>123</v>
      </c>
      <c r="BC89" s="29" t="s">
        <v>124</v>
      </c>
      <c r="BD89" s="29" t="s">
        <v>125</v>
      </c>
      <c r="BE89" s="29" t="s">
        <v>126</v>
      </c>
      <c r="BF89" s="29" t="str">
        <f>$BF$4</f>
        <v>YTD 7/17</v>
      </c>
      <c r="BG89" s="121">
        <v>42736</v>
      </c>
      <c r="BH89" s="108">
        <v>42767</v>
      </c>
      <c r="BI89" s="108">
        <v>42795</v>
      </c>
      <c r="BJ89" s="108">
        <v>42826</v>
      </c>
      <c r="BK89" s="108">
        <v>42856</v>
      </c>
      <c r="BL89" s="108">
        <v>42887</v>
      </c>
      <c r="BM89" s="108">
        <v>42917</v>
      </c>
      <c r="BN89" s="108">
        <v>42948</v>
      </c>
      <c r="BO89" s="108">
        <v>42979</v>
      </c>
      <c r="BP89" s="108">
        <v>43009</v>
      </c>
      <c r="BQ89" s="108">
        <v>43040</v>
      </c>
      <c r="BR89" s="108">
        <v>43070</v>
      </c>
      <c r="BS89" s="29" t="s">
        <v>127</v>
      </c>
      <c r="BT89" s="29" t="s">
        <v>128</v>
      </c>
      <c r="BU89" s="29" t="s">
        <v>96</v>
      </c>
      <c r="BV89" s="29" t="s">
        <v>129</v>
      </c>
      <c r="BW89" s="112" t="s">
        <v>130</v>
      </c>
    </row>
    <row r="90" spans="1:75" x14ac:dyDescent="0.25">
      <c r="B90" t="s">
        <v>16</v>
      </c>
      <c r="C90" s="6">
        <v>49</v>
      </c>
      <c r="D90" s="6">
        <v>15</v>
      </c>
      <c r="E90" s="6">
        <v>52</v>
      </c>
      <c r="F90" s="6">
        <v>65</v>
      </c>
      <c r="G90" s="6">
        <v>36</v>
      </c>
      <c r="H90" s="6">
        <v>38</v>
      </c>
      <c r="I90" s="6">
        <v>25</v>
      </c>
      <c r="J90" s="6">
        <v>24</v>
      </c>
      <c r="K90" s="6">
        <v>35</v>
      </c>
      <c r="L90" s="6">
        <v>25</v>
      </c>
      <c r="M90" s="6">
        <v>18</v>
      </c>
      <c r="N90" s="6">
        <v>20</v>
      </c>
      <c r="O90" s="6">
        <v>6</v>
      </c>
      <c r="P90" s="6">
        <v>3</v>
      </c>
      <c r="Q90" s="6">
        <v>34</v>
      </c>
      <c r="R90" s="6">
        <v>17</v>
      </c>
      <c r="S90" s="6">
        <v>40</v>
      </c>
      <c r="T90" s="6">
        <v>44</v>
      </c>
      <c r="U90" s="6">
        <v>22</v>
      </c>
      <c r="V90" s="6">
        <v>28</v>
      </c>
      <c r="W90" s="6">
        <v>41</v>
      </c>
      <c r="X90" s="6">
        <f>[14]Recruit!$K$38</f>
        <v>54</v>
      </c>
      <c r="Y90" s="6">
        <f>[24]Recruit!$K$38</f>
        <v>70</v>
      </c>
      <c r="Z90" s="6">
        <f>[15]Recruit!$K$38</f>
        <v>39</v>
      </c>
      <c r="AA90" s="22">
        <f>SUM(O90:INDEX(O90:Z90,$B$3))</f>
        <v>166</v>
      </c>
      <c r="AB90" s="22">
        <f>SUM(O90:Q90)</f>
        <v>43</v>
      </c>
      <c r="AC90" s="22">
        <f>SUM(R90:T90)</f>
        <v>101</v>
      </c>
      <c r="AD90" s="22">
        <f>SUM(U90:W90)</f>
        <v>91</v>
      </c>
      <c r="AE90" s="22">
        <f>SUM(X90:Z90)</f>
        <v>163</v>
      </c>
      <c r="AF90" s="22">
        <f>SUM(C90                                                                                : INDEX(C90:N90,$B$3))</f>
        <v>280</v>
      </c>
      <c r="AG90" s="22">
        <f t="shared" ref="AG90:AG92" si="141">SUM(C90:E90)</f>
        <v>116</v>
      </c>
      <c r="AH90" s="22">
        <f t="shared" ref="AH90:AH92" si="142">SUM(F90:H90)</f>
        <v>139</v>
      </c>
      <c r="AI90" s="22">
        <f t="shared" ref="AI90:AI92" si="143">SUM(I90:K90)</f>
        <v>84</v>
      </c>
      <c r="AJ90" s="22">
        <f t="shared" ref="AJ90:AJ92" si="144">SUM(L90:N90)</f>
        <v>63</v>
      </c>
      <c r="AK90" s="31">
        <f>AA90/AF90-1</f>
        <v>-0.40714285714285714</v>
      </c>
      <c r="AL90" s="31">
        <f t="shared" ref="AL90:AN92" si="145">AB90/AG90-1</f>
        <v>-0.62931034482758619</v>
      </c>
      <c r="AM90" s="31">
        <f t="shared" si="145"/>
        <v>-0.27338129496402874</v>
      </c>
      <c r="AN90" s="31">
        <f t="shared" si="145"/>
        <v>8.3333333333333259E-2</v>
      </c>
      <c r="AO90" s="31">
        <f>AE90/SUM(L90:INDEX(L90:N90,MOD($B$3,3)))-1</f>
        <v>5.52</v>
      </c>
      <c r="AP90" s="18">
        <f>[16]Recruit!$K$38</f>
        <v>39</v>
      </c>
      <c r="AQ90" s="18">
        <f>[17]Recruit!$K$38</f>
        <v>58</v>
      </c>
      <c r="AR90" s="18">
        <f>[18]Recruit!$K$38</f>
        <v>20</v>
      </c>
      <c r="AS90" s="18">
        <f>[19]Recruit!$K$38</f>
        <v>22</v>
      </c>
      <c r="AT90" s="18">
        <f>[20]Recruit!$K$38</f>
        <v>18</v>
      </c>
      <c r="AU90" s="18">
        <f>[21]Recruit!$K$38</f>
        <v>20</v>
      </c>
      <c r="AV90" s="18">
        <f>[22]Recruit!$K$38</f>
        <v>29</v>
      </c>
      <c r="BB90" s="110">
        <f>SUM(AP90:INDEX(AP90:AR90,IF($B$3&lt;3,$B$3,3)))</f>
        <v>117</v>
      </c>
      <c r="BC90" s="110">
        <f>SUM(AS90:INDEX(AS90:AU90,IF(AND($B$3&gt;3,B89&lt;7),$B$3-3,0)))</f>
        <v>60</v>
      </c>
      <c r="BD90" s="110">
        <f>SUM(AV90:INDEX(AV90:AX90,IF(AND($B$3&gt;6,$B$3&lt;10),$B$3-6,0)))</f>
        <v>29</v>
      </c>
      <c r="BE90" s="110">
        <f>SUM(AY90:INDEX(AY90:BA90,IF($B$3&gt;9,$B$3-9,0)))</f>
        <v>0</v>
      </c>
      <c r="BF90" s="110">
        <f>SUM($AP90:INDEX(AP90:BA90,$B$3))</f>
        <v>206</v>
      </c>
      <c r="BG90" s="122">
        <f t="shared" ref="BG90:BR92" si="146">AP90/O90</f>
        <v>6.5</v>
      </c>
      <c r="BH90" s="111">
        <f t="shared" si="146"/>
        <v>19.333333333333332</v>
      </c>
      <c r="BI90" s="111">
        <f t="shared" si="146"/>
        <v>0.58823529411764708</v>
      </c>
      <c r="BJ90" s="111">
        <f t="shared" si="146"/>
        <v>1.2941176470588236</v>
      </c>
      <c r="BK90" s="111">
        <f t="shared" si="146"/>
        <v>0.45</v>
      </c>
      <c r="BL90" s="111">
        <f t="shared" si="146"/>
        <v>0.45454545454545453</v>
      </c>
      <c r="BM90" s="111">
        <f t="shared" si="146"/>
        <v>1.3181818181818181</v>
      </c>
      <c r="BN90" s="111">
        <f t="shared" si="146"/>
        <v>0</v>
      </c>
      <c r="BO90" s="111">
        <f t="shared" si="146"/>
        <v>0</v>
      </c>
      <c r="BP90" s="111">
        <f t="shared" si="146"/>
        <v>0</v>
      </c>
      <c r="BQ90" s="111">
        <f t="shared" si="146"/>
        <v>0</v>
      </c>
      <c r="BR90" s="111">
        <f t="shared" si="146"/>
        <v>0</v>
      </c>
      <c r="BS90" s="111">
        <f>BB90/SUM(O90:INDEX(O90:Q90,IF($B$3&lt;3,$B$3,3)))</f>
        <v>2.7209302325581395</v>
      </c>
      <c r="BT90" s="111">
        <f>BC90/SUM(R90:INDEX(R90:T90,$C$3))</f>
        <v>3.5294117647058822</v>
      </c>
      <c r="BU90" s="111">
        <f t="shared" ref="BU90:BV92" si="147">BD90/AD90</f>
        <v>0.31868131868131866</v>
      </c>
      <c r="BV90" s="111">
        <f t="shared" si="147"/>
        <v>0</v>
      </c>
      <c r="BW90" s="111">
        <f t="shared" ref="BW90:BW92" si="148">BF90/AA90</f>
        <v>1.2409638554216869</v>
      </c>
    </row>
    <row r="91" spans="1:75" x14ac:dyDescent="0.25">
      <c r="B91" t="s">
        <v>17</v>
      </c>
      <c r="C91" s="6">
        <v>175</v>
      </c>
      <c r="D91" s="6">
        <v>58</v>
      </c>
      <c r="E91" s="6">
        <v>178</v>
      </c>
      <c r="F91" s="6">
        <v>247</v>
      </c>
      <c r="G91" s="6">
        <v>187</v>
      </c>
      <c r="H91" s="6">
        <v>220</v>
      </c>
      <c r="I91" s="6">
        <v>206</v>
      </c>
      <c r="J91" s="6">
        <v>204</v>
      </c>
      <c r="K91" s="6">
        <v>190</v>
      </c>
      <c r="L91" s="6">
        <v>160</v>
      </c>
      <c r="M91" s="6">
        <v>295</v>
      </c>
      <c r="N91" s="6">
        <v>240</v>
      </c>
      <c r="O91" s="6">
        <v>66</v>
      </c>
      <c r="P91" s="6">
        <v>71</v>
      </c>
      <c r="Q91" s="6">
        <v>287</v>
      </c>
      <c r="R91" s="6">
        <v>189</v>
      </c>
      <c r="S91" s="6">
        <v>173</v>
      </c>
      <c r="T91" s="6">
        <v>271</v>
      </c>
      <c r="U91" s="6">
        <v>224</v>
      </c>
      <c r="V91" s="6">
        <v>211</v>
      </c>
      <c r="W91" s="6">
        <v>289</v>
      </c>
      <c r="X91" s="6">
        <f>[14]Recruit!$J$38</f>
        <v>253</v>
      </c>
      <c r="Y91" s="6">
        <f>[24]Recruit!$J$38</f>
        <v>307</v>
      </c>
      <c r="Z91" s="6">
        <f>[15]Recruit!$J$38</f>
        <v>344</v>
      </c>
      <c r="AA91" s="22">
        <f>SUM(O91:INDEX(O91:Z91,$B$3))</f>
        <v>1281</v>
      </c>
      <c r="AB91" s="22">
        <f>SUM(O91:Q91)</f>
        <v>424</v>
      </c>
      <c r="AC91" s="22">
        <f>SUM(R91:T91)</f>
        <v>633</v>
      </c>
      <c r="AD91" s="22">
        <f>SUM(U91:W91)</f>
        <v>724</v>
      </c>
      <c r="AE91" s="22">
        <f>SUM(X91:Z91)</f>
        <v>904</v>
      </c>
      <c r="AF91" s="22">
        <f>SUM(C91                                                                                : INDEX(C91:N91,$B$3))</f>
        <v>1271</v>
      </c>
      <c r="AG91" s="22">
        <f t="shared" si="141"/>
        <v>411</v>
      </c>
      <c r="AH91" s="22">
        <f t="shared" si="142"/>
        <v>654</v>
      </c>
      <c r="AI91" s="22">
        <f t="shared" si="143"/>
        <v>600</v>
      </c>
      <c r="AJ91" s="22">
        <f t="shared" si="144"/>
        <v>695</v>
      </c>
      <c r="AK91" s="31">
        <f t="shared" ref="AK91:AK92" si="149">AA91/AF91-1</f>
        <v>7.8678206136899576E-3</v>
      </c>
      <c r="AL91" s="31">
        <f t="shared" si="145"/>
        <v>3.1630170316301776E-2</v>
      </c>
      <c r="AM91" s="31">
        <f t="shared" si="145"/>
        <v>-3.2110091743119296E-2</v>
      </c>
      <c r="AN91" s="31">
        <f t="shared" si="145"/>
        <v>0.20666666666666678</v>
      </c>
      <c r="AO91" s="31">
        <f>AE91/SUM(L91:INDEX(L91:N91,MOD($B$3,3)))-1</f>
        <v>4.6500000000000004</v>
      </c>
      <c r="AP91" s="18">
        <f>[16]Recruit!$J$38</f>
        <v>150</v>
      </c>
      <c r="AQ91" s="18">
        <f>[17]Recruit!$J$38</f>
        <v>323</v>
      </c>
      <c r="AR91" s="18">
        <f>[18]Recruit!$J$38</f>
        <v>328</v>
      </c>
      <c r="AS91" s="18">
        <f>[19]Recruit!$J$38</f>
        <v>272</v>
      </c>
      <c r="AT91" s="18">
        <f>[20]Recruit!$J$38</f>
        <v>334</v>
      </c>
      <c r="AU91" s="18">
        <f>[21]Recruit!$J$38</f>
        <v>392</v>
      </c>
      <c r="AV91" s="18">
        <f>[22]Recruit!$J$38</f>
        <v>309</v>
      </c>
      <c r="BB91" s="110">
        <f>SUM(AP91:INDEX(AP91:AR91,IF($B$3&lt;3,$B$3,3)))</f>
        <v>801</v>
      </c>
      <c r="BC91" s="110">
        <f>SUM(AS91:INDEX(AS91:AU91,IF(AND($B$3&gt;3,B89&lt;7),$B$3-3,0)))</f>
        <v>998</v>
      </c>
      <c r="BD91" s="110">
        <f>SUM(AV91:INDEX(AV91:AX91,IF(AND($B$3&gt;6,$B$3&lt;10),$B$3-6,0)))</f>
        <v>309</v>
      </c>
      <c r="BE91" s="110">
        <f>SUM(AY91:INDEX(AY91:BA91,IF($B$3&gt;9,$B$3-9,0)))</f>
        <v>0</v>
      </c>
      <c r="BF91" s="110">
        <f>SUM($AP91:INDEX(AP91:BA91,$B$3))</f>
        <v>2108</v>
      </c>
      <c r="BG91" s="122">
        <f t="shared" si="146"/>
        <v>2.2727272727272729</v>
      </c>
      <c r="BH91" s="111">
        <f t="shared" si="146"/>
        <v>4.549295774647887</v>
      </c>
      <c r="BI91" s="111">
        <f t="shared" si="146"/>
        <v>1.1428571428571428</v>
      </c>
      <c r="BJ91" s="111">
        <f t="shared" si="146"/>
        <v>1.4391534391534391</v>
      </c>
      <c r="BK91" s="111">
        <f t="shared" si="146"/>
        <v>1.9306358381502891</v>
      </c>
      <c r="BL91" s="111">
        <f t="shared" si="146"/>
        <v>1.4464944649446494</v>
      </c>
      <c r="BM91" s="111">
        <f t="shared" si="146"/>
        <v>1.3794642857142858</v>
      </c>
      <c r="BN91" s="111">
        <f t="shared" si="146"/>
        <v>0</v>
      </c>
      <c r="BO91" s="111">
        <f t="shared" si="146"/>
        <v>0</v>
      </c>
      <c r="BP91" s="111">
        <f t="shared" si="146"/>
        <v>0</v>
      </c>
      <c r="BQ91" s="111">
        <f t="shared" si="146"/>
        <v>0</v>
      </c>
      <c r="BR91" s="111">
        <f t="shared" si="146"/>
        <v>0</v>
      </c>
      <c r="BS91" s="111">
        <f>BB91/SUM(O91:INDEX(O91:Q91,IF($B$3&lt;3,$B$3,3)))</f>
        <v>1.8891509433962264</v>
      </c>
      <c r="BT91" s="111">
        <f>BC91/SUM(R91:INDEX(R91:T91,$C$3))</f>
        <v>5.28042328042328</v>
      </c>
      <c r="BU91" s="111">
        <f t="shared" si="147"/>
        <v>0.42679558011049723</v>
      </c>
      <c r="BV91" s="111">
        <f t="shared" si="147"/>
        <v>0</v>
      </c>
      <c r="BW91" s="111">
        <f t="shared" si="148"/>
        <v>1.6455893832943014</v>
      </c>
    </row>
    <row r="92" spans="1:75" x14ac:dyDescent="0.25">
      <c r="C92" s="7">
        <f>SUM(C90:C91)</f>
        <v>224</v>
      </c>
      <c r="D92" s="7">
        <f t="shared" ref="D92:Z92" si="150">SUM(D90:D91)</f>
        <v>73</v>
      </c>
      <c r="E92" s="7">
        <f t="shared" si="150"/>
        <v>230</v>
      </c>
      <c r="F92" s="7">
        <f t="shared" si="150"/>
        <v>312</v>
      </c>
      <c r="G92" s="7">
        <f t="shared" si="150"/>
        <v>223</v>
      </c>
      <c r="H92" s="7">
        <f t="shared" si="150"/>
        <v>258</v>
      </c>
      <c r="I92" s="7">
        <f t="shared" si="150"/>
        <v>231</v>
      </c>
      <c r="J92" s="7">
        <f t="shared" si="150"/>
        <v>228</v>
      </c>
      <c r="K92" s="7">
        <f t="shared" si="150"/>
        <v>225</v>
      </c>
      <c r="L92" s="7">
        <f t="shared" si="150"/>
        <v>185</v>
      </c>
      <c r="M92" s="7">
        <f t="shared" si="150"/>
        <v>313</v>
      </c>
      <c r="N92" s="7">
        <f t="shared" si="150"/>
        <v>260</v>
      </c>
      <c r="O92" s="7">
        <f t="shared" si="150"/>
        <v>72</v>
      </c>
      <c r="P92" s="7">
        <f t="shared" si="150"/>
        <v>74</v>
      </c>
      <c r="Q92" s="7">
        <f t="shared" si="150"/>
        <v>321</v>
      </c>
      <c r="R92" s="7">
        <f t="shared" si="150"/>
        <v>206</v>
      </c>
      <c r="S92" s="7">
        <f t="shared" si="150"/>
        <v>213</v>
      </c>
      <c r="T92" s="7">
        <f t="shared" si="150"/>
        <v>315</v>
      </c>
      <c r="U92" s="7">
        <f t="shared" si="150"/>
        <v>246</v>
      </c>
      <c r="V92" s="7">
        <f t="shared" si="150"/>
        <v>239</v>
      </c>
      <c r="W92" s="7">
        <f t="shared" si="150"/>
        <v>330</v>
      </c>
      <c r="X92" s="7">
        <f t="shared" si="150"/>
        <v>307</v>
      </c>
      <c r="Y92" s="7">
        <f t="shared" si="150"/>
        <v>377</v>
      </c>
      <c r="Z92" s="7">
        <f t="shared" si="150"/>
        <v>383</v>
      </c>
      <c r="AA92" s="7">
        <f>SUM(O92:INDEX(O92:Z92,$B$3))</f>
        <v>1447</v>
      </c>
      <c r="AB92" s="7">
        <f t="shared" ref="AB92:AE92" si="151">SUM(AB90:AB91)</f>
        <v>467</v>
      </c>
      <c r="AC92" s="7">
        <f t="shared" si="151"/>
        <v>734</v>
      </c>
      <c r="AD92" s="7">
        <f t="shared" si="151"/>
        <v>815</v>
      </c>
      <c r="AE92" s="7">
        <f t="shared" si="151"/>
        <v>1067</v>
      </c>
      <c r="AF92" s="7">
        <f>SUM(C92                                                                                : INDEX(C92:N92,$B$3))</f>
        <v>1551</v>
      </c>
      <c r="AG92" s="7">
        <f t="shared" si="141"/>
        <v>527</v>
      </c>
      <c r="AH92" s="7">
        <f t="shared" si="142"/>
        <v>793</v>
      </c>
      <c r="AI92" s="7">
        <f t="shared" si="143"/>
        <v>684</v>
      </c>
      <c r="AJ92" s="7">
        <f t="shared" si="144"/>
        <v>758</v>
      </c>
      <c r="AK92" s="32">
        <f t="shared" si="149"/>
        <v>-6.7053513862024516E-2</v>
      </c>
      <c r="AL92" s="32">
        <f t="shared" si="145"/>
        <v>-0.11385199240986721</v>
      </c>
      <c r="AM92" s="32">
        <f t="shared" si="145"/>
        <v>-7.4401008827238324E-2</v>
      </c>
      <c r="AN92" s="32">
        <f t="shared" si="145"/>
        <v>0.1915204678362572</v>
      </c>
      <c r="AO92" s="32">
        <f>AE92/SUM(L92:INDEX(L92:N92,MOD($B$3,3)))-1</f>
        <v>4.7675675675675677</v>
      </c>
      <c r="AP92" s="7">
        <f t="shared" ref="AP92:AV92" si="152">SUM(AP90:AP91)</f>
        <v>189</v>
      </c>
      <c r="AQ92" s="7">
        <f t="shared" si="152"/>
        <v>381</v>
      </c>
      <c r="AR92" s="7">
        <f t="shared" si="152"/>
        <v>348</v>
      </c>
      <c r="AS92" s="7">
        <f t="shared" si="152"/>
        <v>294</v>
      </c>
      <c r="AT92" s="7">
        <f t="shared" si="152"/>
        <v>352</v>
      </c>
      <c r="AU92" s="7">
        <f t="shared" si="152"/>
        <v>412</v>
      </c>
      <c r="AV92" s="7">
        <f t="shared" si="152"/>
        <v>338</v>
      </c>
      <c r="BB92" s="116">
        <f>SUM(AP92:INDEX(AP92:AR92,IF($B$3&lt;3,$B$3,3)))</f>
        <v>918</v>
      </c>
      <c r="BC92" s="116">
        <f>SUM(AS92:INDEX(AS92:AU92,IF(AND($B$3&gt;3,B90&lt;7),$B$3-3,0)))</f>
        <v>1058</v>
      </c>
      <c r="BD92" s="116">
        <f>SUM(AV92:INDEX(AV92:AX92,IF(AND($B$3&gt;6,$B$3&lt;10),$B$3-6,0)))</f>
        <v>338</v>
      </c>
      <c r="BE92" s="116">
        <f>SUM(AY92:INDEX(AY92:BA92,IF($B$3&gt;9,$B$3-9,0)))</f>
        <v>0</v>
      </c>
      <c r="BF92" s="116">
        <f>SUM($AP92:INDEX(AP92:BA92,$B$3))</f>
        <v>2314</v>
      </c>
      <c r="BG92" s="123">
        <f t="shared" si="146"/>
        <v>2.625</v>
      </c>
      <c r="BH92" s="118">
        <f t="shared" si="146"/>
        <v>5.1486486486486482</v>
      </c>
      <c r="BI92" s="118">
        <f t="shared" si="146"/>
        <v>1.0841121495327102</v>
      </c>
      <c r="BJ92" s="118">
        <f t="shared" si="146"/>
        <v>1.4271844660194175</v>
      </c>
      <c r="BK92" s="118">
        <f t="shared" si="146"/>
        <v>1.6525821596244132</v>
      </c>
      <c r="BL92" s="118">
        <f t="shared" si="146"/>
        <v>1.307936507936508</v>
      </c>
      <c r="BM92" s="118">
        <f t="shared" si="146"/>
        <v>1.3739837398373984</v>
      </c>
      <c r="BN92" s="118">
        <f t="shared" si="146"/>
        <v>0</v>
      </c>
      <c r="BO92" s="118">
        <f t="shared" si="146"/>
        <v>0</v>
      </c>
      <c r="BP92" s="118">
        <f t="shared" si="146"/>
        <v>0</v>
      </c>
      <c r="BQ92" s="118">
        <f t="shared" si="146"/>
        <v>0</v>
      </c>
      <c r="BR92" s="118">
        <f t="shared" si="146"/>
        <v>0</v>
      </c>
      <c r="BS92" s="118">
        <f>BB92/SUM(O92:INDEX(O92:Q92,IF($B$3&lt;3,$B$3,3)))</f>
        <v>1.9657387580299786</v>
      </c>
      <c r="BT92" s="118">
        <f>BC92/SUM(R92:INDEX(R92:T92,$C$3))</f>
        <v>5.1359223300970873</v>
      </c>
      <c r="BU92" s="118">
        <f t="shared" si="147"/>
        <v>0.41472392638036809</v>
      </c>
      <c r="BV92" s="118">
        <f t="shared" si="147"/>
        <v>0</v>
      </c>
      <c r="BW92" s="118">
        <f t="shared" si="148"/>
        <v>1.5991706979958535</v>
      </c>
    </row>
    <row r="93" spans="1:75" x14ac:dyDescent="0.25">
      <c r="BG93" s="124"/>
    </row>
    <row r="94" spans="1:75" x14ac:dyDescent="0.25">
      <c r="BG94" s="124"/>
    </row>
    <row r="95" spans="1:75" x14ac:dyDescent="0.25">
      <c r="BG95" s="124"/>
    </row>
    <row r="96" spans="1:75" s="17" customFormat="1" x14ac:dyDescent="0.25">
      <c r="B96" s="2" t="s">
        <v>33</v>
      </c>
      <c r="C96" s="3">
        <f>'Agency North'!C96</f>
        <v>42005</v>
      </c>
      <c r="D96" s="3">
        <f>'Agency North'!D96</f>
        <v>42036</v>
      </c>
      <c r="E96" s="3">
        <f>'Agency North'!E96</f>
        <v>42064</v>
      </c>
      <c r="F96" s="3">
        <f>'Agency North'!F96</f>
        <v>42095</v>
      </c>
      <c r="G96" s="3">
        <f>'Agency North'!G96</f>
        <v>42125</v>
      </c>
      <c r="H96" s="3">
        <f>'Agency North'!H96</f>
        <v>42156</v>
      </c>
      <c r="I96" s="3">
        <f>'Agency North'!I96</f>
        <v>42186</v>
      </c>
      <c r="J96" s="3">
        <f>'Agency North'!J96</f>
        <v>42217</v>
      </c>
      <c r="K96" s="3">
        <f>'Agency North'!K96</f>
        <v>42248</v>
      </c>
      <c r="L96" s="3">
        <f>'Agency North'!L96</f>
        <v>42278</v>
      </c>
      <c r="M96" s="3">
        <f>'Agency North'!M96</f>
        <v>42309</v>
      </c>
      <c r="N96" s="3">
        <f>'Agency North'!N96</f>
        <v>42339</v>
      </c>
      <c r="O96" s="3">
        <f>'Agency North'!O96</f>
        <v>42370</v>
      </c>
      <c r="P96" s="3">
        <f>'Agency North'!P96</f>
        <v>42401</v>
      </c>
      <c r="Q96" s="3">
        <f>'Agency North'!Q96</f>
        <v>42430</v>
      </c>
      <c r="R96" s="3">
        <f>'Agency North'!R96</f>
        <v>42461</v>
      </c>
      <c r="S96" s="3">
        <f>'Agency North'!S96</f>
        <v>42491</v>
      </c>
      <c r="T96" s="3">
        <f>'Agency North'!T96</f>
        <v>42522</v>
      </c>
      <c r="U96" s="3">
        <f>'Agency North'!U96</f>
        <v>42552</v>
      </c>
      <c r="V96" s="3">
        <f>'Agency North'!V96</f>
        <v>42583</v>
      </c>
      <c r="W96" s="3">
        <f>'Agency North'!W96</f>
        <v>42614</v>
      </c>
      <c r="X96" s="3">
        <f>'Agency North'!X96</f>
        <v>42644</v>
      </c>
      <c r="Y96" s="3">
        <f>'Agency North'!Y96</f>
        <v>42675</v>
      </c>
      <c r="Z96" s="3">
        <f>'Agency North'!Z96</f>
        <v>42705</v>
      </c>
      <c r="AA96" s="29" t="str">
        <f>"YTD " &amp; B95 &amp;"/16"</f>
        <v>YTD /16</v>
      </c>
      <c r="AB96" s="29" t="s">
        <v>19</v>
      </c>
      <c r="AC96" s="29" t="s">
        <v>20</v>
      </c>
      <c r="AD96" s="29" t="s">
        <v>21</v>
      </c>
      <c r="AE96" s="29" t="s">
        <v>22</v>
      </c>
      <c r="AF96" s="26" t="str">
        <f>"YTD " &amp; B95 &amp;"/15"</f>
        <v>YTD /15</v>
      </c>
      <c r="AG96" s="26" t="s">
        <v>23</v>
      </c>
      <c r="AH96" s="26" t="s">
        <v>24</v>
      </c>
      <c r="AI96" s="26" t="s">
        <v>25</v>
      </c>
      <c r="AJ96" s="26" t="s">
        <v>26</v>
      </c>
      <c r="AK96" s="30" t="s">
        <v>27</v>
      </c>
      <c r="AL96" s="30" t="s">
        <v>29</v>
      </c>
      <c r="AM96" s="30" t="s">
        <v>30</v>
      </c>
      <c r="AN96" s="30" t="s">
        <v>31</v>
      </c>
      <c r="AO96" s="30" t="s">
        <v>32</v>
      </c>
      <c r="AP96" s="108">
        <v>42736</v>
      </c>
      <c r="AQ96" s="108">
        <v>42767</v>
      </c>
      <c r="AR96" s="108">
        <v>42795</v>
      </c>
      <c r="AS96" s="108">
        <v>42826</v>
      </c>
      <c r="AT96" s="108">
        <v>42856</v>
      </c>
      <c r="AU96" s="108">
        <v>42887</v>
      </c>
      <c r="AV96" s="108">
        <v>42917</v>
      </c>
      <c r="AW96" s="108">
        <v>42948</v>
      </c>
      <c r="AX96" s="108">
        <v>42979</v>
      </c>
      <c r="AY96" s="108">
        <v>43009</v>
      </c>
      <c r="AZ96" s="108">
        <v>43040</v>
      </c>
      <c r="BA96" s="108">
        <v>43070</v>
      </c>
      <c r="BB96" s="29" t="s">
        <v>123</v>
      </c>
      <c r="BC96" s="29" t="s">
        <v>124</v>
      </c>
      <c r="BD96" s="29" t="s">
        <v>125</v>
      </c>
      <c r="BE96" s="29" t="s">
        <v>126</v>
      </c>
      <c r="BF96" s="29" t="str">
        <f>$BF$4</f>
        <v>YTD 7/17</v>
      </c>
      <c r="BG96" s="121">
        <v>42736</v>
      </c>
      <c r="BH96" s="108">
        <v>42767</v>
      </c>
      <c r="BI96" s="108">
        <v>42795</v>
      </c>
      <c r="BJ96" s="108">
        <v>42826</v>
      </c>
      <c r="BK96" s="108">
        <v>42856</v>
      </c>
      <c r="BL96" s="108">
        <v>42887</v>
      </c>
      <c r="BM96" s="108">
        <v>42917</v>
      </c>
      <c r="BN96" s="108">
        <v>42948</v>
      </c>
      <c r="BO96" s="108">
        <v>42979</v>
      </c>
      <c r="BP96" s="108">
        <v>43009</v>
      </c>
      <c r="BQ96" s="108">
        <v>43040</v>
      </c>
      <c r="BR96" s="108">
        <v>43070</v>
      </c>
      <c r="BS96" s="29" t="s">
        <v>127</v>
      </c>
      <c r="BT96" s="29" t="s">
        <v>128</v>
      </c>
      <c r="BU96" s="29" t="s">
        <v>96</v>
      </c>
      <c r="BV96" s="29" t="s">
        <v>129</v>
      </c>
      <c r="BW96" s="112" t="s">
        <v>130</v>
      </c>
    </row>
    <row r="97" spans="1:75" x14ac:dyDescent="0.25">
      <c r="A97" s="20" t="str">
        <f>$B$96&amp;"_by_rookie_GENLION:"&amp;TRIM(B97)</f>
        <v>FYP_by_rookie_GENLION:MDRT/ GEN Lion (from Apr '17)</v>
      </c>
      <c r="B97" t="s">
        <v>157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X97" s="6"/>
      <c r="Y97" s="6"/>
      <c r="Z97" s="6"/>
      <c r="AA97" s="22"/>
      <c r="AB97" s="22"/>
      <c r="AC97" s="22"/>
      <c r="AD97" s="22"/>
      <c r="AE97" s="22"/>
      <c r="AF97" s="33"/>
      <c r="AG97" s="6"/>
      <c r="AH97" s="6"/>
      <c r="AI97" s="6"/>
      <c r="AJ97" s="6"/>
      <c r="AK97" s="31"/>
      <c r="AL97" s="31"/>
      <c r="AM97" s="31"/>
      <c r="AN97" s="31"/>
      <c r="AO97" s="31"/>
      <c r="AP97" s="22">
        <f>[16]APE!K34</f>
        <v>4045.5320000000002</v>
      </c>
      <c r="AQ97" s="22">
        <f>[17]APE!K35</f>
        <v>6912.7448000000104</v>
      </c>
      <c r="AR97" s="22">
        <f>[18]APE!K36</f>
        <v>8180.7</v>
      </c>
      <c r="AS97" s="22">
        <f>[19]APE!U36</f>
        <v>11061.66</v>
      </c>
      <c r="AT97" s="22">
        <f>[20]APE!U36</f>
        <v>11041.58</v>
      </c>
      <c r="AU97" s="22">
        <f>[21]APE!U36</f>
        <v>14090.89</v>
      </c>
      <c r="AV97" s="22">
        <f>[22]APE!U36</f>
        <v>8362</v>
      </c>
      <c r="BB97" s="110">
        <f>SUM(AP97:INDEX(AP97:AR97,IF($B$3&lt;3,$B$3,3)))</f>
        <v>19138.976800000011</v>
      </c>
      <c r="BC97" s="110">
        <f>SUM(AS97:INDEX(AS97:AU97,IF(AND($B$3&gt;3,$B$3&lt;7),$B$3-3,0)))</f>
        <v>36194.129999999997</v>
      </c>
      <c r="BD97" s="110">
        <f>SUM(AV97:INDEX(AV97:AX97,IF(AND($B$3&gt;6,$B$3&lt;10),$B$3-6,0)))</f>
        <v>8362</v>
      </c>
      <c r="BE97" s="110">
        <f>SUM(AY97:INDEX(AY97:BA97,IF($B$3&gt;9,$B$3-9,0)))</f>
        <v>0</v>
      </c>
      <c r="BF97" s="110">
        <f>SUM($AP97:INDEX(AP97:BA97,$B$3))</f>
        <v>63695.106800000009</v>
      </c>
      <c r="BG97" s="125" t="e">
        <f>AP97/O97</f>
        <v>#DIV/0!</v>
      </c>
      <c r="BH97" s="111" t="e">
        <f t="shared" ref="BH97:BR105" si="153">AQ97/P97</f>
        <v>#DIV/0!</v>
      </c>
      <c r="BI97" s="111" t="e">
        <f t="shared" si="153"/>
        <v>#DIV/0!</v>
      </c>
      <c r="BJ97" s="111" t="e">
        <f t="shared" si="153"/>
        <v>#DIV/0!</v>
      </c>
      <c r="BK97" s="111" t="e">
        <f t="shared" si="153"/>
        <v>#DIV/0!</v>
      </c>
      <c r="BL97" s="111" t="e">
        <f t="shared" si="153"/>
        <v>#DIV/0!</v>
      </c>
      <c r="BM97" s="111" t="e">
        <f t="shared" si="153"/>
        <v>#DIV/0!</v>
      </c>
      <c r="BN97" s="111" t="e">
        <f t="shared" si="153"/>
        <v>#DIV/0!</v>
      </c>
      <c r="BO97" s="111" t="e">
        <f t="shared" si="153"/>
        <v>#DIV/0!</v>
      </c>
      <c r="BP97" s="111" t="e">
        <f t="shared" si="153"/>
        <v>#DIV/0!</v>
      </c>
      <c r="BQ97" s="111" t="e">
        <f t="shared" si="153"/>
        <v>#DIV/0!</v>
      </c>
      <c r="BR97" s="111" t="e">
        <f t="shared" si="153"/>
        <v>#DIV/0!</v>
      </c>
      <c r="BS97" s="111" t="e">
        <f>BB97/SUM(O97:INDEX(O97:Q97,IF($B$3&lt;3,$B$3,3)))</f>
        <v>#DIV/0!</v>
      </c>
      <c r="BT97" s="111" t="e">
        <f>BC97/SUM(R97:INDEX(R97:T97,$C$3))</f>
        <v>#DIV/0!</v>
      </c>
      <c r="BU97" s="111" t="e">
        <f t="shared" ref="BU97:BV105" si="154">BD97/AD97</f>
        <v>#DIV/0!</v>
      </c>
      <c r="BV97" s="111" t="e">
        <f t="shared" si="154"/>
        <v>#DIV/0!</v>
      </c>
      <c r="BW97" s="111" t="e">
        <f>BF97/AA97</f>
        <v>#DIV/0!</v>
      </c>
    </row>
    <row r="98" spans="1:75" x14ac:dyDescent="0.25">
      <c r="A98" s="20" t="str">
        <f t="shared" ref="A98:A105" si="155">$B$96&amp;"_by_rookie_GENLION:"&amp;TRIM(B98)</f>
        <v>FYP_by_rookie_GENLION:Rookie in month</v>
      </c>
      <c r="B98" t="s">
        <v>5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X98" s="6"/>
      <c r="Y98" s="6"/>
      <c r="Z98" s="6"/>
      <c r="AA98" s="22"/>
      <c r="AB98" s="22"/>
      <c r="AC98" s="22"/>
      <c r="AD98" s="22"/>
      <c r="AE98" s="22"/>
      <c r="AF98" s="6"/>
      <c r="AG98" s="6"/>
      <c r="AH98" s="6"/>
      <c r="AI98" s="6"/>
      <c r="AJ98" s="6"/>
      <c r="AK98" s="31"/>
      <c r="AL98" s="31"/>
      <c r="AM98" s="31"/>
      <c r="AN98" s="31"/>
      <c r="AO98" s="31"/>
      <c r="AP98" s="22">
        <f>[16]APE!K35</f>
        <v>1221.7750000000001</v>
      </c>
      <c r="AQ98" s="22">
        <f>[17]APE!K36</f>
        <v>2108.953</v>
      </c>
      <c r="AR98" s="22">
        <f>[18]APE!K37</f>
        <v>3886.32</v>
      </c>
      <c r="AS98" s="22">
        <f>[19]APE!U37</f>
        <v>3767.03</v>
      </c>
      <c r="AT98" s="22">
        <f>[20]APE!U37</f>
        <v>3178.47</v>
      </c>
      <c r="AU98" s="22">
        <f>[21]APE!U37</f>
        <v>4919.76</v>
      </c>
      <c r="AV98" s="22">
        <f>[22]APE!U37</f>
        <v>3358.83</v>
      </c>
      <c r="BB98" s="110">
        <f>SUM(AP98:INDEX(AP98:AR98,IF($B$3&lt;3,$B$3,3)))</f>
        <v>7217.0480000000007</v>
      </c>
      <c r="BC98" s="110">
        <f>SUM(AS98:INDEX(AS98:AU98,IF(AND($B$3&gt;3,$B$3&lt;7),$B$3-3,0)))</f>
        <v>11865.26</v>
      </c>
      <c r="BD98" s="110">
        <f>SUM(AV98:INDEX(AV98:AX98,IF(AND($B$3&gt;6,$B$3&lt;10),$B$3-6,0)))</f>
        <v>3358.83</v>
      </c>
      <c r="BE98" s="110">
        <f>SUM(AY98:INDEX(AY98:BA98,IF($B$3&gt;9,$B$3-9,0)))</f>
        <v>0</v>
      </c>
      <c r="BF98" s="110">
        <f>SUM($AP98:INDEX(AP98:BA98,$B$3))</f>
        <v>22441.137999999999</v>
      </c>
      <c r="BG98" s="125" t="e">
        <f t="shared" ref="BG98:BG105" si="156">AP98/O98</f>
        <v>#DIV/0!</v>
      </c>
      <c r="BH98" s="111" t="e">
        <f t="shared" si="153"/>
        <v>#DIV/0!</v>
      </c>
      <c r="BI98" s="111" t="e">
        <f t="shared" si="153"/>
        <v>#DIV/0!</v>
      </c>
      <c r="BJ98" s="111" t="e">
        <f t="shared" si="153"/>
        <v>#DIV/0!</v>
      </c>
      <c r="BK98" s="111" t="e">
        <f t="shared" si="153"/>
        <v>#DIV/0!</v>
      </c>
      <c r="BL98" s="111" t="e">
        <f t="shared" si="153"/>
        <v>#DIV/0!</v>
      </c>
      <c r="BM98" s="111" t="e">
        <f t="shared" si="153"/>
        <v>#DIV/0!</v>
      </c>
      <c r="BN98" s="111" t="e">
        <f t="shared" si="153"/>
        <v>#DIV/0!</v>
      </c>
      <c r="BO98" s="111" t="e">
        <f t="shared" si="153"/>
        <v>#DIV/0!</v>
      </c>
      <c r="BP98" s="111" t="e">
        <f t="shared" si="153"/>
        <v>#DIV/0!</v>
      </c>
      <c r="BQ98" s="111" t="e">
        <f t="shared" si="153"/>
        <v>#DIV/0!</v>
      </c>
      <c r="BR98" s="111" t="e">
        <f t="shared" si="153"/>
        <v>#DIV/0!</v>
      </c>
      <c r="BS98" s="111" t="e">
        <f>BB98/SUM(O98:INDEX(O98:Q98,IF($B$3&lt;3,$B$3,3)))</f>
        <v>#DIV/0!</v>
      </c>
      <c r="BT98" s="111" t="e">
        <f>BC98/SUM(R98:INDEX(R98:T98,$C$3))</f>
        <v>#DIV/0!</v>
      </c>
      <c r="BU98" s="111" t="e">
        <f t="shared" si="154"/>
        <v>#DIV/0!</v>
      </c>
      <c r="BV98" s="111" t="e">
        <f t="shared" si="154"/>
        <v>#DIV/0!</v>
      </c>
      <c r="BW98" s="111" t="e">
        <f t="shared" ref="BW98:BW105" si="157">BF98/AA98</f>
        <v>#DIV/0!</v>
      </c>
    </row>
    <row r="99" spans="1:75" x14ac:dyDescent="0.25">
      <c r="A99" s="20" t="str">
        <f t="shared" si="155"/>
        <v>FYP_by_rookie_GENLION:Rookie last month</v>
      </c>
      <c r="B99" t="s">
        <v>6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X99" s="6"/>
      <c r="Y99" s="6"/>
      <c r="Z99" s="6"/>
      <c r="AA99" s="22"/>
      <c r="AB99" s="22"/>
      <c r="AC99" s="22"/>
      <c r="AD99" s="22"/>
      <c r="AE99" s="22"/>
      <c r="AF99" s="6"/>
      <c r="AG99" s="6"/>
      <c r="AH99" s="6"/>
      <c r="AI99" s="6"/>
      <c r="AJ99" s="6"/>
      <c r="AK99" s="31"/>
      <c r="AL99" s="31"/>
      <c r="AM99" s="31"/>
      <c r="AN99" s="31"/>
      <c r="AO99" s="31"/>
      <c r="AP99" s="22">
        <f>[16]APE!K36</f>
        <v>1370.3530000000001</v>
      </c>
      <c r="AQ99" s="22">
        <f>[17]APE!K37</f>
        <v>1004.44</v>
      </c>
      <c r="AR99" s="22">
        <f>[18]APE!K38</f>
        <v>3189.04</v>
      </c>
      <c r="AS99" s="22">
        <f>[19]APE!U38</f>
        <v>1420.61</v>
      </c>
      <c r="AT99" s="22">
        <f>[20]APE!U38</f>
        <v>3137.58</v>
      </c>
      <c r="AU99" s="22">
        <f>[21]APE!U38</f>
        <v>2115.9899999999998</v>
      </c>
      <c r="AV99" s="22">
        <f>[22]APE!U38</f>
        <v>2052.66</v>
      </c>
      <c r="BB99" s="110">
        <f>SUM(AP99:INDEX(AP99:AR99,IF($B$3&lt;3,$B$3,3)))</f>
        <v>5563.8330000000005</v>
      </c>
      <c r="BC99" s="110">
        <f>SUM(AS99:INDEX(AS99:AU99,IF(AND($B$3&gt;3,$B$3&lt;7),$B$3-3,0)))</f>
        <v>6674.1799999999994</v>
      </c>
      <c r="BD99" s="110">
        <f>SUM(AV99:INDEX(AV99:AX99,IF(AND($B$3&gt;6,$B$3&lt;10),$B$3-6,0)))</f>
        <v>2052.66</v>
      </c>
      <c r="BE99" s="110">
        <f>SUM(AY99:INDEX(AY99:BA99,IF($B$3&gt;9,$B$3-9,0)))</f>
        <v>0</v>
      </c>
      <c r="BF99" s="110">
        <f>SUM($AP99:INDEX(AP99:BA99,$B$3))</f>
        <v>14290.673000000001</v>
      </c>
      <c r="BG99" s="125" t="e">
        <f t="shared" si="156"/>
        <v>#DIV/0!</v>
      </c>
      <c r="BH99" s="111" t="e">
        <f t="shared" si="153"/>
        <v>#DIV/0!</v>
      </c>
      <c r="BI99" s="111" t="e">
        <f t="shared" si="153"/>
        <v>#DIV/0!</v>
      </c>
      <c r="BJ99" s="111" t="e">
        <f t="shared" si="153"/>
        <v>#DIV/0!</v>
      </c>
      <c r="BK99" s="111" t="e">
        <f t="shared" si="153"/>
        <v>#DIV/0!</v>
      </c>
      <c r="BL99" s="111" t="e">
        <f t="shared" si="153"/>
        <v>#DIV/0!</v>
      </c>
      <c r="BM99" s="111" t="e">
        <f t="shared" si="153"/>
        <v>#DIV/0!</v>
      </c>
      <c r="BN99" s="111" t="e">
        <f t="shared" si="153"/>
        <v>#DIV/0!</v>
      </c>
      <c r="BO99" s="111" t="e">
        <f t="shared" si="153"/>
        <v>#DIV/0!</v>
      </c>
      <c r="BP99" s="111" t="e">
        <f t="shared" si="153"/>
        <v>#DIV/0!</v>
      </c>
      <c r="BQ99" s="111" t="e">
        <f t="shared" si="153"/>
        <v>#DIV/0!</v>
      </c>
      <c r="BR99" s="111" t="e">
        <f t="shared" si="153"/>
        <v>#DIV/0!</v>
      </c>
      <c r="BS99" s="111" t="e">
        <f>BB99/SUM(O99:INDEX(O99:Q99,IF($B$3&lt;3,$B$3,3)))</f>
        <v>#DIV/0!</v>
      </c>
      <c r="BT99" s="111" t="e">
        <f>BC99/SUM(R99:INDEX(R99:T99,$C$3))</f>
        <v>#DIV/0!</v>
      </c>
      <c r="BU99" s="111" t="e">
        <f t="shared" si="154"/>
        <v>#DIV/0!</v>
      </c>
      <c r="BV99" s="111" t="e">
        <f t="shared" si="154"/>
        <v>#DIV/0!</v>
      </c>
      <c r="BW99" s="111" t="e">
        <f t="shared" si="157"/>
        <v>#DIV/0!</v>
      </c>
    </row>
    <row r="100" spans="1:75" x14ac:dyDescent="0.25">
      <c r="A100" s="20" t="str">
        <f t="shared" si="155"/>
        <v>FYP_by_rookie_GENLION:2-3 months</v>
      </c>
      <c r="B100" t="s">
        <v>7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X100" s="6"/>
      <c r="Y100" s="6"/>
      <c r="Z100" s="6"/>
      <c r="AA100" s="22"/>
      <c r="AB100" s="22"/>
      <c r="AC100" s="22"/>
      <c r="AD100" s="22"/>
      <c r="AE100" s="22"/>
      <c r="AF100" s="6"/>
      <c r="AG100" s="6"/>
      <c r="AH100" s="6"/>
      <c r="AI100" s="6"/>
      <c r="AJ100" s="6"/>
      <c r="AK100" s="31"/>
      <c r="AL100" s="31"/>
      <c r="AM100" s="31"/>
      <c r="AN100" s="31"/>
      <c r="AO100" s="31"/>
      <c r="AP100" s="22">
        <f>[16]APE!K37</f>
        <v>2823.7734999999998</v>
      </c>
      <c r="AQ100" s="22">
        <f>[17]APE!K38</f>
        <v>4470.6319999999996</v>
      </c>
      <c r="AR100" s="22">
        <f>[18]APE!K39</f>
        <v>2328.29</v>
      </c>
      <c r="AS100" s="22">
        <f>[19]APE!U39</f>
        <v>1552.6</v>
      </c>
      <c r="AT100" s="22">
        <f>[20]APE!U39</f>
        <v>1848.64</v>
      </c>
      <c r="AU100" s="22">
        <f>[21]APE!U39</f>
        <v>3006.73</v>
      </c>
      <c r="AV100" s="22">
        <f>[22]APE!U39</f>
        <v>2863.36</v>
      </c>
      <c r="BB100" s="110">
        <f>SUM(AP100:INDEX(AP100:AR100,IF($B$3&lt;3,$B$3,3)))</f>
        <v>9622.695499999998</v>
      </c>
      <c r="BC100" s="110">
        <f>SUM(AS100:INDEX(AS100:AU100,IF(AND($B$3&gt;3,$B$3&lt;7),$B$3-3,0)))</f>
        <v>6407.9699999999993</v>
      </c>
      <c r="BD100" s="110">
        <f>SUM(AV100:INDEX(AV100:AX100,IF(AND($B$3&gt;6,$B$3&lt;10),$B$3-6,0)))</f>
        <v>2863.36</v>
      </c>
      <c r="BE100" s="110">
        <f>SUM(AY100:INDEX(AY100:BA100,IF($B$3&gt;9,$B$3-9,0)))</f>
        <v>0</v>
      </c>
      <c r="BF100" s="110">
        <f>SUM($AP100:INDEX(AP100:BA100,$B$3))</f>
        <v>18894.025499999996</v>
      </c>
      <c r="BG100" s="125" t="e">
        <f t="shared" si="156"/>
        <v>#DIV/0!</v>
      </c>
      <c r="BH100" s="111" t="e">
        <f t="shared" si="153"/>
        <v>#DIV/0!</v>
      </c>
      <c r="BI100" s="111" t="e">
        <f t="shared" si="153"/>
        <v>#DIV/0!</v>
      </c>
      <c r="BJ100" s="111" t="e">
        <f t="shared" si="153"/>
        <v>#DIV/0!</v>
      </c>
      <c r="BK100" s="111" t="e">
        <f t="shared" si="153"/>
        <v>#DIV/0!</v>
      </c>
      <c r="BL100" s="111" t="e">
        <f t="shared" si="153"/>
        <v>#DIV/0!</v>
      </c>
      <c r="BM100" s="111" t="e">
        <f t="shared" si="153"/>
        <v>#DIV/0!</v>
      </c>
      <c r="BN100" s="111" t="e">
        <f t="shared" si="153"/>
        <v>#DIV/0!</v>
      </c>
      <c r="BO100" s="111" t="e">
        <f t="shared" si="153"/>
        <v>#DIV/0!</v>
      </c>
      <c r="BP100" s="111" t="e">
        <f t="shared" si="153"/>
        <v>#DIV/0!</v>
      </c>
      <c r="BQ100" s="111" t="e">
        <f t="shared" si="153"/>
        <v>#DIV/0!</v>
      </c>
      <c r="BR100" s="111" t="e">
        <f t="shared" si="153"/>
        <v>#DIV/0!</v>
      </c>
      <c r="BS100" s="111" t="e">
        <f>BB100/SUM(O100:INDEX(O100:Q100,IF($B$3&lt;3,$B$3,3)))</f>
        <v>#DIV/0!</v>
      </c>
      <c r="BT100" s="111" t="e">
        <f>BC100/SUM(R100:INDEX(R100:T100,$C$3))</f>
        <v>#DIV/0!</v>
      </c>
      <c r="BU100" s="111" t="e">
        <f t="shared" si="154"/>
        <v>#DIV/0!</v>
      </c>
      <c r="BV100" s="111" t="e">
        <f t="shared" si="154"/>
        <v>#DIV/0!</v>
      </c>
      <c r="BW100" s="111" t="e">
        <f t="shared" si="157"/>
        <v>#DIV/0!</v>
      </c>
    </row>
    <row r="101" spans="1:75" x14ac:dyDescent="0.25">
      <c r="A101" s="20" t="str">
        <f t="shared" si="155"/>
        <v>FYP_by_rookie_GENLION:4 - 6 mths</v>
      </c>
      <c r="B101" t="s">
        <v>8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X101" s="6"/>
      <c r="Y101" s="6"/>
      <c r="Z101" s="6"/>
      <c r="AA101" s="22"/>
      <c r="AB101" s="22"/>
      <c r="AC101" s="22"/>
      <c r="AD101" s="22"/>
      <c r="AE101" s="22"/>
      <c r="AF101" s="6"/>
      <c r="AG101" s="6"/>
      <c r="AH101" s="6"/>
      <c r="AI101" s="6"/>
      <c r="AJ101" s="6"/>
      <c r="AK101" s="31"/>
      <c r="AL101" s="31"/>
      <c r="AM101" s="31"/>
      <c r="AN101" s="31"/>
      <c r="AO101" s="31"/>
      <c r="AP101" s="22">
        <f>[16]APE!K38</f>
        <v>1309.0219999999999</v>
      </c>
      <c r="AQ101" s="22">
        <f>[17]APE!K39</f>
        <v>3900.0279999999998</v>
      </c>
      <c r="AR101" s="22">
        <f>[18]APE!K40</f>
        <v>5236.03</v>
      </c>
      <c r="AS101" s="22">
        <f>[19]APE!U40</f>
        <v>1111.31</v>
      </c>
      <c r="AT101" s="22">
        <f>[20]APE!U40</f>
        <v>971.91</v>
      </c>
      <c r="AU101" s="22">
        <f>[21]APE!U40</f>
        <v>1031.01</v>
      </c>
      <c r="AV101" s="22">
        <f>[22]APE!U40</f>
        <v>1035.32</v>
      </c>
      <c r="BB101" s="110">
        <f>SUM(AP101:INDEX(AP101:AR101,IF($B$3&lt;3,$B$3,3)))</f>
        <v>10445.079999999998</v>
      </c>
      <c r="BC101" s="110">
        <f>SUM(AS101:INDEX(AS101:AU101,IF(AND($B$3&gt;3,$B$3&lt;7),$B$3-3,0)))</f>
        <v>3114.2299999999996</v>
      </c>
      <c r="BD101" s="110">
        <f>SUM(AV101:INDEX(AV101:AX101,IF(AND($B$3&gt;6,$B$3&lt;10),$B$3-6,0)))</f>
        <v>1035.32</v>
      </c>
      <c r="BE101" s="110">
        <f>SUM(AY101:INDEX(AY101:BA101,IF($B$3&gt;9,$B$3-9,0)))</f>
        <v>0</v>
      </c>
      <c r="BF101" s="110">
        <f>SUM($AP101:INDEX(AP101:BA101,$B$3))</f>
        <v>14594.629999999997</v>
      </c>
      <c r="BG101" s="125" t="e">
        <f t="shared" si="156"/>
        <v>#DIV/0!</v>
      </c>
      <c r="BH101" s="111" t="e">
        <f t="shared" si="153"/>
        <v>#DIV/0!</v>
      </c>
      <c r="BI101" s="111" t="e">
        <f t="shared" si="153"/>
        <v>#DIV/0!</v>
      </c>
      <c r="BJ101" s="111" t="e">
        <f t="shared" si="153"/>
        <v>#DIV/0!</v>
      </c>
      <c r="BK101" s="111" t="e">
        <f t="shared" si="153"/>
        <v>#DIV/0!</v>
      </c>
      <c r="BL101" s="111" t="e">
        <f t="shared" si="153"/>
        <v>#DIV/0!</v>
      </c>
      <c r="BM101" s="111" t="e">
        <f t="shared" si="153"/>
        <v>#DIV/0!</v>
      </c>
      <c r="BN101" s="111" t="e">
        <f t="shared" si="153"/>
        <v>#DIV/0!</v>
      </c>
      <c r="BO101" s="111" t="e">
        <f t="shared" si="153"/>
        <v>#DIV/0!</v>
      </c>
      <c r="BP101" s="111" t="e">
        <f t="shared" si="153"/>
        <v>#DIV/0!</v>
      </c>
      <c r="BQ101" s="111" t="e">
        <f t="shared" si="153"/>
        <v>#DIV/0!</v>
      </c>
      <c r="BR101" s="111" t="e">
        <f t="shared" si="153"/>
        <v>#DIV/0!</v>
      </c>
      <c r="BS101" s="111" t="e">
        <f>BB101/SUM(O101:INDEX(O101:Q101,IF($B$3&lt;3,$B$3,3)))</f>
        <v>#DIV/0!</v>
      </c>
      <c r="BT101" s="111" t="e">
        <f>BC101/SUM(R101:INDEX(R101:T101,$C$3))</f>
        <v>#DIV/0!</v>
      </c>
      <c r="BU101" s="111" t="e">
        <f t="shared" si="154"/>
        <v>#DIV/0!</v>
      </c>
      <c r="BV101" s="111" t="e">
        <f t="shared" si="154"/>
        <v>#DIV/0!</v>
      </c>
      <c r="BW101" s="111" t="e">
        <f t="shared" si="157"/>
        <v>#DIV/0!</v>
      </c>
    </row>
    <row r="102" spans="1:75" x14ac:dyDescent="0.25">
      <c r="A102" s="20" t="str">
        <f t="shared" si="155"/>
        <v>FYP_by_rookie_GENLION:7-12mth</v>
      </c>
      <c r="B102" t="s">
        <v>1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X102" s="6"/>
      <c r="Y102" s="6"/>
      <c r="Z102" s="6"/>
      <c r="AA102" s="22"/>
      <c r="AB102" s="22"/>
      <c r="AC102" s="22"/>
      <c r="AD102" s="22"/>
      <c r="AE102" s="22"/>
      <c r="AF102" s="6"/>
      <c r="AG102" s="6"/>
      <c r="AH102" s="6"/>
      <c r="AI102" s="6"/>
      <c r="AJ102" s="6"/>
      <c r="AK102" s="31"/>
      <c r="AL102" s="31"/>
      <c r="AM102" s="31"/>
      <c r="AN102" s="31"/>
      <c r="AO102" s="31"/>
      <c r="AP102" s="22">
        <f>[16]APE!K39</f>
        <v>692.01399999999899</v>
      </c>
      <c r="AQ102" s="22">
        <f>[17]APE!K40</f>
        <v>711.98749999999995</v>
      </c>
      <c r="AR102" s="22">
        <f>[18]APE!K41</f>
        <v>1303.98</v>
      </c>
      <c r="AS102" s="22">
        <f>[19]APE!U41</f>
        <v>2518.94</v>
      </c>
      <c r="AT102" s="22">
        <f>[20]APE!U41</f>
        <v>7870.49</v>
      </c>
      <c r="AU102" s="22">
        <f>[21]APE!U41</f>
        <v>2753.23</v>
      </c>
      <c r="AV102" s="22">
        <f>[22]APE!U41</f>
        <v>2366.09</v>
      </c>
      <c r="BB102" s="110">
        <f>SUM(AP102:INDEX(AP102:AR102,IF($B$3&lt;3,$B$3,3)))</f>
        <v>2707.981499999999</v>
      </c>
      <c r="BC102" s="110">
        <f>SUM(AS102:INDEX(AS102:AU102,IF(AND($B$3&gt;3,$B$3&lt;7),$B$3-3,0)))</f>
        <v>13142.66</v>
      </c>
      <c r="BD102" s="110">
        <f>SUM(AV102:INDEX(AV102:AX102,IF(AND($B$3&gt;6,$B$3&lt;10),$B$3-6,0)))</f>
        <v>2366.09</v>
      </c>
      <c r="BE102" s="110">
        <f>SUM(AY102:INDEX(AY102:BA102,IF($B$3&gt;9,$B$3-9,0)))</f>
        <v>0</v>
      </c>
      <c r="BF102" s="110">
        <f>SUM($AP102:INDEX(AP102:BA102,$B$3))</f>
        <v>18216.731499999998</v>
      </c>
      <c r="BG102" s="125" t="e">
        <f t="shared" si="156"/>
        <v>#DIV/0!</v>
      </c>
      <c r="BH102" s="111" t="e">
        <f t="shared" si="153"/>
        <v>#DIV/0!</v>
      </c>
      <c r="BI102" s="111" t="e">
        <f t="shared" si="153"/>
        <v>#DIV/0!</v>
      </c>
      <c r="BJ102" s="111" t="e">
        <f t="shared" si="153"/>
        <v>#DIV/0!</v>
      </c>
      <c r="BK102" s="111" t="e">
        <f t="shared" si="153"/>
        <v>#DIV/0!</v>
      </c>
      <c r="BL102" s="111" t="e">
        <f t="shared" si="153"/>
        <v>#DIV/0!</v>
      </c>
      <c r="BM102" s="111" t="e">
        <f t="shared" si="153"/>
        <v>#DIV/0!</v>
      </c>
      <c r="BN102" s="111" t="e">
        <f t="shared" si="153"/>
        <v>#DIV/0!</v>
      </c>
      <c r="BO102" s="111" t="e">
        <f t="shared" si="153"/>
        <v>#DIV/0!</v>
      </c>
      <c r="BP102" s="111" t="e">
        <f t="shared" si="153"/>
        <v>#DIV/0!</v>
      </c>
      <c r="BQ102" s="111" t="e">
        <f t="shared" si="153"/>
        <v>#DIV/0!</v>
      </c>
      <c r="BR102" s="111" t="e">
        <f t="shared" si="153"/>
        <v>#DIV/0!</v>
      </c>
      <c r="BS102" s="111" t="e">
        <f>BB102/SUM(O102:INDEX(O102:Q102,IF($B$3&lt;3,$B$3,3)))</f>
        <v>#DIV/0!</v>
      </c>
      <c r="BT102" s="111" t="e">
        <f>BC102/SUM(R102:INDEX(R102:T102,$C$3))</f>
        <v>#DIV/0!</v>
      </c>
      <c r="BU102" s="111" t="e">
        <f t="shared" si="154"/>
        <v>#DIV/0!</v>
      </c>
      <c r="BV102" s="111" t="e">
        <f t="shared" si="154"/>
        <v>#DIV/0!</v>
      </c>
      <c r="BW102" s="111" t="e">
        <f t="shared" si="157"/>
        <v>#DIV/0!</v>
      </c>
    </row>
    <row r="103" spans="1:75" x14ac:dyDescent="0.25">
      <c r="A103" s="20" t="str">
        <f t="shared" si="155"/>
        <v>FYP_by_rookie_GENLION:13+mth</v>
      </c>
      <c r="B103" t="s">
        <v>2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X103" s="6"/>
      <c r="Y103" s="6"/>
      <c r="Z103" s="6"/>
      <c r="AA103" s="22"/>
      <c r="AB103" s="22"/>
      <c r="AC103" s="22"/>
      <c r="AD103" s="22"/>
      <c r="AE103" s="22"/>
      <c r="AF103" s="6"/>
      <c r="AG103" s="6"/>
      <c r="AH103" s="6"/>
      <c r="AI103" s="6"/>
      <c r="AJ103" s="6"/>
      <c r="AK103" s="31"/>
      <c r="AL103" s="31"/>
      <c r="AM103" s="31"/>
      <c r="AN103" s="31"/>
      <c r="AO103" s="31"/>
      <c r="AP103" s="22">
        <f>[16]APE!K40</f>
        <v>1738.6735000000001</v>
      </c>
      <c r="AQ103" s="22">
        <f>[17]APE!K41</f>
        <v>1249.3910000000001</v>
      </c>
      <c r="AR103" s="22">
        <f>[18]APE!K42</f>
        <v>2293.5</v>
      </c>
      <c r="AS103" s="22">
        <f>[19]APE!U42</f>
        <v>2153.4699999999998</v>
      </c>
      <c r="AT103" s="22">
        <f>[20]APE!U42</f>
        <v>2562.1</v>
      </c>
      <c r="AU103" s="22">
        <f>[21]APE!U42</f>
        <v>2369.13</v>
      </c>
      <c r="AV103" s="22">
        <f>[22]APE!U42</f>
        <v>2755.82</v>
      </c>
      <c r="BB103" s="110">
        <f>SUM(AP103:INDEX(AP103:AR103,IF($B$3&lt;3,$B$3,3)))</f>
        <v>5281.5645000000004</v>
      </c>
      <c r="BC103" s="110">
        <f>SUM(AS103:INDEX(AS103:AU103,IF(AND($B$3&gt;3,$B$3&lt;7),$B$3-3,0)))</f>
        <v>7084.7</v>
      </c>
      <c r="BD103" s="110">
        <f>SUM(AV103:INDEX(AV103:AX103,IF(AND($B$3&gt;6,$B$3&lt;10),$B$3-6,0)))</f>
        <v>2755.82</v>
      </c>
      <c r="BE103" s="110">
        <f>SUM(AY103:INDEX(AY103:BA103,IF($B$3&gt;9,$B$3-9,0)))</f>
        <v>0</v>
      </c>
      <c r="BF103" s="110">
        <f>SUM($AP103:INDEX(AP103:BA103,$B$3))</f>
        <v>15122.084500000001</v>
      </c>
      <c r="BG103" s="125" t="e">
        <f t="shared" si="156"/>
        <v>#DIV/0!</v>
      </c>
      <c r="BH103" s="111" t="e">
        <f t="shared" si="153"/>
        <v>#DIV/0!</v>
      </c>
      <c r="BI103" s="111" t="e">
        <f t="shared" si="153"/>
        <v>#DIV/0!</v>
      </c>
      <c r="BJ103" s="111" t="e">
        <f t="shared" si="153"/>
        <v>#DIV/0!</v>
      </c>
      <c r="BK103" s="111" t="e">
        <f t="shared" si="153"/>
        <v>#DIV/0!</v>
      </c>
      <c r="BL103" s="111" t="e">
        <f t="shared" si="153"/>
        <v>#DIV/0!</v>
      </c>
      <c r="BM103" s="111" t="e">
        <f t="shared" si="153"/>
        <v>#DIV/0!</v>
      </c>
      <c r="BN103" s="111" t="e">
        <f t="shared" si="153"/>
        <v>#DIV/0!</v>
      </c>
      <c r="BO103" s="111" t="e">
        <f t="shared" si="153"/>
        <v>#DIV/0!</v>
      </c>
      <c r="BP103" s="111" t="e">
        <f t="shared" si="153"/>
        <v>#DIV/0!</v>
      </c>
      <c r="BQ103" s="111" t="e">
        <f t="shared" si="153"/>
        <v>#DIV/0!</v>
      </c>
      <c r="BR103" s="111" t="e">
        <f t="shared" si="153"/>
        <v>#DIV/0!</v>
      </c>
      <c r="BS103" s="111" t="e">
        <f>BB103/SUM(O103:INDEX(O103:Q103,IF($B$3&lt;3,$B$3,3)))</f>
        <v>#DIV/0!</v>
      </c>
      <c r="BT103" s="111" t="e">
        <f>BC103/SUM(R103:INDEX(R103:T103,$C$3))</f>
        <v>#DIV/0!</v>
      </c>
      <c r="BU103" s="111" t="e">
        <f t="shared" si="154"/>
        <v>#DIV/0!</v>
      </c>
      <c r="BV103" s="111" t="e">
        <f t="shared" si="154"/>
        <v>#DIV/0!</v>
      </c>
      <c r="BW103" s="111" t="e">
        <f t="shared" si="157"/>
        <v>#DIV/0!</v>
      </c>
    </row>
    <row r="104" spans="1:75" x14ac:dyDescent="0.25">
      <c r="A104" s="20" t="str">
        <f t="shared" si="155"/>
        <v>FYP_by_rookie_GENLION:SA</v>
      </c>
      <c r="B104" s="135" t="s">
        <v>136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X104" s="6"/>
      <c r="Y104" s="6"/>
      <c r="Z104" s="6"/>
      <c r="AA104" s="22"/>
      <c r="AB104" s="22"/>
      <c r="AC104" s="22"/>
      <c r="AD104" s="22"/>
      <c r="AE104" s="22"/>
      <c r="AF104" s="6"/>
      <c r="AG104" s="6"/>
      <c r="AH104" s="6"/>
      <c r="AI104" s="6"/>
      <c r="AJ104" s="6"/>
      <c r="AK104" s="31"/>
      <c r="AL104" s="31"/>
      <c r="AM104" s="31"/>
      <c r="AN104" s="31"/>
      <c r="AO104" s="31"/>
      <c r="AP104" s="22"/>
      <c r="AQ104" s="22">
        <f>[17]APE!K42</f>
        <v>659.01</v>
      </c>
      <c r="AR104" s="22">
        <f>[18]APE!K43</f>
        <v>708.99</v>
      </c>
      <c r="AS104" s="22">
        <f>[19]APE!U43</f>
        <v>907.77</v>
      </c>
      <c r="AT104" s="22">
        <f>[20]APE!U43</f>
        <v>602.87</v>
      </c>
      <c r="AU104" s="22">
        <f>[21]APE!U43</f>
        <v>472.69</v>
      </c>
      <c r="AV104" s="22">
        <f>[22]APE!U43</f>
        <v>494.73</v>
      </c>
      <c r="BB104" s="110">
        <f>SUM(AP104:INDEX(AP104:AR104,IF($B$3&lt;3,$B$3,3)))</f>
        <v>1368</v>
      </c>
      <c r="BC104" s="110">
        <f>SUM(AS104:INDEX(AS104:AU104,IF(AND($B$3&gt;3,$B$3&lt;7),$B$3-3,0)))</f>
        <v>1983.33</v>
      </c>
      <c r="BD104" s="110">
        <f>SUM(AV104:INDEX(AV104:AX104,IF(AND($B$3&gt;6,$B$3&lt;10),$B$3-6,0)))</f>
        <v>494.73</v>
      </c>
      <c r="BE104" s="110"/>
      <c r="BF104" s="110">
        <f>SUM($AP104:INDEX(AP104:BA104,$B$3))</f>
        <v>3846.06</v>
      </c>
      <c r="BG104" s="125"/>
      <c r="BH104" s="111"/>
      <c r="BI104" s="111"/>
      <c r="BJ104" s="111"/>
      <c r="BK104" s="111"/>
      <c r="BL104" s="111"/>
      <c r="BM104" s="111"/>
      <c r="BN104" s="111"/>
      <c r="BO104" s="111"/>
      <c r="BP104" s="111"/>
      <c r="BQ104" s="111"/>
      <c r="BR104" s="111"/>
      <c r="BS104" s="111"/>
      <c r="BT104" s="111"/>
      <c r="BU104" s="111"/>
      <c r="BV104" s="111"/>
      <c r="BW104" s="111"/>
    </row>
    <row r="105" spans="1:75" s="17" customFormat="1" x14ac:dyDescent="0.25">
      <c r="A105" s="20" t="str">
        <f t="shared" si="155"/>
        <v>FYP_by_rookie_GENLION:Total</v>
      </c>
      <c r="B105" s="1" t="s">
        <v>3</v>
      </c>
      <c r="C105" s="7">
        <f>SUM(C97:C103)</f>
        <v>0</v>
      </c>
      <c r="D105" s="7">
        <f t="shared" ref="D105:AE105" si="158">SUM(D97:D103)</f>
        <v>0</v>
      </c>
      <c r="E105" s="7">
        <f t="shared" si="158"/>
        <v>0</v>
      </c>
      <c r="F105" s="7">
        <f t="shared" si="158"/>
        <v>0</v>
      </c>
      <c r="G105" s="7">
        <f t="shared" si="158"/>
        <v>0</v>
      </c>
      <c r="H105" s="7">
        <f t="shared" si="158"/>
        <v>0</v>
      </c>
      <c r="I105" s="7">
        <f t="shared" si="158"/>
        <v>0</v>
      </c>
      <c r="J105" s="7">
        <f t="shared" si="158"/>
        <v>0</v>
      </c>
      <c r="K105" s="7">
        <f t="shared" si="158"/>
        <v>0</v>
      </c>
      <c r="L105" s="7">
        <f t="shared" si="158"/>
        <v>0</v>
      </c>
      <c r="M105" s="7">
        <f t="shared" si="158"/>
        <v>0</v>
      </c>
      <c r="N105" s="7">
        <f t="shared" si="158"/>
        <v>0</v>
      </c>
      <c r="O105" s="7">
        <f t="shared" si="158"/>
        <v>0</v>
      </c>
      <c r="P105" s="7">
        <f t="shared" si="158"/>
        <v>0</v>
      </c>
      <c r="Q105" s="7">
        <f t="shared" si="158"/>
        <v>0</v>
      </c>
      <c r="R105" s="7">
        <f t="shared" si="158"/>
        <v>0</v>
      </c>
      <c r="S105" s="7">
        <f t="shared" si="158"/>
        <v>0</v>
      </c>
      <c r="T105" s="7">
        <f t="shared" si="158"/>
        <v>0</v>
      </c>
      <c r="U105" s="7">
        <f t="shared" si="158"/>
        <v>0</v>
      </c>
      <c r="V105" s="7">
        <f t="shared" si="158"/>
        <v>0</v>
      </c>
      <c r="W105" s="7">
        <f t="shared" si="158"/>
        <v>0</v>
      </c>
      <c r="X105" s="7">
        <f t="shared" si="158"/>
        <v>0</v>
      </c>
      <c r="Y105" s="7">
        <f t="shared" si="158"/>
        <v>0</v>
      </c>
      <c r="Z105" s="7">
        <f t="shared" si="158"/>
        <v>0</v>
      </c>
      <c r="AA105" s="7">
        <f t="shared" si="158"/>
        <v>0</v>
      </c>
      <c r="AB105" s="7">
        <f t="shared" si="158"/>
        <v>0</v>
      </c>
      <c r="AC105" s="7">
        <f t="shared" si="158"/>
        <v>0</v>
      </c>
      <c r="AD105" s="7">
        <f t="shared" si="158"/>
        <v>0</v>
      </c>
      <c r="AE105" s="7">
        <f t="shared" si="158"/>
        <v>0</v>
      </c>
      <c r="AF105" s="7">
        <f>SUM(AF97:AF103)</f>
        <v>0</v>
      </c>
      <c r="AG105" s="7">
        <f t="shared" ref="AG105:AJ105" si="159">SUM(AG97:AG103)</f>
        <v>0</v>
      </c>
      <c r="AH105" s="7">
        <f t="shared" si="159"/>
        <v>0</v>
      </c>
      <c r="AI105" s="7">
        <f t="shared" si="159"/>
        <v>0</v>
      </c>
      <c r="AJ105" s="7">
        <f t="shared" si="159"/>
        <v>0</v>
      </c>
      <c r="AK105" s="31" t="e">
        <f t="shared" ref="AK105" si="160">AA105/AF105-1</f>
        <v>#DIV/0!</v>
      </c>
      <c r="AL105" s="31" t="e">
        <f t="shared" ref="AL105:AO105" si="161">AB105/AG105-1</f>
        <v>#DIV/0!</v>
      </c>
      <c r="AM105" s="31" t="e">
        <f t="shared" si="161"/>
        <v>#DIV/0!</v>
      </c>
      <c r="AN105" s="31" t="e">
        <f t="shared" si="161"/>
        <v>#DIV/0!</v>
      </c>
      <c r="AO105" s="31" t="e">
        <f t="shared" si="161"/>
        <v>#DIV/0!</v>
      </c>
      <c r="AP105" s="15">
        <f t="shared" ref="AP105" si="162">SUM(AP97:AP103)</f>
        <v>13201.143</v>
      </c>
      <c r="AQ105" s="15">
        <f>SUM(AQ97:AQ104)</f>
        <v>21017.186300000008</v>
      </c>
      <c r="AR105" s="15">
        <f t="shared" ref="AR105:BA105" si="163">SUM(AR97:AR104)</f>
        <v>27126.850000000002</v>
      </c>
      <c r="AS105" s="15">
        <f t="shared" si="163"/>
        <v>24493.390000000003</v>
      </c>
      <c r="AT105" s="15">
        <f t="shared" si="163"/>
        <v>31213.639999999996</v>
      </c>
      <c r="AU105" s="15">
        <f t="shared" si="163"/>
        <v>30759.429999999997</v>
      </c>
      <c r="AV105" s="15">
        <f t="shared" si="163"/>
        <v>23288.809999999998</v>
      </c>
      <c r="AW105" s="15">
        <f t="shared" si="163"/>
        <v>0</v>
      </c>
      <c r="AX105" s="15">
        <f t="shared" si="163"/>
        <v>0</v>
      </c>
      <c r="AY105" s="15">
        <f t="shared" si="163"/>
        <v>0</v>
      </c>
      <c r="AZ105" s="15">
        <f t="shared" si="163"/>
        <v>0</v>
      </c>
      <c r="BA105" s="15">
        <f t="shared" si="163"/>
        <v>0</v>
      </c>
      <c r="BB105" s="116">
        <f>SUM(AP105:INDEX(AP105:AR105,IF($B$3&lt;3,$B$3,3)))</f>
        <v>61345.179300000018</v>
      </c>
      <c r="BC105" s="116">
        <f>SUM(AS105:INDEX(AS105:AU105,IF(AND($B$3&gt;3,$B$3&lt;7),$B$3-3,0)))</f>
        <v>86466.459999999992</v>
      </c>
      <c r="BD105" s="116">
        <f>SUM(AV105:INDEX(AV105:AX105,IF(AND($B$3&gt;6,$B$3&lt;10),$B$3-6,0)))</f>
        <v>23288.809999999998</v>
      </c>
      <c r="BE105" s="116">
        <f>SUM(AY105:INDEX(AY105:BA105,IF($B$3&gt;9,$B$3-9,0)))</f>
        <v>0</v>
      </c>
      <c r="BF105" s="116">
        <f>SUM($AP105:INDEX(AP105:BA105,$B$3))</f>
        <v>171100.44930000001</v>
      </c>
      <c r="BG105" s="126" t="e">
        <f t="shared" si="156"/>
        <v>#DIV/0!</v>
      </c>
      <c r="BH105" s="111" t="e">
        <f t="shared" si="153"/>
        <v>#DIV/0!</v>
      </c>
      <c r="BI105" s="111" t="e">
        <f t="shared" si="153"/>
        <v>#DIV/0!</v>
      </c>
      <c r="BJ105" s="111" t="e">
        <f t="shared" si="153"/>
        <v>#DIV/0!</v>
      </c>
      <c r="BK105" s="111" t="e">
        <f t="shared" si="153"/>
        <v>#DIV/0!</v>
      </c>
      <c r="BL105" s="111" t="e">
        <f t="shared" si="153"/>
        <v>#DIV/0!</v>
      </c>
      <c r="BM105" s="111" t="e">
        <f t="shared" si="153"/>
        <v>#DIV/0!</v>
      </c>
      <c r="BN105" s="111" t="e">
        <f t="shared" si="153"/>
        <v>#DIV/0!</v>
      </c>
      <c r="BO105" s="111" t="e">
        <f t="shared" si="153"/>
        <v>#DIV/0!</v>
      </c>
      <c r="BP105" s="111" t="e">
        <f t="shared" si="153"/>
        <v>#DIV/0!</v>
      </c>
      <c r="BQ105" s="111" t="e">
        <f t="shared" si="153"/>
        <v>#DIV/0!</v>
      </c>
      <c r="BR105" s="111" t="e">
        <f t="shared" si="153"/>
        <v>#DIV/0!</v>
      </c>
      <c r="BS105" s="111" t="e">
        <f>BB105/SUM(O105:INDEX(O105:Q105,IF($B$3&lt;3,$B$3,3)))</f>
        <v>#DIV/0!</v>
      </c>
      <c r="BT105" s="111" t="e">
        <f>BC105/SUM(R105:INDEX(R105:T105,$C$3))</f>
        <v>#DIV/0!</v>
      </c>
      <c r="BU105" s="111" t="e">
        <f t="shared" si="154"/>
        <v>#DIV/0!</v>
      </c>
      <c r="BV105" s="111" t="e">
        <f t="shared" si="154"/>
        <v>#DIV/0!</v>
      </c>
      <c r="BW105" s="111" t="e">
        <f t="shared" si="157"/>
        <v>#DIV/0!</v>
      </c>
    </row>
    <row r="106" spans="1:75" x14ac:dyDescent="0.25">
      <c r="BG106" s="124"/>
    </row>
    <row r="107" spans="1:75" x14ac:dyDescent="0.25">
      <c r="BG107" s="124"/>
    </row>
    <row r="108" spans="1:75" s="19" customFormat="1" hidden="1" outlineLevel="1" x14ac:dyDescent="0.25">
      <c r="B108" s="2" t="s">
        <v>9</v>
      </c>
      <c r="C108" s="3">
        <v>42005</v>
      </c>
      <c r="D108" s="3">
        <v>42036</v>
      </c>
      <c r="E108" s="3">
        <v>42064</v>
      </c>
      <c r="F108" s="3">
        <v>42095</v>
      </c>
      <c r="G108" s="3">
        <v>42125</v>
      </c>
      <c r="H108" s="3">
        <v>42156</v>
      </c>
      <c r="I108" s="3">
        <v>42186</v>
      </c>
      <c r="J108" s="3">
        <v>42217</v>
      </c>
      <c r="K108" s="3">
        <v>42248</v>
      </c>
      <c r="L108" s="3">
        <v>42278</v>
      </c>
      <c r="M108" s="3">
        <v>42309</v>
      </c>
      <c r="N108" s="3">
        <v>42339</v>
      </c>
      <c r="O108" s="3">
        <v>42370</v>
      </c>
      <c r="P108" s="3">
        <v>42401</v>
      </c>
      <c r="Q108" s="3">
        <v>42430</v>
      </c>
      <c r="R108" s="3">
        <v>42461</v>
      </c>
      <c r="S108" s="3">
        <v>42491</v>
      </c>
      <c r="T108" s="3">
        <v>42522</v>
      </c>
      <c r="U108" s="3">
        <v>42552</v>
      </c>
      <c r="V108" s="3">
        <v>42583</v>
      </c>
      <c r="W108" s="3">
        <v>42614</v>
      </c>
      <c r="X108" s="3">
        <v>42644</v>
      </c>
      <c r="Y108" s="3">
        <v>42675</v>
      </c>
      <c r="Z108" s="3">
        <v>42705</v>
      </c>
      <c r="AA108" s="29" t="str">
        <f>AA96</f>
        <v>YTD /16</v>
      </c>
      <c r="AB108" s="29" t="s">
        <v>19</v>
      </c>
      <c r="AC108" s="29" t="s">
        <v>20</v>
      </c>
      <c r="AD108" s="29" t="s">
        <v>21</v>
      </c>
      <c r="AE108" s="29" t="s">
        <v>22</v>
      </c>
      <c r="AF108" s="26" t="str">
        <f t="shared" ref="AF108:AJ108" si="164">AF96</f>
        <v>YTD /15</v>
      </c>
      <c r="AG108" s="26" t="str">
        <f t="shared" si="164"/>
        <v>Q1 '15</v>
      </c>
      <c r="AH108" s="26" t="str">
        <f t="shared" si="164"/>
        <v>Q2 '15</v>
      </c>
      <c r="AI108" s="26" t="str">
        <f t="shared" si="164"/>
        <v>Q3 '15</v>
      </c>
      <c r="AJ108" s="26" t="str">
        <f t="shared" si="164"/>
        <v>Q4 '15</v>
      </c>
      <c r="AK108" s="30" t="s">
        <v>27</v>
      </c>
      <c r="AL108" s="30" t="s">
        <v>29</v>
      </c>
      <c r="AM108" s="30" t="s">
        <v>30</v>
      </c>
      <c r="AN108" s="30" t="s">
        <v>31</v>
      </c>
      <c r="AO108" s="30" t="s">
        <v>32</v>
      </c>
      <c r="AP108" s="108">
        <v>42736</v>
      </c>
      <c r="AQ108" s="108">
        <v>42767</v>
      </c>
      <c r="AR108" s="108">
        <v>42795</v>
      </c>
      <c r="AS108" s="108">
        <v>42826</v>
      </c>
      <c r="AT108" s="108">
        <v>42856</v>
      </c>
      <c r="AU108" s="108">
        <v>42887</v>
      </c>
      <c r="AV108" s="108">
        <v>42917</v>
      </c>
      <c r="AW108" s="108">
        <v>42948</v>
      </c>
      <c r="AX108" s="108">
        <v>42979</v>
      </c>
      <c r="AY108" s="108">
        <v>43009</v>
      </c>
      <c r="AZ108" s="108">
        <v>43040</v>
      </c>
      <c r="BA108" s="108">
        <v>43070</v>
      </c>
      <c r="BB108" s="29" t="s">
        <v>123</v>
      </c>
      <c r="BC108" s="29" t="s">
        <v>124</v>
      </c>
      <c r="BD108" s="29" t="s">
        <v>125</v>
      </c>
      <c r="BE108" s="29" t="s">
        <v>126</v>
      </c>
      <c r="BF108" s="29" t="str">
        <f>$BF$4</f>
        <v>YTD 7/17</v>
      </c>
      <c r="BG108" s="121">
        <v>42736</v>
      </c>
      <c r="BH108" s="108">
        <v>42767</v>
      </c>
      <c r="BI108" s="108">
        <v>42795</v>
      </c>
      <c r="BJ108" s="108">
        <v>42826</v>
      </c>
      <c r="BK108" s="108">
        <v>42856</v>
      </c>
      <c r="BL108" s="108">
        <v>42887</v>
      </c>
      <c r="BM108" s="108">
        <v>42917</v>
      </c>
      <c r="BN108" s="108">
        <v>42948</v>
      </c>
      <c r="BO108" s="108">
        <v>42979</v>
      </c>
      <c r="BP108" s="108">
        <v>43009</v>
      </c>
      <c r="BQ108" s="108">
        <v>43040</v>
      </c>
      <c r="BR108" s="108">
        <v>43070</v>
      </c>
      <c r="BS108" s="29" t="s">
        <v>127</v>
      </c>
      <c r="BT108" s="29" t="s">
        <v>128</v>
      </c>
      <c r="BU108" s="29" t="s">
        <v>96</v>
      </c>
      <c r="BV108" s="29" t="s">
        <v>129</v>
      </c>
      <c r="BW108" s="112" t="s">
        <v>130</v>
      </c>
    </row>
    <row r="109" spans="1:75" s="20" customFormat="1" hidden="1" outlineLevel="1" x14ac:dyDescent="0.25">
      <c r="B109" t="s">
        <v>17</v>
      </c>
      <c r="C109" s="6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 s="22"/>
      <c r="AB109" s="22"/>
      <c r="AC109" s="22"/>
      <c r="AD109" s="22"/>
      <c r="AE109" s="22"/>
      <c r="AF109" s="18"/>
      <c r="AG109" s="22"/>
      <c r="AH109" s="22"/>
      <c r="AI109" s="22"/>
      <c r="AJ109" s="22"/>
      <c r="AK109" s="31"/>
      <c r="AL109" s="31"/>
      <c r="AM109" s="31"/>
      <c r="AN109" s="31"/>
      <c r="AO109" s="31"/>
      <c r="AP109" s="6">
        <f>[16]MP!Z39</f>
        <v>2581</v>
      </c>
      <c r="AQ109" s="6">
        <f>[17]MP!$Z$40</f>
        <v>1867</v>
      </c>
      <c r="AR109" s="6">
        <f>[18]MP!$Z$40</f>
        <v>1817</v>
      </c>
      <c r="AS109" s="6">
        <f>[19]MP!Z40</f>
        <v>1650</v>
      </c>
      <c r="AT109" s="6">
        <f>[20]MP!$Z$40</f>
        <v>1756</v>
      </c>
      <c r="AU109" s="22">
        <f>[21]MP!$Z$40</f>
        <v>1833</v>
      </c>
      <c r="BB109" s="22">
        <f>INDEX(AP109:AR109,IF($B$3&lt;3,$B$3,3))</f>
        <v>1817</v>
      </c>
      <c r="BC109" s="22">
        <f>INDEX(AS109:AU109,IF($B$3&lt;7,$B$3-3,3))</f>
        <v>1833</v>
      </c>
      <c r="BD109" s="18"/>
      <c r="BE109" s="18"/>
      <c r="BF109" s="22">
        <f>INDEX(AP109:BA109,$B$3)</f>
        <v>0</v>
      </c>
      <c r="BG109" s="122" t="e">
        <f>AP109/O109</f>
        <v>#DIV/0!</v>
      </c>
      <c r="BH109" s="111" t="e">
        <f>AQ109/P109</f>
        <v>#DIV/0!</v>
      </c>
      <c r="BI109" s="111" t="e">
        <f t="shared" ref="BI109:BL114" si="165">AR109/Q109</f>
        <v>#DIV/0!</v>
      </c>
      <c r="BJ109" s="111" t="e">
        <f t="shared" si="165"/>
        <v>#DIV/0!</v>
      </c>
      <c r="BK109" s="111" t="e">
        <f t="shared" si="165"/>
        <v>#DIV/0!</v>
      </c>
      <c r="BL109" s="111" t="e">
        <f t="shared" si="165"/>
        <v>#DIV/0!</v>
      </c>
      <c r="BM109" s="18"/>
      <c r="BN109" s="18"/>
      <c r="BO109" s="18"/>
      <c r="BP109" s="18"/>
      <c r="BQ109" s="18"/>
      <c r="BR109" s="18"/>
      <c r="BS109" s="111" t="e">
        <f>BB109/INDEX(O109:Q109,IF($B$3&lt;3,$B$3,3))</f>
        <v>#DIV/0!</v>
      </c>
      <c r="BT109" s="111" t="e">
        <f>BC109/INDEX(R109:T109,IF($B$3&lt;7,$B$3-3,3))</f>
        <v>#DIV/0!</v>
      </c>
      <c r="BU109" s="18"/>
      <c r="BV109" s="18"/>
      <c r="BW109" s="111" t="e">
        <f t="shared" ref="BW109:BW116" si="166">BF109/AA109</f>
        <v>#DIV/0!</v>
      </c>
    </row>
    <row r="110" spans="1:75" s="20" customFormat="1" hidden="1" outlineLevel="1" x14ac:dyDescent="0.25">
      <c r="B110" t="s">
        <v>34</v>
      </c>
      <c r="C110" s="6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 s="18"/>
      <c r="AB110" s="22"/>
      <c r="AC110" s="22"/>
      <c r="AD110" s="22"/>
      <c r="AE110" s="22"/>
      <c r="AF110" s="18"/>
      <c r="AG110" s="22"/>
      <c r="AH110" s="22"/>
      <c r="AI110" s="22"/>
      <c r="AJ110" s="22"/>
      <c r="AK110" s="31"/>
      <c r="AL110" s="31"/>
      <c r="AM110" s="31"/>
      <c r="AN110" s="31"/>
      <c r="AO110" s="31"/>
      <c r="AP110" s="6">
        <f>[16]MP!Z40</f>
        <v>85</v>
      </c>
      <c r="AQ110" s="6">
        <f>[17]MP!$Z$41</f>
        <v>97</v>
      </c>
      <c r="AR110" s="6">
        <f>[18]MP!$Z$42</f>
        <v>125</v>
      </c>
      <c r="AS110" s="6">
        <f>[19]MP!Z41</f>
        <v>131</v>
      </c>
      <c r="AT110" s="6">
        <f>[20]MP!$Z$42</f>
        <v>146</v>
      </c>
      <c r="AU110" s="22">
        <f>[21]MP!$Z$42</f>
        <v>143</v>
      </c>
      <c r="BB110" s="22">
        <f t="shared" ref="BB110:BB114" si="167">INDEX(AP110:AR110,IF($B$3&lt;3,$B$3,3))</f>
        <v>125</v>
      </c>
      <c r="BC110" s="18">
        <f t="shared" ref="BC110:BC115" si="168">INDEX(AS110:AU110,IF($B$3&lt;7,$B$3-3,3))</f>
        <v>143</v>
      </c>
      <c r="BD110" s="18"/>
      <c r="BE110" s="18"/>
      <c r="BF110" s="22">
        <f t="shared" ref="BF110:BF114" si="169">INDEX(AP110:BA110,$B$3)</f>
        <v>0</v>
      </c>
      <c r="BG110" s="122" t="e">
        <f t="shared" ref="BG110:BL116" si="170">AP110/O110</f>
        <v>#DIV/0!</v>
      </c>
      <c r="BH110" s="111" t="e">
        <f t="shared" si="170"/>
        <v>#DIV/0!</v>
      </c>
      <c r="BI110" s="111" t="e">
        <f t="shared" si="165"/>
        <v>#DIV/0!</v>
      </c>
      <c r="BJ110" s="111" t="e">
        <f t="shared" si="165"/>
        <v>#DIV/0!</v>
      </c>
      <c r="BK110" s="111" t="e">
        <f t="shared" si="165"/>
        <v>#DIV/0!</v>
      </c>
      <c r="BL110" s="111" t="e">
        <f t="shared" si="165"/>
        <v>#DIV/0!</v>
      </c>
      <c r="BM110" s="18"/>
      <c r="BN110" s="18"/>
      <c r="BO110" s="18"/>
      <c r="BP110" s="18"/>
      <c r="BQ110" s="18"/>
      <c r="BR110" s="18"/>
      <c r="BS110" s="111" t="e">
        <f t="shared" ref="BS110:BS116" si="171">BB110/INDEX(O110:Q110,IF($B$3&lt;3,$B$3,3))</f>
        <v>#DIV/0!</v>
      </c>
      <c r="BT110" s="111" t="e">
        <f t="shared" ref="BT110:BT116" si="172">BC110/INDEX(R110:T110,IF($B$3&lt;7,$B$3-3,3))</f>
        <v>#DIV/0!</v>
      </c>
      <c r="BU110" s="18"/>
      <c r="BV110" s="18"/>
      <c r="BW110" s="111" t="e">
        <f t="shared" si="166"/>
        <v>#DIV/0!</v>
      </c>
    </row>
    <row r="111" spans="1:75" s="20" customFormat="1" hidden="1" outlineLevel="1" x14ac:dyDescent="0.25">
      <c r="B111" t="s">
        <v>35</v>
      </c>
      <c r="C111" s="6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 s="18"/>
      <c r="AB111" s="18"/>
      <c r="AC111" s="18"/>
      <c r="AD111" s="18"/>
      <c r="AE111" s="18"/>
      <c r="AF111" s="18"/>
      <c r="AG111" s="22"/>
      <c r="AH111" s="22"/>
      <c r="AI111" s="22"/>
      <c r="AJ111" s="22"/>
      <c r="AK111" s="31"/>
      <c r="AL111" s="31"/>
      <c r="AM111" s="31"/>
      <c r="AN111" s="31"/>
      <c r="AO111" s="31"/>
      <c r="AP111" s="6">
        <f>[16]MP!$Z$44</f>
        <v>356</v>
      </c>
      <c r="AQ111" s="6">
        <f>[17]MP!$Z$45</f>
        <v>388</v>
      </c>
      <c r="AR111" s="6">
        <f>[18]MP!$Z$46</f>
        <v>387</v>
      </c>
      <c r="AS111" s="6">
        <f>[19]MP!Z42</f>
        <v>336</v>
      </c>
      <c r="AT111" s="6">
        <f>[20]MP!$Z$46</f>
        <v>325</v>
      </c>
      <c r="AU111" s="22">
        <f>[21]MP!$Z$46</f>
        <v>316</v>
      </c>
      <c r="BB111" s="22">
        <f t="shared" si="167"/>
        <v>387</v>
      </c>
      <c r="BC111" s="18">
        <f t="shared" si="168"/>
        <v>316</v>
      </c>
      <c r="BD111" s="18"/>
      <c r="BE111" s="18"/>
      <c r="BF111" s="22">
        <f t="shared" si="169"/>
        <v>0</v>
      </c>
      <c r="BG111" s="122" t="e">
        <f t="shared" si="170"/>
        <v>#DIV/0!</v>
      </c>
      <c r="BH111" s="111" t="e">
        <f t="shared" si="170"/>
        <v>#DIV/0!</v>
      </c>
      <c r="BI111" s="111" t="e">
        <f t="shared" si="165"/>
        <v>#DIV/0!</v>
      </c>
      <c r="BJ111" s="111" t="e">
        <f t="shared" si="165"/>
        <v>#DIV/0!</v>
      </c>
      <c r="BK111" s="111" t="e">
        <f t="shared" si="165"/>
        <v>#DIV/0!</v>
      </c>
      <c r="BL111" s="111" t="e">
        <f t="shared" si="165"/>
        <v>#DIV/0!</v>
      </c>
      <c r="BM111" s="18"/>
      <c r="BN111" s="18"/>
      <c r="BO111" s="18"/>
      <c r="BP111" s="18"/>
      <c r="BQ111" s="18"/>
      <c r="BR111" s="18"/>
      <c r="BS111" s="111" t="e">
        <f t="shared" si="171"/>
        <v>#DIV/0!</v>
      </c>
      <c r="BT111" s="111" t="e">
        <f t="shared" si="172"/>
        <v>#DIV/0!</v>
      </c>
      <c r="BU111" s="18"/>
      <c r="BV111" s="18"/>
      <c r="BW111" s="111" t="e">
        <f t="shared" si="166"/>
        <v>#DIV/0!</v>
      </c>
    </row>
    <row r="112" spans="1:75" s="20" customFormat="1" hidden="1" outlineLevel="1" x14ac:dyDescent="0.25">
      <c r="B112" t="s">
        <v>36</v>
      </c>
      <c r="C112" s="6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 s="18"/>
      <c r="AB112" s="18"/>
      <c r="AC112" s="18"/>
      <c r="AD112" s="18"/>
      <c r="AE112" s="18"/>
      <c r="AF112" s="18"/>
      <c r="AG112" s="22"/>
      <c r="AH112" s="22"/>
      <c r="AI112" s="22"/>
      <c r="AJ112" s="22"/>
      <c r="AK112" s="31"/>
      <c r="AL112" s="31"/>
      <c r="AM112" s="31"/>
      <c r="AN112" s="31"/>
      <c r="AO112" s="31"/>
      <c r="AP112" s="6">
        <f>[16]MP!$Z$43</f>
        <v>143</v>
      </c>
      <c r="AQ112" s="6">
        <f>[17]MP!$Z$44</f>
        <v>151</v>
      </c>
      <c r="AR112" s="6">
        <f>[18]MP!$Z$45</f>
        <v>144</v>
      </c>
      <c r="AS112" s="6">
        <f>[19]MP!Z43</f>
        <v>147</v>
      </c>
      <c r="AT112" s="6">
        <f>[20]MP!$Z$45</f>
        <v>144</v>
      </c>
      <c r="AU112" s="22">
        <f>[21]MP!$Z$45</f>
        <v>134</v>
      </c>
      <c r="BB112" s="22">
        <f t="shared" si="167"/>
        <v>144</v>
      </c>
      <c r="BC112" s="18">
        <f t="shared" si="168"/>
        <v>134</v>
      </c>
      <c r="BD112" s="18"/>
      <c r="BE112" s="18"/>
      <c r="BF112" s="22">
        <f t="shared" si="169"/>
        <v>0</v>
      </c>
      <c r="BG112" s="122" t="e">
        <f t="shared" si="170"/>
        <v>#DIV/0!</v>
      </c>
      <c r="BH112" s="111" t="e">
        <f t="shared" si="170"/>
        <v>#DIV/0!</v>
      </c>
      <c r="BI112" s="111" t="e">
        <f t="shared" si="165"/>
        <v>#DIV/0!</v>
      </c>
      <c r="BJ112" s="111" t="e">
        <f t="shared" si="165"/>
        <v>#DIV/0!</v>
      </c>
      <c r="BK112" s="111" t="e">
        <f t="shared" si="165"/>
        <v>#DIV/0!</v>
      </c>
      <c r="BL112" s="111" t="e">
        <f t="shared" si="165"/>
        <v>#DIV/0!</v>
      </c>
      <c r="BM112" s="18"/>
      <c r="BN112" s="18"/>
      <c r="BO112" s="18"/>
      <c r="BP112" s="18"/>
      <c r="BQ112" s="18"/>
      <c r="BR112" s="18"/>
      <c r="BS112" s="111" t="e">
        <f t="shared" si="171"/>
        <v>#DIV/0!</v>
      </c>
      <c r="BT112" s="111" t="e">
        <f t="shared" si="172"/>
        <v>#DIV/0!</v>
      </c>
      <c r="BU112" s="18"/>
      <c r="BV112" s="18"/>
      <c r="BW112" s="111" t="e">
        <f t="shared" si="166"/>
        <v>#DIV/0!</v>
      </c>
    </row>
    <row r="113" spans="2:75" s="20" customFormat="1" hidden="1" outlineLevel="1" x14ac:dyDescent="0.25">
      <c r="B113" t="s">
        <v>37</v>
      </c>
      <c r="C113" s="6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 s="18"/>
      <c r="AB113" s="18"/>
      <c r="AC113" s="18"/>
      <c r="AD113" s="18"/>
      <c r="AE113" s="18"/>
      <c r="AF113" s="18"/>
      <c r="AG113" s="22"/>
      <c r="AH113" s="22"/>
      <c r="AI113" s="22"/>
      <c r="AJ113" s="22"/>
      <c r="AK113" s="31"/>
      <c r="AL113" s="31"/>
      <c r="AM113" s="31"/>
      <c r="AN113" s="31"/>
      <c r="AO113" s="31"/>
      <c r="AP113" s="6">
        <f>[16]MP!Z41</f>
        <v>37</v>
      </c>
      <c r="AQ113" s="6">
        <f>[17]MP!Z42</f>
        <v>40</v>
      </c>
      <c r="AR113" s="6">
        <f>[18]MP!Z43</f>
        <v>40</v>
      </c>
      <c r="AS113" s="6">
        <f>[19]MP!Z44</f>
        <v>42</v>
      </c>
      <c r="AT113" s="6">
        <f>[20]MP!Z43</f>
        <v>43</v>
      </c>
      <c r="AU113" s="22">
        <f>[21]MP!Z43</f>
        <v>42</v>
      </c>
      <c r="BB113" s="22">
        <f t="shared" si="167"/>
        <v>40</v>
      </c>
      <c r="BC113" s="18">
        <f t="shared" si="168"/>
        <v>42</v>
      </c>
      <c r="BD113" s="18"/>
      <c r="BE113" s="18"/>
      <c r="BF113" s="22">
        <f t="shared" si="169"/>
        <v>0</v>
      </c>
      <c r="BG113" s="122" t="e">
        <f t="shared" si="170"/>
        <v>#DIV/0!</v>
      </c>
      <c r="BH113" s="111" t="e">
        <f t="shared" si="170"/>
        <v>#DIV/0!</v>
      </c>
      <c r="BI113" s="111" t="e">
        <f t="shared" si="165"/>
        <v>#DIV/0!</v>
      </c>
      <c r="BJ113" s="111" t="e">
        <f t="shared" si="165"/>
        <v>#DIV/0!</v>
      </c>
      <c r="BK113" s="111" t="e">
        <f t="shared" si="165"/>
        <v>#DIV/0!</v>
      </c>
      <c r="BL113" s="111" t="e">
        <f t="shared" si="165"/>
        <v>#DIV/0!</v>
      </c>
      <c r="BM113" s="18"/>
      <c r="BN113" s="18"/>
      <c r="BO113" s="18"/>
      <c r="BP113" s="18"/>
      <c r="BQ113" s="18"/>
      <c r="BR113" s="18"/>
      <c r="BS113" s="111" t="e">
        <f t="shared" si="171"/>
        <v>#DIV/0!</v>
      </c>
      <c r="BT113" s="111" t="e">
        <f t="shared" si="172"/>
        <v>#DIV/0!</v>
      </c>
      <c r="BU113" s="18"/>
      <c r="BV113" s="18"/>
      <c r="BW113" s="111" t="e">
        <f t="shared" si="166"/>
        <v>#DIV/0!</v>
      </c>
    </row>
    <row r="114" spans="2:75" s="20" customFormat="1" hidden="1" outlineLevel="1" x14ac:dyDescent="0.25">
      <c r="B114" t="s">
        <v>38</v>
      </c>
      <c r="C114" s="6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 s="18"/>
      <c r="AB114" s="18"/>
      <c r="AC114" s="18"/>
      <c r="AD114" s="18"/>
      <c r="AE114" s="18"/>
      <c r="AF114" s="18"/>
      <c r="AG114" s="22"/>
      <c r="AH114" s="22"/>
      <c r="AI114" s="22"/>
      <c r="AJ114" s="22"/>
      <c r="AK114" s="31"/>
      <c r="AL114" s="31"/>
      <c r="AM114" s="31"/>
      <c r="AN114" s="31"/>
      <c r="AO114" s="31"/>
      <c r="AP114" s="6">
        <f>[16]MP!Z42</f>
        <v>18</v>
      </c>
      <c r="AQ114" s="6">
        <f>[17]MP!Z43</f>
        <v>21</v>
      </c>
      <c r="AR114" s="6">
        <f>[18]MP!Z44</f>
        <v>21</v>
      </c>
      <c r="AS114" s="6">
        <f>[19]MP!Z45</f>
        <v>21</v>
      </c>
      <c r="AT114" s="6">
        <f>[20]MP!Z44</f>
        <v>22</v>
      </c>
      <c r="AU114" s="22">
        <f>[21]MP!Z44</f>
        <v>23</v>
      </c>
      <c r="BB114" s="22">
        <f t="shared" si="167"/>
        <v>21</v>
      </c>
      <c r="BC114" s="18">
        <f t="shared" si="168"/>
        <v>23</v>
      </c>
      <c r="BD114" s="18"/>
      <c r="BE114" s="18"/>
      <c r="BF114" s="22">
        <f t="shared" si="169"/>
        <v>0</v>
      </c>
      <c r="BG114" s="122" t="e">
        <f t="shared" si="170"/>
        <v>#DIV/0!</v>
      </c>
      <c r="BH114" s="111" t="e">
        <f t="shared" si="170"/>
        <v>#DIV/0!</v>
      </c>
      <c r="BI114" s="111" t="e">
        <f t="shared" si="165"/>
        <v>#DIV/0!</v>
      </c>
      <c r="BJ114" s="111" t="e">
        <f t="shared" si="165"/>
        <v>#DIV/0!</v>
      </c>
      <c r="BK114" s="111" t="e">
        <f t="shared" si="165"/>
        <v>#DIV/0!</v>
      </c>
      <c r="BL114" s="111" t="e">
        <f t="shared" si="165"/>
        <v>#DIV/0!</v>
      </c>
      <c r="BM114" s="18"/>
      <c r="BN114" s="18"/>
      <c r="BO114" s="18"/>
      <c r="BP114" s="18"/>
      <c r="BQ114" s="18"/>
      <c r="BR114" s="18"/>
      <c r="BS114" s="111" t="e">
        <f t="shared" si="171"/>
        <v>#DIV/0!</v>
      </c>
      <c r="BT114" s="111" t="e">
        <f t="shared" si="172"/>
        <v>#DIV/0!</v>
      </c>
      <c r="BU114" s="18"/>
      <c r="BV114" s="18"/>
      <c r="BW114" s="111" t="e">
        <f t="shared" si="166"/>
        <v>#DIV/0!</v>
      </c>
    </row>
    <row r="115" spans="2:75" s="20" customFormat="1" hidden="1" outlineLevel="1" x14ac:dyDescent="0.25">
      <c r="B115" s="135" t="s">
        <v>136</v>
      </c>
      <c r="C115" s="6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 s="18"/>
      <c r="AB115" s="18"/>
      <c r="AC115" s="18"/>
      <c r="AD115" s="18"/>
      <c r="AE115" s="18"/>
      <c r="AF115" s="18"/>
      <c r="AG115" s="22"/>
      <c r="AH115" s="22"/>
      <c r="AI115" s="22"/>
      <c r="AJ115" s="22"/>
      <c r="AK115" s="31"/>
      <c r="AL115" s="31"/>
      <c r="AM115" s="31"/>
      <c r="AN115" s="31"/>
      <c r="AO115" s="31"/>
      <c r="AP115" s="6"/>
      <c r="AQ115" s="6">
        <f>[17]MP!$Z$46</f>
        <v>799</v>
      </c>
      <c r="AR115" s="22">
        <f>[18]MP!$Z$41</f>
        <v>902</v>
      </c>
      <c r="AS115" s="22">
        <f>[19]MP!Z46</f>
        <v>1130</v>
      </c>
      <c r="AT115" s="22">
        <f>[20]MP!$Z$41</f>
        <v>1301</v>
      </c>
      <c r="AU115" s="22">
        <f>[21]MP!$Z$41</f>
        <v>1550</v>
      </c>
      <c r="BB115" s="22"/>
      <c r="BC115" s="18">
        <f t="shared" si="168"/>
        <v>1550</v>
      </c>
      <c r="BD115" s="18"/>
      <c r="BE115" s="18"/>
      <c r="BF115" s="22"/>
      <c r="BG115" s="122"/>
      <c r="BH115" s="111"/>
      <c r="BI115" s="111"/>
      <c r="BJ115" s="111"/>
      <c r="BK115" s="111"/>
      <c r="BL115" s="111"/>
      <c r="BM115" s="18"/>
      <c r="BN115" s="18"/>
      <c r="BO115" s="18"/>
      <c r="BP115" s="18"/>
      <c r="BQ115" s="18"/>
      <c r="BR115" s="18"/>
      <c r="BS115" s="111"/>
      <c r="BT115" s="111"/>
      <c r="BU115" s="18"/>
      <c r="BV115" s="18"/>
      <c r="BW115" s="111"/>
    </row>
    <row r="116" spans="2:75" s="19" customFormat="1" hidden="1" outlineLevel="1" x14ac:dyDescent="0.25">
      <c r="B116" s="1" t="s">
        <v>137</v>
      </c>
      <c r="C116" s="7">
        <f t="shared" ref="C116:Z116" si="173">SUM(C109:C114)</f>
        <v>0</v>
      </c>
      <c r="D116" s="7">
        <f t="shared" si="173"/>
        <v>0</v>
      </c>
      <c r="E116" s="7">
        <f t="shared" si="173"/>
        <v>0</v>
      </c>
      <c r="F116" s="7">
        <f t="shared" si="173"/>
        <v>0</v>
      </c>
      <c r="G116" s="7">
        <f t="shared" si="173"/>
        <v>0</v>
      </c>
      <c r="H116" s="7">
        <f t="shared" si="173"/>
        <v>0</v>
      </c>
      <c r="I116" s="7">
        <f t="shared" si="173"/>
        <v>0</v>
      </c>
      <c r="J116" s="7">
        <f t="shared" si="173"/>
        <v>0</v>
      </c>
      <c r="K116" s="7">
        <f t="shared" si="173"/>
        <v>0</v>
      </c>
      <c r="L116" s="7">
        <f t="shared" si="173"/>
        <v>0</v>
      </c>
      <c r="M116" s="7">
        <f t="shared" si="173"/>
        <v>0</v>
      </c>
      <c r="N116" s="7">
        <f t="shared" si="173"/>
        <v>0</v>
      </c>
      <c r="O116" s="7">
        <f t="shared" si="173"/>
        <v>0</v>
      </c>
      <c r="P116" s="7">
        <f t="shared" si="173"/>
        <v>0</v>
      </c>
      <c r="Q116" s="7">
        <f t="shared" si="173"/>
        <v>0</v>
      </c>
      <c r="R116" s="7">
        <f t="shared" si="173"/>
        <v>0</v>
      </c>
      <c r="S116" s="7">
        <f t="shared" si="173"/>
        <v>0</v>
      </c>
      <c r="T116" s="7">
        <f t="shared" si="173"/>
        <v>0</v>
      </c>
      <c r="U116" s="7">
        <f t="shared" si="173"/>
        <v>0</v>
      </c>
      <c r="V116" s="7">
        <f t="shared" si="173"/>
        <v>0</v>
      </c>
      <c r="W116" s="7">
        <f t="shared" si="173"/>
        <v>0</v>
      </c>
      <c r="X116" s="7">
        <f t="shared" si="173"/>
        <v>0</v>
      </c>
      <c r="Y116" s="7">
        <f t="shared" si="173"/>
        <v>0</v>
      </c>
      <c r="Z116" s="7">
        <f t="shared" si="173"/>
        <v>0</v>
      </c>
      <c r="AA116" s="17">
        <f t="shared" ref="AA116" si="174">INDEX($O116:$Z116,$B$3)</f>
        <v>0</v>
      </c>
      <c r="AB116" s="17">
        <f t="shared" ref="AB116" si="175">Q116</f>
        <v>0</v>
      </c>
      <c r="AC116" s="17">
        <f t="shared" ref="AC116" si="176">T116</f>
        <v>0</v>
      </c>
      <c r="AD116" s="17">
        <f t="shared" ref="AD116" si="177">W116</f>
        <v>0</v>
      </c>
      <c r="AE116" s="17">
        <f t="shared" ref="AE116" si="178">Z116</f>
        <v>0</v>
      </c>
      <c r="AF116" s="17">
        <f t="shared" ref="AF116" si="179">INDEX($C116:$N116,$B$3)</f>
        <v>0</v>
      </c>
      <c r="AG116" s="27">
        <f t="shared" ref="AG116" si="180">E116</f>
        <v>0</v>
      </c>
      <c r="AH116" s="27">
        <f t="shared" ref="AH116" si="181">H116</f>
        <v>0</v>
      </c>
      <c r="AI116" s="27">
        <f t="shared" ref="AI116" si="182">K116</f>
        <v>0</v>
      </c>
      <c r="AJ116" s="27">
        <f t="shared" ref="AJ116" si="183">N116</f>
        <v>0</v>
      </c>
      <c r="AK116" s="32" t="e">
        <f t="shared" ref="AK116" si="184">AA116/AF116-1</f>
        <v>#DIV/0!</v>
      </c>
      <c r="AL116" s="32" t="e">
        <f t="shared" ref="AL116:AO116" si="185">AB116/AG116-1</f>
        <v>#DIV/0!</v>
      </c>
      <c r="AM116" s="32" t="e">
        <f t="shared" si="185"/>
        <v>#DIV/0!</v>
      </c>
      <c r="AN116" s="32" t="e">
        <f t="shared" si="185"/>
        <v>#DIV/0!</v>
      </c>
      <c r="AO116" s="32" t="e">
        <f t="shared" si="185"/>
        <v>#DIV/0!</v>
      </c>
      <c r="AP116" s="7">
        <f t="shared" ref="AP116:AU116" si="186">SUM(AP109:AP114)</f>
        <v>3220</v>
      </c>
      <c r="AQ116" s="7">
        <f t="shared" si="186"/>
        <v>2564</v>
      </c>
      <c r="AR116" s="7">
        <f t="shared" si="186"/>
        <v>2534</v>
      </c>
      <c r="AS116" s="7">
        <f t="shared" si="186"/>
        <v>2327</v>
      </c>
      <c r="AT116" s="7">
        <f t="shared" si="186"/>
        <v>2436</v>
      </c>
      <c r="AU116" s="7">
        <f t="shared" si="186"/>
        <v>2491</v>
      </c>
      <c r="BB116" s="114">
        <f t="shared" ref="BB116:BF116" si="187">SUM(BB109:BB114)</f>
        <v>2534</v>
      </c>
      <c r="BC116" s="114">
        <f t="shared" si="187"/>
        <v>2491</v>
      </c>
      <c r="BD116" s="114">
        <f t="shared" si="187"/>
        <v>0</v>
      </c>
      <c r="BE116" s="114">
        <f t="shared" si="187"/>
        <v>0</v>
      </c>
      <c r="BF116" s="114">
        <f t="shared" si="187"/>
        <v>0</v>
      </c>
      <c r="BG116" s="123" t="e">
        <f t="shared" si="170"/>
        <v>#DIV/0!</v>
      </c>
      <c r="BH116" s="118" t="e">
        <f t="shared" si="170"/>
        <v>#DIV/0!</v>
      </c>
      <c r="BI116" s="118" t="e">
        <f t="shared" si="170"/>
        <v>#DIV/0!</v>
      </c>
      <c r="BJ116" s="118" t="e">
        <f t="shared" si="170"/>
        <v>#DIV/0!</v>
      </c>
      <c r="BK116" s="118" t="e">
        <f t="shared" si="170"/>
        <v>#DIV/0!</v>
      </c>
      <c r="BL116" s="118" t="e">
        <f t="shared" si="170"/>
        <v>#DIV/0!</v>
      </c>
      <c r="BM116" s="37"/>
      <c r="BN116" s="37"/>
      <c r="BO116" s="37"/>
      <c r="BP116" s="37"/>
      <c r="BQ116" s="37"/>
      <c r="BR116" s="37"/>
      <c r="BS116" s="118" t="e">
        <f t="shared" si="171"/>
        <v>#DIV/0!</v>
      </c>
      <c r="BT116" s="111" t="e">
        <f t="shared" si="172"/>
        <v>#DIV/0!</v>
      </c>
      <c r="BU116" s="37"/>
      <c r="BV116" s="37"/>
      <c r="BW116" s="118" t="e">
        <f t="shared" si="166"/>
        <v>#DIV/0!</v>
      </c>
    </row>
    <row r="117" spans="2:75" hidden="1" outlineLevel="1" x14ac:dyDescent="0.25">
      <c r="U117">
        <f>SUM(U111:U114)</f>
        <v>0</v>
      </c>
      <c r="V117">
        <f t="shared" ref="V117:W117" si="188">SUM(V111:V114)</f>
        <v>0</v>
      </c>
      <c r="W117">
        <f t="shared" si="188"/>
        <v>0</v>
      </c>
      <c r="BG117" s="124"/>
    </row>
    <row r="118" spans="2:75" hidden="1" outlineLevel="1" x14ac:dyDescent="0.25">
      <c r="BG118" s="124"/>
    </row>
    <row r="119" spans="2:75" s="20" customFormat="1" hidden="1" outlineLevel="1" x14ac:dyDescent="0.25">
      <c r="B119" s="2" t="s">
        <v>15</v>
      </c>
      <c r="C119" s="3">
        <v>42005</v>
      </c>
      <c r="D119" s="3">
        <v>42036</v>
      </c>
      <c r="E119" s="3">
        <v>42064</v>
      </c>
      <c r="F119" s="3">
        <v>42095</v>
      </c>
      <c r="G119" s="3">
        <v>42125</v>
      </c>
      <c r="H119" s="3">
        <v>42156</v>
      </c>
      <c r="I119" s="3">
        <v>42186</v>
      </c>
      <c r="J119" s="3">
        <v>42217</v>
      </c>
      <c r="K119" s="3">
        <v>42248</v>
      </c>
      <c r="L119" s="3">
        <v>42278</v>
      </c>
      <c r="M119" s="3">
        <v>42309</v>
      </c>
      <c r="N119" s="3">
        <v>42339</v>
      </c>
      <c r="O119" s="3">
        <v>42370</v>
      </c>
      <c r="P119" s="3">
        <v>42401</v>
      </c>
      <c r="Q119" s="3">
        <v>42430</v>
      </c>
      <c r="R119" s="3">
        <v>42461</v>
      </c>
      <c r="S119" s="3">
        <v>42491</v>
      </c>
      <c r="T119" s="3">
        <v>42522</v>
      </c>
      <c r="U119" s="3">
        <v>42552</v>
      </c>
      <c r="V119" s="3">
        <v>42583</v>
      </c>
      <c r="W119" s="3">
        <v>42614</v>
      </c>
      <c r="X119" s="3">
        <v>42644</v>
      </c>
      <c r="Y119" s="3">
        <v>42675</v>
      </c>
      <c r="Z119" s="3">
        <v>42705</v>
      </c>
      <c r="AA119" s="29" t="s">
        <v>138</v>
      </c>
      <c r="AB119" s="29" t="s">
        <v>19</v>
      </c>
      <c r="AC119" s="29" t="s">
        <v>20</v>
      </c>
      <c r="AD119" s="29" t="s">
        <v>21</v>
      </c>
      <c r="AE119" s="29" t="s">
        <v>22</v>
      </c>
      <c r="AF119" s="26" t="str">
        <f t="shared" ref="AF119:AJ119" si="189">AF108</f>
        <v>YTD /15</v>
      </c>
      <c r="AG119" s="26" t="str">
        <f t="shared" si="189"/>
        <v>Q1 '15</v>
      </c>
      <c r="AH119" s="26" t="str">
        <f t="shared" si="189"/>
        <v>Q2 '15</v>
      </c>
      <c r="AI119" s="26" t="str">
        <f t="shared" si="189"/>
        <v>Q3 '15</v>
      </c>
      <c r="AJ119" s="26" t="str">
        <f t="shared" si="189"/>
        <v>Q4 '15</v>
      </c>
      <c r="AK119" s="30" t="s">
        <v>27</v>
      </c>
      <c r="AL119" s="30" t="s">
        <v>29</v>
      </c>
      <c r="AM119" s="30" t="s">
        <v>30</v>
      </c>
      <c r="AN119" s="30" t="s">
        <v>31</v>
      </c>
      <c r="AO119" s="30" t="s">
        <v>32</v>
      </c>
      <c r="AP119" s="108">
        <v>42736</v>
      </c>
      <c r="AQ119" s="108">
        <v>42767</v>
      </c>
      <c r="AR119" s="108">
        <v>42795</v>
      </c>
      <c r="AS119" s="108">
        <v>42826</v>
      </c>
      <c r="AT119" s="108">
        <v>42856</v>
      </c>
      <c r="AU119" s="108">
        <v>42887</v>
      </c>
      <c r="AV119" s="108">
        <v>42917</v>
      </c>
      <c r="AW119" s="108">
        <v>42948</v>
      </c>
      <c r="AX119" s="108">
        <v>42979</v>
      </c>
      <c r="AY119" s="108">
        <v>43009</v>
      </c>
      <c r="AZ119" s="108">
        <v>43040</v>
      </c>
      <c r="BA119" s="108">
        <v>43070</v>
      </c>
      <c r="BB119" s="29" t="s">
        <v>123</v>
      </c>
      <c r="BC119" s="29" t="s">
        <v>124</v>
      </c>
      <c r="BD119" s="29" t="s">
        <v>125</v>
      </c>
      <c r="BE119" s="29" t="s">
        <v>126</v>
      </c>
      <c r="BF119" s="29" t="str">
        <f>$BF$4</f>
        <v>YTD 7/17</v>
      </c>
      <c r="BG119" s="121">
        <v>42736</v>
      </c>
      <c r="BH119" s="108">
        <v>42767</v>
      </c>
      <c r="BI119" s="108">
        <v>42795</v>
      </c>
      <c r="BJ119" s="108">
        <v>42826</v>
      </c>
      <c r="BK119" s="108">
        <v>42856</v>
      </c>
      <c r="BL119" s="108">
        <v>42887</v>
      </c>
      <c r="BM119" s="108">
        <v>42917</v>
      </c>
      <c r="BN119" s="108">
        <v>42948</v>
      </c>
      <c r="BO119" s="108">
        <v>42979</v>
      </c>
      <c r="BP119" s="108">
        <v>43009</v>
      </c>
      <c r="BQ119" s="108">
        <v>43040</v>
      </c>
      <c r="BR119" s="108">
        <v>43070</v>
      </c>
      <c r="BS119" s="29" t="s">
        <v>127</v>
      </c>
      <c r="BT119" s="29" t="s">
        <v>128</v>
      </c>
      <c r="BU119" s="29" t="s">
        <v>96</v>
      </c>
      <c r="BV119" s="29" t="s">
        <v>129</v>
      </c>
      <c r="BW119" s="112" t="s">
        <v>130</v>
      </c>
    </row>
    <row r="120" spans="2:75" s="20" customFormat="1" hidden="1" outlineLevel="1" x14ac:dyDescent="0.25">
      <c r="B120" t="s">
        <v>17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31"/>
      <c r="AL120" s="31"/>
      <c r="AM120" s="31"/>
      <c r="AN120" s="31"/>
      <c r="AO120" s="31"/>
      <c r="AP120" s="113">
        <f>[16]Recruit!$J$47</f>
        <v>150</v>
      </c>
      <c r="AQ120" s="113">
        <f>[17]Recruit!$J$49</f>
        <v>323</v>
      </c>
      <c r="AR120" s="113">
        <f>[18]Recruit!$J$47</f>
        <v>328</v>
      </c>
      <c r="AS120" s="113">
        <f>[19]Recruit!$J$48</f>
        <v>272</v>
      </c>
      <c r="AT120" s="113">
        <f>[20]Recruit!$J$48</f>
        <v>334</v>
      </c>
      <c r="AU120" s="113">
        <f>[21]Recruit!$J$49</f>
        <v>392</v>
      </c>
      <c r="AV120" s="113"/>
      <c r="AW120" s="113"/>
      <c r="AX120" s="113"/>
      <c r="AY120" s="113"/>
      <c r="AZ120" s="113"/>
      <c r="BA120" s="113"/>
      <c r="BB120" s="113">
        <f>SUM(AP120:INDEX(AP120:AR120,IF($B$3&lt;3,$B$3,3)))</f>
        <v>801</v>
      </c>
      <c r="BC120" s="113" t="e">
        <f>SUM(AS120:INDEX(AS120:AU120,IF(AND($B$3&gt;3,B118&lt;7),$B$3-3,0)))</f>
        <v>#REF!</v>
      </c>
      <c r="BD120" s="113">
        <f>SUM(AV120:INDEX(AV120:AX120,IF(AND($B$3&gt;6,$B$3&lt;10),$B$3-6,0)))</f>
        <v>0</v>
      </c>
      <c r="BE120" s="113">
        <f>SUM(AY120:INDEX(AY120:BA120,IF($B$3&gt;9,$B$3-9,0)))</f>
        <v>0</v>
      </c>
      <c r="BF120" s="113">
        <f>SUM($AP120:INDEX(AP120:BA120,$B$3))</f>
        <v>1799</v>
      </c>
      <c r="BG120" s="122">
        <f>IFERROR(AP120/O120,0)</f>
        <v>0</v>
      </c>
      <c r="BH120" s="111">
        <f t="shared" ref="BH120:BR125" si="190">IFERROR(AQ120/P120,0)</f>
        <v>0</v>
      </c>
      <c r="BI120" s="111">
        <f t="shared" si="190"/>
        <v>0</v>
      </c>
      <c r="BJ120" s="111">
        <f t="shared" si="190"/>
        <v>0</v>
      </c>
      <c r="BK120" s="111">
        <f t="shared" si="190"/>
        <v>0</v>
      </c>
      <c r="BL120" s="111">
        <f t="shared" si="190"/>
        <v>0</v>
      </c>
      <c r="BM120" s="111">
        <f t="shared" si="190"/>
        <v>0</v>
      </c>
      <c r="BN120" s="111">
        <f t="shared" si="190"/>
        <v>0</v>
      </c>
      <c r="BO120" s="111">
        <f t="shared" si="190"/>
        <v>0</v>
      </c>
      <c r="BP120" s="111">
        <f t="shared" si="190"/>
        <v>0</v>
      </c>
      <c r="BQ120" s="111">
        <f t="shared" si="190"/>
        <v>0</v>
      </c>
      <c r="BR120" s="111">
        <f t="shared" si="190"/>
        <v>0</v>
      </c>
      <c r="BS120" s="111">
        <f>IFERROR(BB120/SUM(O120:INDEX(O120:Q120,IF($B$3&lt;3,$B$3,3))),0)</f>
        <v>0</v>
      </c>
      <c r="BT120" s="111">
        <f>IFERROR(BC120/SUM(R120:INDEX(R120:T120,IF($C$3&lt;3,$C$3,3))),0)</f>
        <v>0</v>
      </c>
      <c r="BU120" s="111">
        <f>IFERROR(BD120/SUM(U120:INDEX(U120:W120,IF($B$3&lt;3,$B$3,3))),0)</f>
        <v>0</v>
      </c>
      <c r="BV120" s="111">
        <f>IFERROR(BE120/SUM(X120:INDEX(X120:Z120,IF($B$3&lt;3,$B$3,3))),0)</f>
        <v>0</v>
      </c>
      <c r="BW120" s="111">
        <f>IFERROR(BF120/AA120,0)</f>
        <v>0</v>
      </c>
    </row>
    <row r="121" spans="2:75" s="20" customFormat="1" hidden="1" outlineLevel="1" x14ac:dyDescent="0.25">
      <c r="B121" t="s">
        <v>34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31"/>
      <c r="AL121" s="31"/>
      <c r="AM121" s="31"/>
      <c r="AN121" s="31"/>
      <c r="AO121" s="31"/>
      <c r="AP121" s="113"/>
      <c r="AQ121" s="113"/>
      <c r="AR121" s="113"/>
      <c r="AS121" s="113"/>
      <c r="AT121" s="113"/>
      <c r="AU121" s="113"/>
      <c r="AV121" s="113"/>
      <c r="AW121" s="113"/>
      <c r="AX121" s="113"/>
      <c r="AY121" s="113"/>
      <c r="AZ121" s="113"/>
      <c r="BA121" s="113"/>
      <c r="BB121" s="113">
        <f>SUM(AP121:INDEX(AP121:AR121,IF($B$3&lt;3,$B$3,3)))</f>
        <v>0</v>
      </c>
      <c r="BC121" s="113">
        <f>SUM(AS121:INDEX(AS121:AU121,IF(AND($B$3&gt;3,B119&lt;7),$B$3-3,0)))</f>
        <v>0</v>
      </c>
      <c r="BD121" s="113">
        <f>SUM(AV121:INDEX(AV121:AX121,IF(AND($B$3&gt;6,$B$3&lt;10),$B$3-6,0)))</f>
        <v>0</v>
      </c>
      <c r="BE121" s="113">
        <f>SUM(AY121:INDEX(AY121:BA121,IF($B$3&gt;9,$B$3-9,0)))</f>
        <v>0</v>
      </c>
      <c r="BF121" s="113">
        <f>SUM($AP121:INDEX(AP121:BA121,$B$3))</f>
        <v>0</v>
      </c>
      <c r="BG121" s="122">
        <f t="shared" ref="BG121:BG125" si="191">IFERROR(AP121/O121,0)</f>
        <v>0</v>
      </c>
      <c r="BH121" s="111">
        <f t="shared" si="190"/>
        <v>0</v>
      </c>
      <c r="BI121" s="111">
        <f t="shared" si="190"/>
        <v>0</v>
      </c>
      <c r="BJ121" s="111">
        <f t="shared" si="190"/>
        <v>0</v>
      </c>
      <c r="BK121" s="111">
        <f t="shared" si="190"/>
        <v>0</v>
      </c>
      <c r="BL121" s="111">
        <f t="shared" si="190"/>
        <v>0</v>
      </c>
      <c r="BM121" s="111">
        <f t="shared" si="190"/>
        <v>0</v>
      </c>
      <c r="BN121" s="111">
        <f t="shared" si="190"/>
        <v>0</v>
      </c>
      <c r="BO121" s="111">
        <f t="shared" si="190"/>
        <v>0</v>
      </c>
      <c r="BP121" s="111">
        <f t="shared" si="190"/>
        <v>0</v>
      </c>
      <c r="BQ121" s="111">
        <f t="shared" si="190"/>
        <v>0</v>
      </c>
      <c r="BR121" s="111">
        <f t="shared" si="190"/>
        <v>0</v>
      </c>
      <c r="BS121" s="111">
        <f>IFERROR(BB121/SUM(O121:INDEX(O121:Q121,IF($B$3&lt;3,$B$3,3))),0)</f>
        <v>0</v>
      </c>
      <c r="BT121" s="111">
        <f>IFERROR(BC121/SUM(R121:INDEX(R121:T121,IF($C$3&lt;3,$C$3,3))),0)</f>
        <v>0</v>
      </c>
      <c r="BU121" s="111">
        <f>IFERROR(BD121/SUM(U121:INDEX(U121:W121,IF($B$3&lt;3,$B$3,3))),0)</f>
        <v>0</v>
      </c>
      <c r="BV121" s="111">
        <f>IFERROR(BE121/SUM(X121:INDEX(X121:Z121,IF($B$3&lt;3,$B$3,3))),0)</f>
        <v>0</v>
      </c>
      <c r="BW121" s="111">
        <f t="shared" ref="BW121:BW126" si="192">IFERROR(BF121/AA121,0)</f>
        <v>0</v>
      </c>
    </row>
    <row r="122" spans="2:75" s="20" customFormat="1" hidden="1" outlineLevel="1" x14ac:dyDescent="0.25">
      <c r="B122" t="s">
        <v>35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31"/>
      <c r="AL122" s="31"/>
      <c r="AM122" s="31"/>
      <c r="AN122" s="31"/>
      <c r="AO122" s="31"/>
      <c r="AP122" s="113">
        <f>[16]Recruit!$J$51</f>
        <v>21</v>
      </c>
      <c r="AQ122" s="113">
        <f>[17]Recruit!$J$53</f>
        <v>41</v>
      </c>
      <c r="AR122" s="113">
        <f>[18]Recruit!$J$50</f>
        <v>13</v>
      </c>
      <c r="AS122" s="113">
        <f>[19]Recruit!$J$52</f>
        <v>14</v>
      </c>
      <c r="AT122" s="113">
        <f>[20]Recruit!$J$52</f>
        <v>10</v>
      </c>
      <c r="AU122" s="113">
        <f>[21]Recruit!$J$53</f>
        <v>15</v>
      </c>
      <c r="AV122" s="113"/>
      <c r="AW122" s="113"/>
      <c r="AX122" s="113"/>
      <c r="AY122" s="113"/>
      <c r="AZ122" s="113"/>
      <c r="BA122" s="113"/>
      <c r="BB122" s="113">
        <f>SUM(AP122:INDEX(AP122:AR122,IF($B$3&lt;3,$B$3,3)))</f>
        <v>75</v>
      </c>
      <c r="BC122" s="113">
        <f>SUM(AS122:INDEX(AS122:AU122,IF(AND($B$3&gt;3,B120&lt;7),$B$3-3,0)))</f>
        <v>39</v>
      </c>
      <c r="BD122" s="113">
        <f>SUM(AV122:INDEX(AV122:AX122,IF(AND($B$3&gt;6,$B$3&lt;10),$B$3-6,0)))</f>
        <v>0</v>
      </c>
      <c r="BE122" s="113">
        <f>SUM(AY122:INDEX(AY122:BA122,IF($B$3&gt;9,$B$3-9,0)))</f>
        <v>0</v>
      </c>
      <c r="BF122" s="113">
        <f>SUM($AP122:INDEX(AP122:BA122,$B$3))</f>
        <v>114</v>
      </c>
      <c r="BG122" s="122">
        <f t="shared" si="191"/>
        <v>0</v>
      </c>
      <c r="BH122" s="111">
        <f t="shared" si="190"/>
        <v>0</v>
      </c>
      <c r="BI122" s="111">
        <f t="shared" si="190"/>
        <v>0</v>
      </c>
      <c r="BJ122" s="111">
        <f>IFERROR(AS122/R122,0)</f>
        <v>0</v>
      </c>
      <c r="BK122" s="111">
        <f t="shared" si="190"/>
        <v>0</v>
      </c>
      <c r="BL122" s="111">
        <f t="shared" si="190"/>
        <v>0</v>
      </c>
      <c r="BM122" s="111">
        <f t="shared" si="190"/>
        <v>0</v>
      </c>
      <c r="BN122" s="111">
        <f t="shared" si="190"/>
        <v>0</v>
      </c>
      <c r="BO122" s="111">
        <f t="shared" si="190"/>
        <v>0</v>
      </c>
      <c r="BP122" s="111">
        <f t="shared" si="190"/>
        <v>0</v>
      </c>
      <c r="BQ122" s="111">
        <f t="shared" si="190"/>
        <v>0</v>
      </c>
      <c r="BR122" s="111">
        <f t="shared" si="190"/>
        <v>0</v>
      </c>
      <c r="BS122" s="111">
        <f>IFERROR(BB122/SUM(O122:INDEX(O122:Q122,IF($B$3&lt;3,$B$3,3))),0)</f>
        <v>0</v>
      </c>
      <c r="BT122" s="111">
        <f>IFERROR(BC122/SUM(R122:INDEX(R122:T122,IF($C$3&lt;3,$C$3,3))),0)</f>
        <v>0</v>
      </c>
      <c r="BU122" s="111">
        <f>IFERROR(BD122/SUM(U122:INDEX(U122:W122,IF($B$3&lt;3,$B$3,3))),0)</f>
        <v>0</v>
      </c>
      <c r="BV122" s="111">
        <f>IFERROR(BE122/SUM(X122:INDEX(X122:Z122,IF($B$3&lt;3,$B$3,3))),0)</f>
        <v>0</v>
      </c>
      <c r="BW122" s="111">
        <f t="shared" si="192"/>
        <v>0</v>
      </c>
    </row>
    <row r="123" spans="2:75" s="20" customFormat="1" hidden="1" outlineLevel="1" x14ac:dyDescent="0.25">
      <c r="B123" t="s">
        <v>36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31"/>
      <c r="AL123" s="31"/>
      <c r="AM123" s="31"/>
      <c r="AN123" s="31"/>
      <c r="AO123" s="31"/>
      <c r="AP123" s="113">
        <f>[16]Recruit!$J$50</f>
        <v>12</v>
      </c>
      <c r="AQ123" s="113">
        <f>[17]Recruit!$J$52</f>
        <v>10</v>
      </c>
      <c r="AR123" s="113">
        <f>[18]Recruit!$J$49</f>
        <v>5</v>
      </c>
      <c r="AS123" s="113">
        <f>[19]Recruit!$J$51</f>
        <v>3</v>
      </c>
      <c r="AT123" s="113">
        <f>[20]Recruit!$J$51</f>
        <v>5</v>
      </c>
      <c r="AU123" s="113">
        <f>[21]Recruit!$J$52</f>
        <v>3</v>
      </c>
      <c r="AV123" s="113"/>
      <c r="AW123" s="113"/>
      <c r="AX123" s="113"/>
      <c r="AY123" s="113"/>
      <c r="AZ123" s="113"/>
      <c r="BA123" s="113"/>
      <c r="BB123" s="113">
        <f>SUM(AP123:INDEX(AP123:AR123,IF($B$3&lt;3,$B$3,3)))</f>
        <v>27</v>
      </c>
      <c r="BC123" s="113">
        <f>SUM(AS123:INDEX(AS123:AU123,IF(AND($B$3&gt;3,B121&lt;7),$B$3-3,0)))</f>
        <v>11</v>
      </c>
      <c r="BD123" s="113">
        <f>SUM(AV123:INDEX(AV123:AX123,IF(AND($B$3&gt;6,$B$3&lt;10),$B$3-6,0)))</f>
        <v>0</v>
      </c>
      <c r="BE123" s="113">
        <f>SUM(AY123:INDEX(AY123:BA123,IF($B$3&gt;9,$B$3-9,0)))</f>
        <v>0</v>
      </c>
      <c r="BF123" s="113">
        <f>SUM($AP123:INDEX(AP123:BA123,$B$3))</f>
        <v>38</v>
      </c>
      <c r="BG123" s="122">
        <f t="shared" si="191"/>
        <v>0</v>
      </c>
      <c r="BH123" s="111">
        <f t="shared" si="190"/>
        <v>0</v>
      </c>
      <c r="BI123" s="111">
        <f t="shared" si="190"/>
        <v>0</v>
      </c>
      <c r="BJ123" s="111">
        <f>IFERROR(AS123/R123,0)</f>
        <v>0</v>
      </c>
      <c r="BK123" s="111">
        <f t="shared" si="190"/>
        <v>0</v>
      </c>
      <c r="BL123" s="111">
        <f t="shared" si="190"/>
        <v>0</v>
      </c>
      <c r="BM123" s="111">
        <f t="shared" si="190"/>
        <v>0</v>
      </c>
      <c r="BN123" s="111">
        <f t="shared" si="190"/>
        <v>0</v>
      </c>
      <c r="BO123" s="111">
        <f t="shared" si="190"/>
        <v>0</v>
      </c>
      <c r="BP123" s="111">
        <f t="shared" si="190"/>
        <v>0</v>
      </c>
      <c r="BQ123" s="111">
        <f t="shared" si="190"/>
        <v>0</v>
      </c>
      <c r="BR123" s="111">
        <f t="shared" si="190"/>
        <v>0</v>
      </c>
      <c r="BS123" s="111">
        <f>IFERROR(BB123/SUM(O123:INDEX(O123:Q123,IF($B$3&lt;3,$B$3,3))),0)</f>
        <v>0</v>
      </c>
      <c r="BT123" s="111">
        <f>IFERROR(BC123/SUM(R123:INDEX(R123:T123,IF($C$3&lt;3,$C$3,3))),0)</f>
        <v>0</v>
      </c>
      <c r="BU123" s="111">
        <f>IFERROR(BD123/SUM(U123:INDEX(U123:W123,IF($B$3&lt;3,$B$3,3))),0)</f>
        <v>0</v>
      </c>
      <c r="BV123" s="111">
        <f>IFERROR(BE123/SUM(X123:INDEX(X123:Z123,IF($B$3&lt;3,$B$3,3))),0)</f>
        <v>0</v>
      </c>
      <c r="BW123" s="111">
        <f t="shared" si="192"/>
        <v>0</v>
      </c>
    </row>
    <row r="124" spans="2:75" s="20" customFormat="1" hidden="1" outlineLevel="1" x14ac:dyDescent="0.25">
      <c r="B124" t="s">
        <v>37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31"/>
      <c r="AL124" s="31"/>
      <c r="AM124" s="31"/>
      <c r="AN124" s="31"/>
      <c r="AO124" s="31"/>
      <c r="AP124" s="113">
        <f>[16]Recruit!J48</f>
        <v>3</v>
      </c>
      <c r="AQ124" s="113">
        <f>[17]Recruit!J50</f>
        <v>3</v>
      </c>
      <c r="AR124" s="113">
        <f>[18]Recruit!$J$48</f>
        <v>2</v>
      </c>
      <c r="AS124" s="113">
        <f>[19]Recruit!J49</f>
        <v>4</v>
      </c>
      <c r="AT124" s="113">
        <f>[20]Recruit!$J$49</f>
        <v>2</v>
      </c>
      <c r="AU124" s="113">
        <f>[21]Recruit!J50</f>
        <v>1</v>
      </c>
      <c r="AV124" s="113"/>
      <c r="AW124" s="113"/>
      <c r="AX124" s="113"/>
      <c r="AY124" s="113"/>
      <c r="AZ124" s="113"/>
      <c r="BA124" s="113"/>
      <c r="BB124" s="113">
        <f>SUM(AP124:INDEX(AP124:AR124,IF($B$3&lt;3,$B$3,3)))</f>
        <v>8</v>
      </c>
      <c r="BC124" s="113">
        <f>SUM(AS124:INDEX(AS124:AU124,IF(AND($B$3&gt;3,B122&lt;7),$B$3-3,0)))</f>
        <v>7</v>
      </c>
      <c r="BD124" s="113">
        <f>SUM(AV124:INDEX(AV124:AX124,IF(AND($B$3&gt;6,$B$3&lt;10),$B$3-6,0)))</f>
        <v>0</v>
      </c>
      <c r="BE124" s="113">
        <f>SUM(AY124:INDEX(AY124:BA124,IF($B$3&gt;9,$B$3-9,0)))</f>
        <v>0</v>
      </c>
      <c r="BF124" s="113">
        <f>SUM($AP124:INDEX(AP124:BA124,$B$3))</f>
        <v>15</v>
      </c>
      <c r="BG124" s="122">
        <f t="shared" si="191"/>
        <v>0</v>
      </c>
      <c r="BH124" s="111">
        <f t="shared" si="190"/>
        <v>0</v>
      </c>
      <c r="BI124" s="111">
        <f t="shared" si="190"/>
        <v>0</v>
      </c>
      <c r="BJ124" s="111">
        <f t="shared" si="190"/>
        <v>0</v>
      </c>
      <c r="BK124" s="111">
        <f t="shared" si="190"/>
        <v>0</v>
      </c>
      <c r="BL124" s="111">
        <f t="shared" si="190"/>
        <v>0</v>
      </c>
      <c r="BM124" s="111">
        <f t="shared" si="190"/>
        <v>0</v>
      </c>
      <c r="BN124" s="111">
        <f t="shared" si="190"/>
        <v>0</v>
      </c>
      <c r="BO124" s="111">
        <f t="shared" si="190"/>
        <v>0</v>
      </c>
      <c r="BP124" s="111">
        <f t="shared" si="190"/>
        <v>0</v>
      </c>
      <c r="BQ124" s="111">
        <f t="shared" si="190"/>
        <v>0</v>
      </c>
      <c r="BR124" s="111">
        <f t="shared" si="190"/>
        <v>0</v>
      </c>
      <c r="BS124" s="111">
        <f>IFERROR(BB124/SUM(O124:INDEX(O124:Q124,IF($B$3&lt;3,$B$3,3))),0)</f>
        <v>0</v>
      </c>
      <c r="BT124" s="111">
        <f>IFERROR(BC124/SUM(R124:INDEX(R124:T124,IF($C$3&lt;3,$C$3,3))),0)</f>
        <v>0</v>
      </c>
      <c r="BU124" s="111">
        <f>IFERROR(BD124/SUM(U124:INDEX(U124:W124,IF($B$3&lt;3,$B$3,3))),0)</f>
        <v>0</v>
      </c>
      <c r="BV124" s="111">
        <f>IFERROR(BE124/SUM(X124:INDEX(X124:Z124,IF($B$3&lt;3,$B$3,3))),0)</f>
        <v>0</v>
      </c>
      <c r="BW124" s="111">
        <f t="shared" si="192"/>
        <v>0</v>
      </c>
    </row>
    <row r="125" spans="2:75" s="20" customFormat="1" hidden="1" outlineLevel="1" x14ac:dyDescent="0.25">
      <c r="B125" t="s">
        <v>38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31"/>
      <c r="AL125" s="31"/>
      <c r="AM125" s="31"/>
      <c r="AN125" s="31"/>
      <c r="AO125" s="31"/>
      <c r="AP125" s="113">
        <f>[16]Recruit!J49</f>
        <v>3</v>
      </c>
      <c r="AQ125" s="113">
        <f>[17]Recruit!J51</f>
        <v>4</v>
      </c>
      <c r="AR125" s="113"/>
      <c r="AS125" s="113">
        <f>[19]Recruit!J50</f>
        <v>1</v>
      </c>
      <c r="AT125" s="113">
        <f>[20]Recruit!$J$50</f>
        <v>1</v>
      </c>
      <c r="AU125" s="113">
        <f>[21]Recruit!J51</f>
        <v>1</v>
      </c>
      <c r="AV125" s="113"/>
      <c r="AW125" s="113"/>
      <c r="AX125" s="113"/>
      <c r="AY125" s="113"/>
      <c r="AZ125" s="113"/>
      <c r="BA125" s="113"/>
      <c r="BB125" s="113">
        <f>SUM(AP125:INDEX(AP125:AR125,IF($B$3&lt;3,$B$3,3)))</f>
        <v>7</v>
      </c>
      <c r="BC125" s="113">
        <f>SUM(AS125:INDEX(AS125:AU125,IF(AND($B$3&gt;3,B123&lt;7),$B$3-3,0)))</f>
        <v>3</v>
      </c>
      <c r="BD125" s="113">
        <f>SUM(AV125:INDEX(AV125:AX125,IF(AND($B$3&gt;6,$B$3&lt;10),$B$3-6,0)))</f>
        <v>0</v>
      </c>
      <c r="BE125" s="113">
        <f>SUM(AY125:INDEX(AY125:BA125,IF($B$3&gt;9,$B$3-9,0)))</f>
        <v>0</v>
      </c>
      <c r="BF125" s="113">
        <f>SUM($AP125:INDEX(AP125:BA125,$B$3))</f>
        <v>10</v>
      </c>
      <c r="BG125" s="122">
        <f t="shared" si="191"/>
        <v>0</v>
      </c>
      <c r="BH125" s="111">
        <f t="shared" si="190"/>
        <v>0</v>
      </c>
      <c r="BI125" s="111">
        <f t="shared" si="190"/>
        <v>0</v>
      </c>
      <c r="BJ125" s="111">
        <f t="shared" si="190"/>
        <v>0</v>
      </c>
      <c r="BK125" s="111">
        <f t="shared" si="190"/>
        <v>0</v>
      </c>
      <c r="BL125" s="111">
        <f t="shared" si="190"/>
        <v>0</v>
      </c>
      <c r="BM125" s="111">
        <f t="shared" si="190"/>
        <v>0</v>
      </c>
      <c r="BN125" s="111">
        <f t="shared" si="190"/>
        <v>0</v>
      </c>
      <c r="BO125" s="111">
        <f t="shared" si="190"/>
        <v>0</v>
      </c>
      <c r="BP125" s="111">
        <f t="shared" si="190"/>
        <v>0</v>
      </c>
      <c r="BQ125" s="111">
        <f t="shared" si="190"/>
        <v>0</v>
      </c>
      <c r="BR125" s="111">
        <f t="shared" si="190"/>
        <v>0</v>
      </c>
      <c r="BS125" s="111">
        <f>IFERROR(BB125/SUM(O125:INDEX(O125:Q125,IF($B$3&lt;3,$B$3,3))),0)</f>
        <v>0</v>
      </c>
      <c r="BT125" s="111">
        <f>IFERROR(BC125/SUM(R125:INDEX(R125:T125,IF($C$3&lt;3,$C$3,3))),0)</f>
        <v>0</v>
      </c>
      <c r="BU125" s="111">
        <f>IFERROR(BD125/SUM(U125:INDEX(U125:W125,IF($B$3&lt;3,$B$3,3))),0)</f>
        <v>0</v>
      </c>
      <c r="BV125" s="111">
        <f>IFERROR(BE125/SUM(X125:INDEX(X125:Z125,IF($B$3&lt;3,$B$3,3))),0)</f>
        <v>0</v>
      </c>
      <c r="BW125" s="111">
        <f t="shared" si="192"/>
        <v>0</v>
      </c>
    </row>
    <row r="126" spans="2:75" s="20" customFormat="1" hidden="1" outlineLevel="1" x14ac:dyDescent="0.25">
      <c r="B126" s="1" t="s">
        <v>3</v>
      </c>
      <c r="C126" s="7">
        <f>SUM(C120:C125)</f>
        <v>0</v>
      </c>
      <c r="D126" s="7">
        <f t="shared" ref="D126:AE126" si="193">SUM(D120:D125)</f>
        <v>0</v>
      </c>
      <c r="E126" s="7">
        <f t="shared" si="193"/>
        <v>0</v>
      </c>
      <c r="F126" s="7">
        <f t="shared" si="193"/>
        <v>0</v>
      </c>
      <c r="G126" s="7">
        <f t="shared" si="193"/>
        <v>0</v>
      </c>
      <c r="H126" s="7">
        <f t="shared" si="193"/>
        <v>0</v>
      </c>
      <c r="I126" s="7">
        <f t="shared" si="193"/>
        <v>0</v>
      </c>
      <c r="J126" s="7">
        <f t="shared" si="193"/>
        <v>0</v>
      </c>
      <c r="K126" s="7">
        <f t="shared" si="193"/>
        <v>0</v>
      </c>
      <c r="L126" s="7">
        <f t="shared" si="193"/>
        <v>0</v>
      </c>
      <c r="M126" s="7">
        <f t="shared" si="193"/>
        <v>0</v>
      </c>
      <c r="N126" s="7">
        <f t="shared" si="193"/>
        <v>0</v>
      </c>
      <c r="O126" s="7">
        <f t="shared" si="193"/>
        <v>0</v>
      </c>
      <c r="P126" s="7">
        <f t="shared" si="193"/>
        <v>0</v>
      </c>
      <c r="Q126" s="7">
        <f t="shared" si="193"/>
        <v>0</v>
      </c>
      <c r="R126" s="7">
        <f t="shared" si="193"/>
        <v>0</v>
      </c>
      <c r="S126" s="7">
        <f t="shared" si="193"/>
        <v>0</v>
      </c>
      <c r="T126" s="7">
        <f t="shared" si="193"/>
        <v>0</v>
      </c>
      <c r="U126" s="7">
        <f t="shared" si="193"/>
        <v>0</v>
      </c>
      <c r="V126" s="7">
        <f t="shared" si="193"/>
        <v>0</v>
      </c>
      <c r="W126" s="7">
        <f t="shared" si="193"/>
        <v>0</v>
      </c>
      <c r="X126" s="7">
        <f t="shared" si="193"/>
        <v>0</v>
      </c>
      <c r="Y126" s="7">
        <f t="shared" si="193"/>
        <v>0</v>
      </c>
      <c r="Z126" s="7">
        <f t="shared" si="193"/>
        <v>0</v>
      </c>
      <c r="AA126" s="7">
        <f t="shared" si="193"/>
        <v>0</v>
      </c>
      <c r="AB126" s="7">
        <f t="shared" si="193"/>
        <v>0</v>
      </c>
      <c r="AC126" s="7">
        <f t="shared" si="193"/>
        <v>0</v>
      </c>
      <c r="AD126" s="7">
        <f t="shared" si="193"/>
        <v>0</v>
      </c>
      <c r="AE126" s="7">
        <f t="shared" si="193"/>
        <v>0</v>
      </c>
      <c r="AF126" s="7">
        <f>SUM(C126                                                                                : INDEX(C126:N126,$B$3))</f>
        <v>0</v>
      </c>
      <c r="AG126" s="7">
        <f t="shared" ref="AG126" si="194">SUM(C126:E126)</f>
        <v>0</v>
      </c>
      <c r="AH126" s="7">
        <f t="shared" ref="AH126" si="195">SUM(F126:H126)</f>
        <v>0</v>
      </c>
      <c r="AI126" s="7">
        <f t="shared" ref="AI126" si="196">SUM(I126:K126)</f>
        <v>0</v>
      </c>
      <c r="AJ126" s="7">
        <f t="shared" ref="AJ126" si="197">SUM(L126:N126)</f>
        <v>0</v>
      </c>
      <c r="AK126" s="32" t="e">
        <f t="shared" ref="AK126" si="198">AA126/AF126-1</f>
        <v>#DIV/0!</v>
      </c>
      <c r="AL126" s="32" t="e">
        <f t="shared" ref="AL126:AO126" si="199">AB126/AG126-1</f>
        <v>#DIV/0!</v>
      </c>
      <c r="AM126" s="32" t="e">
        <f t="shared" si="199"/>
        <v>#DIV/0!</v>
      </c>
      <c r="AN126" s="32" t="e">
        <f t="shared" si="199"/>
        <v>#DIV/0!</v>
      </c>
      <c r="AO126" s="32" t="e">
        <f t="shared" si="199"/>
        <v>#DIV/0!</v>
      </c>
      <c r="AP126" s="113">
        <f t="shared" ref="AP126:AU126" si="200">SUM(AP120:AP125)</f>
        <v>189</v>
      </c>
      <c r="AQ126" s="113">
        <f t="shared" si="200"/>
        <v>381</v>
      </c>
      <c r="AR126" s="113">
        <f t="shared" si="200"/>
        <v>348</v>
      </c>
      <c r="AS126" s="113">
        <f t="shared" si="200"/>
        <v>294</v>
      </c>
      <c r="AT126" s="113">
        <f t="shared" si="200"/>
        <v>352</v>
      </c>
      <c r="AU126" s="113">
        <f t="shared" si="200"/>
        <v>412</v>
      </c>
      <c r="AV126" s="113"/>
      <c r="AW126" s="113"/>
      <c r="AX126" s="113"/>
      <c r="AY126" s="113"/>
      <c r="AZ126" s="113"/>
      <c r="BA126" s="113"/>
      <c r="BB126" s="117">
        <f t="shared" ref="BB126" si="201">SUM(BB120:BB125)</f>
        <v>918</v>
      </c>
      <c r="BC126" s="117">
        <f>SUM(AS126:INDEX(AS126:AU126,IF(AND($B$3&gt;3,B124&lt;7),$B$3-3,0)))</f>
        <v>1058</v>
      </c>
      <c r="BD126" s="117">
        <f>SUM(AV126:INDEX(AV126:AX126,IF(AND($B$3&gt;6,$B$3&lt;10),$B$3-6,0)))</f>
        <v>0</v>
      </c>
      <c r="BE126" s="117">
        <f>SUM(AY126:INDEX(AY126:BA126,IF($B$3&gt;9,$B$3-9,0)))</f>
        <v>0</v>
      </c>
      <c r="BF126" s="117">
        <f>SUM($AP126:INDEX(AP126:BA126,$B$3))</f>
        <v>1976</v>
      </c>
      <c r="BG126" s="123" t="e">
        <f t="shared" ref="BG126:BR126" si="202">AP126/O126</f>
        <v>#DIV/0!</v>
      </c>
      <c r="BH126" s="118" t="e">
        <f t="shared" si="202"/>
        <v>#DIV/0!</v>
      </c>
      <c r="BI126" s="118" t="e">
        <f t="shared" si="202"/>
        <v>#DIV/0!</v>
      </c>
      <c r="BJ126" s="118" t="e">
        <f t="shared" si="202"/>
        <v>#DIV/0!</v>
      </c>
      <c r="BK126" s="118" t="e">
        <f t="shared" si="202"/>
        <v>#DIV/0!</v>
      </c>
      <c r="BL126" s="118" t="e">
        <f t="shared" si="202"/>
        <v>#DIV/0!</v>
      </c>
      <c r="BM126" s="118" t="e">
        <f t="shared" si="202"/>
        <v>#DIV/0!</v>
      </c>
      <c r="BN126" s="118" t="e">
        <f t="shared" si="202"/>
        <v>#DIV/0!</v>
      </c>
      <c r="BO126" s="118" t="e">
        <f t="shared" si="202"/>
        <v>#DIV/0!</v>
      </c>
      <c r="BP126" s="118" t="e">
        <f t="shared" si="202"/>
        <v>#DIV/0!</v>
      </c>
      <c r="BQ126" s="118" t="e">
        <f t="shared" si="202"/>
        <v>#DIV/0!</v>
      </c>
      <c r="BR126" s="118" t="e">
        <f t="shared" si="202"/>
        <v>#DIV/0!</v>
      </c>
      <c r="BS126" s="118">
        <f>IFERROR(BB126/SUM(O126:INDEX(O126:Q126,IF($B$3&lt;3,$B$3,3))),0)</f>
        <v>0</v>
      </c>
      <c r="BT126" s="118">
        <f>IFERROR(BC126/SUM(R126:INDEX(R126:T126,IF($C$3&lt;3,$C$3,3))),0)</f>
        <v>0</v>
      </c>
      <c r="BU126" s="118">
        <f>IFERROR(BD126/SUM(U126:INDEX(U126:W126,IF($B$3&lt;3,$B$3,3))),0)</f>
        <v>0</v>
      </c>
      <c r="BV126" s="118">
        <f>IFERROR(BE126/SUM(X126:INDEX(X126:Z126,IF($B$3&lt;3,$B$3,3))),0)</f>
        <v>0</v>
      </c>
      <c r="BW126" s="118">
        <f t="shared" si="192"/>
        <v>0</v>
      </c>
    </row>
    <row r="127" spans="2:75" hidden="1" outlineLevel="1" x14ac:dyDescent="0.25">
      <c r="BG127" s="124"/>
    </row>
    <row r="128" spans="2:75" hidden="1" outlineLevel="1" x14ac:dyDescent="0.25">
      <c r="BG128" s="124"/>
    </row>
    <row r="129" spans="1:75" s="17" customFormat="1" collapsed="1" x14ac:dyDescent="0.25">
      <c r="B129" s="2" t="s">
        <v>121</v>
      </c>
      <c r="C129" s="3">
        <f>'Agency North'!C130</f>
        <v>42005</v>
      </c>
      <c r="D129" s="3">
        <f>'Agency North'!D130</f>
        <v>42036</v>
      </c>
      <c r="E129" s="3">
        <f>'Agency North'!E130</f>
        <v>42064</v>
      </c>
      <c r="F129" s="3">
        <f>'Agency North'!F130</f>
        <v>42095</v>
      </c>
      <c r="G129" s="3">
        <f>'Agency North'!G130</f>
        <v>42125</v>
      </c>
      <c r="H129" s="3">
        <f>'Agency North'!H130</f>
        <v>42156</v>
      </c>
      <c r="I129" s="3">
        <f>'Agency North'!I130</f>
        <v>42186</v>
      </c>
      <c r="J129" s="3">
        <f>'Agency North'!J130</f>
        <v>42217</v>
      </c>
      <c r="K129" s="3">
        <f>'Agency North'!K130</f>
        <v>42248</v>
      </c>
      <c r="L129" s="3">
        <f>'Agency North'!L130</f>
        <v>42278</v>
      </c>
      <c r="M129" s="3">
        <f>'Agency North'!M130</f>
        <v>42309</v>
      </c>
      <c r="N129" s="3">
        <f>'Agency North'!N130</f>
        <v>42339</v>
      </c>
      <c r="O129" s="3">
        <f>'Agency North'!O130</f>
        <v>42370</v>
      </c>
      <c r="P129" s="3">
        <f>'Agency North'!P130</f>
        <v>42401</v>
      </c>
      <c r="Q129" s="3">
        <f>'Agency North'!Q130</f>
        <v>42430</v>
      </c>
      <c r="R129" s="3">
        <f>'Agency North'!R130</f>
        <v>42461</v>
      </c>
      <c r="S129" s="3">
        <f>'Agency North'!S130</f>
        <v>42491</v>
      </c>
      <c r="T129" s="3">
        <f>'Agency North'!T130</f>
        <v>42522</v>
      </c>
      <c r="U129" s="3">
        <f>'Agency North'!U130</f>
        <v>42552</v>
      </c>
      <c r="V129" s="3">
        <f>'Agency North'!V130</f>
        <v>42583</v>
      </c>
      <c r="W129" s="3">
        <f>'Agency North'!W130</f>
        <v>42614</v>
      </c>
      <c r="X129" s="3">
        <f>'Agency North'!X130</f>
        <v>42644</v>
      </c>
      <c r="Y129" s="3">
        <f>'Agency North'!Y130</f>
        <v>42675</v>
      </c>
      <c r="Z129" s="3">
        <f>'Agency North'!Z130</f>
        <v>42705</v>
      </c>
      <c r="AA129" s="29" t="str">
        <f>"YTD " &amp; B128 &amp;"/16"</f>
        <v>YTD /16</v>
      </c>
      <c r="AB129" s="29" t="s">
        <v>19</v>
      </c>
      <c r="AC129" s="29" t="s">
        <v>20</v>
      </c>
      <c r="AD129" s="29" t="s">
        <v>21</v>
      </c>
      <c r="AE129" s="29" t="s">
        <v>22</v>
      </c>
      <c r="AF129" s="26" t="str">
        <f>"YTD " &amp; B128 &amp;"/15"</f>
        <v>YTD /15</v>
      </c>
      <c r="AG129" s="26" t="s">
        <v>23</v>
      </c>
      <c r="AH129" s="26" t="s">
        <v>24</v>
      </c>
      <c r="AI129" s="26" t="s">
        <v>25</v>
      </c>
      <c r="AJ129" s="26" t="s">
        <v>26</v>
      </c>
      <c r="AK129" s="30" t="s">
        <v>27</v>
      </c>
      <c r="AL129" s="30" t="s">
        <v>29</v>
      </c>
      <c r="AM129" s="30" t="s">
        <v>30</v>
      </c>
      <c r="AN129" s="30" t="s">
        <v>31</v>
      </c>
      <c r="AO129" s="30" t="s">
        <v>32</v>
      </c>
      <c r="AP129" s="108">
        <v>42736</v>
      </c>
      <c r="AQ129" s="108">
        <v>42767</v>
      </c>
      <c r="AR129" s="108">
        <v>42795</v>
      </c>
      <c r="AS129" s="108">
        <v>42826</v>
      </c>
      <c r="AT129" s="108">
        <v>42856</v>
      </c>
      <c r="AU129" s="108">
        <v>42887</v>
      </c>
      <c r="AV129" s="108">
        <v>42917</v>
      </c>
      <c r="AW129" s="108">
        <v>42948</v>
      </c>
      <c r="AX129" s="108">
        <v>42979</v>
      </c>
      <c r="AY129" s="108">
        <v>43009</v>
      </c>
      <c r="AZ129" s="108">
        <v>43040</v>
      </c>
      <c r="BA129" s="108">
        <v>43070</v>
      </c>
      <c r="BB129" s="29" t="s">
        <v>123</v>
      </c>
      <c r="BC129" s="29" t="s">
        <v>124</v>
      </c>
      <c r="BD129" s="29" t="s">
        <v>125</v>
      </c>
      <c r="BE129" s="29" t="s">
        <v>126</v>
      </c>
      <c r="BF129" s="29" t="str">
        <f>$BF$4</f>
        <v>YTD 7/17</v>
      </c>
      <c r="BG129" s="121">
        <v>42736</v>
      </c>
      <c r="BH129" s="108">
        <v>42767</v>
      </c>
      <c r="BI129" s="108">
        <v>42795</v>
      </c>
      <c r="BJ129" s="108">
        <v>42826</v>
      </c>
      <c r="BK129" s="108">
        <v>42856</v>
      </c>
      <c r="BL129" s="108">
        <v>42887</v>
      </c>
      <c r="BM129" s="108">
        <v>42917</v>
      </c>
      <c r="BN129" s="108">
        <v>42948</v>
      </c>
      <c r="BO129" s="108">
        <v>42979</v>
      </c>
      <c r="BP129" s="108">
        <v>43009</v>
      </c>
      <c r="BQ129" s="108">
        <v>43040</v>
      </c>
      <c r="BR129" s="108">
        <v>43070</v>
      </c>
      <c r="BS129" s="29" t="s">
        <v>127</v>
      </c>
      <c r="BT129" s="29" t="s">
        <v>128</v>
      </c>
      <c r="BU129" s="29" t="s">
        <v>96</v>
      </c>
      <c r="BV129" s="29" t="s">
        <v>129</v>
      </c>
      <c r="BW129" s="112" t="s">
        <v>130</v>
      </c>
    </row>
    <row r="130" spans="1:75" x14ac:dyDescent="0.25">
      <c r="A130" s="20" t="str">
        <f>$B$129&amp;"_by_rookie_GENLION:"&amp;TRIM(B130)</f>
        <v>RYP_by_rookie_GENLION:MDRT/ GEN Lion (from Apr '17)</v>
      </c>
      <c r="B130" t="s">
        <v>157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X130" s="6"/>
      <c r="Y130" s="6"/>
      <c r="Z130" s="6"/>
      <c r="AA130" s="22"/>
      <c r="AB130" s="22"/>
      <c r="AC130" s="22"/>
      <c r="AD130" s="22"/>
      <c r="AE130" s="22"/>
      <c r="AF130" s="33"/>
      <c r="AG130" s="6"/>
      <c r="AH130" s="6"/>
      <c r="AI130" s="6"/>
      <c r="AJ130" s="6"/>
      <c r="AK130" s="31"/>
      <c r="AL130" s="31"/>
      <c r="AM130" s="31"/>
      <c r="AN130" s="31"/>
      <c r="AO130" s="31"/>
      <c r="AP130" s="6">
        <f>[16]APE!L34</f>
        <v>4232.5529999999999</v>
      </c>
      <c r="AQ130" s="22">
        <f>[17]APE!L35</f>
        <v>6562.8535000000002</v>
      </c>
      <c r="AR130" s="22">
        <f>[18]APE!L36</f>
        <v>3682.39</v>
      </c>
      <c r="AS130" s="22">
        <f>[19]APE!V36</f>
        <v>3365.57</v>
      </c>
      <c r="AT130" s="22">
        <f>[20]APE!V36</f>
        <v>5602.64</v>
      </c>
      <c r="AU130" s="22">
        <f>[21]APE!V36</f>
        <v>5572.51</v>
      </c>
      <c r="AV130" s="22">
        <f>[22]APE!V36</f>
        <v>4508.2299999999996</v>
      </c>
      <c r="BB130" s="110">
        <f>SUM(AP130:INDEX(AP130:AR130,IF($B$3&lt;3,$B$3,3)))</f>
        <v>14477.7965</v>
      </c>
      <c r="BC130" s="110">
        <f>SUM(AS130:INDEX(AS130:AU130,IF(AND($B$3&gt;3,$B$3&lt;7),$B$3-3,0)))</f>
        <v>14540.720000000001</v>
      </c>
      <c r="BD130" s="110">
        <f>SUM(AV130:INDEX(AV130:AX130,IF(AND($B$3&gt;6,$B$3&lt;10),$B$3-6,0)))</f>
        <v>4508.2299999999996</v>
      </c>
      <c r="BE130" s="110">
        <f>SUM(AY130:INDEX(AY130:BA130,IF($B$3&gt;9,$B$3-9,0)))</f>
        <v>0</v>
      </c>
      <c r="BF130" s="110">
        <f>SUM($AP130:INDEX(AP130:BA130,$B$3))</f>
        <v>33526.746499999994</v>
      </c>
      <c r="BG130" s="125">
        <f>IFERROR(AP130/O130,0)</f>
        <v>0</v>
      </c>
      <c r="BH130" s="111">
        <f t="shared" ref="BH130:BR138" si="203">IFERROR(AQ130/P130,0)</f>
        <v>0</v>
      </c>
      <c r="BI130" s="111">
        <f t="shared" si="203"/>
        <v>0</v>
      </c>
      <c r="BJ130" s="111">
        <f t="shared" si="203"/>
        <v>0</v>
      </c>
      <c r="BK130" s="111">
        <f t="shared" si="203"/>
        <v>0</v>
      </c>
      <c r="BL130" s="111">
        <f t="shared" si="203"/>
        <v>0</v>
      </c>
      <c r="BM130" s="111">
        <f t="shared" si="203"/>
        <v>0</v>
      </c>
      <c r="BN130" s="111">
        <f t="shared" si="203"/>
        <v>0</v>
      </c>
      <c r="BO130" s="111">
        <f t="shared" si="203"/>
        <v>0</v>
      </c>
      <c r="BP130" s="111">
        <f t="shared" si="203"/>
        <v>0</v>
      </c>
      <c r="BQ130" s="111">
        <f t="shared" si="203"/>
        <v>0</v>
      </c>
      <c r="BR130" s="111">
        <f t="shared" si="203"/>
        <v>0</v>
      </c>
      <c r="BS130" s="111">
        <f>IFERROR(BB130/SUM(O130:INDEX(O130:Q130,IF($B$3&lt;3,$B$3,3))),0)</f>
        <v>0</v>
      </c>
      <c r="BT130" s="111">
        <f>IFERROR(BC130/SUM(R130:INDEX(R130:T130,IF($B$3&lt;7,$B$3-3,3))),0)</f>
        <v>0</v>
      </c>
      <c r="BU130" s="111">
        <f>IFERROR(BD130/SUM(Q130:INDEX(Q130:S130,IF($B$3&lt;3,$B$3,3))),0)</f>
        <v>0</v>
      </c>
      <c r="BV130" s="111">
        <f>IFERROR(BE130/SUM(R130:INDEX(R130:T130,IF($B$3&lt;3,$B$3,3))),0)</f>
        <v>0</v>
      </c>
      <c r="BW130" s="111">
        <f>IFERROR(BF130/AA130,0)</f>
        <v>0</v>
      </c>
    </row>
    <row r="131" spans="1:75" x14ac:dyDescent="0.25">
      <c r="A131" s="20" t="str">
        <f t="shared" ref="A131:A138" si="204">$B$129&amp;"_by_rookie_GENLION:"&amp;TRIM(B131)</f>
        <v>RYP_by_rookie_GENLION:Rookie in month</v>
      </c>
      <c r="B131" t="s">
        <v>5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X131" s="6"/>
      <c r="Y131" s="6"/>
      <c r="Z131" s="6"/>
      <c r="AA131" s="22"/>
      <c r="AB131" s="22"/>
      <c r="AC131" s="22"/>
      <c r="AD131" s="22"/>
      <c r="AE131" s="22"/>
      <c r="AF131" s="6"/>
      <c r="AG131" s="6"/>
      <c r="AH131" s="6"/>
      <c r="AI131" s="6"/>
      <c r="AJ131" s="6"/>
      <c r="AK131" s="31"/>
      <c r="AL131" s="31"/>
      <c r="AM131" s="31"/>
      <c r="AN131" s="31"/>
      <c r="AO131" s="31"/>
      <c r="AP131" s="6">
        <f>[16]APE!L35</f>
        <v>0</v>
      </c>
      <c r="AQ131" s="22">
        <f>[17]APE!L36</f>
        <v>0</v>
      </c>
      <c r="AR131" s="22">
        <f>[18]APE!L37</f>
        <v>0</v>
      </c>
      <c r="AS131" s="22">
        <f>[19]APE!V37</f>
        <v>0</v>
      </c>
      <c r="AT131" s="22">
        <f>[20]APE!V37</f>
        <v>0</v>
      </c>
      <c r="AU131" s="22">
        <f>[21]APE!V37</f>
        <v>0</v>
      </c>
      <c r="AV131" s="22">
        <f>[22]APE!V37</f>
        <v>0</v>
      </c>
      <c r="BB131" s="110">
        <f>SUM(AP131:INDEX(AP131:AR131,IF($B$3&lt;3,$B$3,3)))</f>
        <v>0</v>
      </c>
      <c r="BC131" s="110">
        <f>SUM(AS131:INDEX(AS131:AU131,IF(AND($B$3&gt;3,$B$3&lt;7),$B$3-3,0)))</f>
        <v>0</v>
      </c>
      <c r="BD131" s="110">
        <f>SUM(AV131:INDEX(AV131:AX131,IF(AND($B$3&gt;6,$B$3&lt;10),$B$3-6,0)))</f>
        <v>0</v>
      </c>
      <c r="BE131" s="110">
        <f>SUM(AY131:INDEX(AY131:BA131,IF($B$3&gt;9,$B$3-9,0)))</f>
        <v>0</v>
      </c>
      <c r="BF131" s="110">
        <f>SUM($AP131:INDEX(AP131:BA131,$B$3))</f>
        <v>0</v>
      </c>
      <c r="BG131" s="125">
        <f t="shared" ref="BG131:BG138" si="205">IFERROR(AP131/O131,0)</f>
        <v>0</v>
      </c>
      <c r="BH131" s="111">
        <f t="shared" si="203"/>
        <v>0</v>
      </c>
      <c r="BI131" s="111">
        <f t="shared" si="203"/>
        <v>0</v>
      </c>
      <c r="BJ131" s="111">
        <f t="shared" si="203"/>
        <v>0</v>
      </c>
      <c r="BK131" s="111">
        <f t="shared" si="203"/>
        <v>0</v>
      </c>
      <c r="BL131" s="111">
        <f t="shared" si="203"/>
        <v>0</v>
      </c>
      <c r="BM131" s="111">
        <f t="shared" si="203"/>
        <v>0</v>
      </c>
      <c r="BN131" s="111">
        <f t="shared" si="203"/>
        <v>0</v>
      </c>
      <c r="BO131" s="111">
        <f t="shared" si="203"/>
        <v>0</v>
      </c>
      <c r="BP131" s="111">
        <f t="shared" si="203"/>
        <v>0</v>
      </c>
      <c r="BQ131" s="111">
        <f t="shared" si="203"/>
        <v>0</v>
      </c>
      <c r="BR131" s="111">
        <f t="shared" si="203"/>
        <v>0</v>
      </c>
      <c r="BS131" s="111">
        <f>IFERROR(BB131/SUM(O131:INDEX(O131:Q131,IF($B$3&lt;3,$B$3,3))),0)</f>
        <v>0</v>
      </c>
      <c r="BT131" s="111">
        <f>IFERROR(BC131/SUM(R131:INDEX(R131:T131,IF($B$3&lt;7,$B$3-3,3))),0)</f>
        <v>0</v>
      </c>
      <c r="BU131" s="111">
        <f>IFERROR(BD131/SUM(Q131:INDEX(Q131:S131,IF($B$3&lt;3,$B$3,3))),0)</f>
        <v>0</v>
      </c>
      <c r="BV131" s="111">
        <f>IFERROR(BE131/SUM(R131:INDEX(R131:T131,IF($B$3&lt;3,$B$3,3))),0)</f>
        <v>0</v>
      </c>
      <c r="BW131" s="111">
        <f t="shared" ref="BW131:BW138" si="206">IFERROR(BF131/AA131,0)</f>
        <v>0</v>
      </c>
    </row>
    <row r="132" spans="1:75" x14ac:dyDescent="0.25">
      <c r="A132" s="20" t="str">
        <f t="shared" si="204"/>
        <v>RYP_by_rookie_GENLION:Rookie last month</v>
      </c>
      <c r="B132" t="s">
        <v>6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X132" s="6"/>
      <c r="Y132" s="6"/>
      <c r="Z132" s="6"/>
      <c r="AA132" s="22"/>
      <c r="AB132" s="22"/>
      <c r="AC132" s="22"/>
      <c r="AD132" s="22"/>
      <c r="AE132" s="22"/>
      <c r="AF132" s="6"/>
      <c r="AG132" s="6"/>
      <c r="AH132" s="6"/>
      <c r="AI132" s="6"/>
      <c r="AJ132" s="6"/>
      <c r="AK132" s="31"/>
      <c r="AL132" s="31"/>
      <c r="AM132" s="31"/>
      <c r="AN132" s="31"/>
      <c r="AO132" s="31"/>
      <c r="AP132" s="6">
        <f>[16]APE!L36</f>
        <v>0</v>
      </c>
      <c r="AQ132" s="22">
        <f>[17]APE!L37</f>
        <v>0</v>
      </c>
      <c r="AR132" s="22">
        <f>[18]APE!L38</f>
        <v>0</v>
      </c>
      <c r="AS132" s="22">
        <f>[19]APE!V38</f>
        <v>0</v>
      </c>
      <c r="AT132" s="22">
        <f>[20]APE!V38</f>
        <v>0</v>
      </c>
      <c r="AU132" s="22">
        <f>[21]APE!V38</f>
        <v>0</v>
      </c>
      <c r="AV132" s="22">
        <f>[22]APE!V38</f>
        <v>0</v>
      </c>
      <c r="BB132" s="110">
        <f>SUM(AP132:INDEX(AP132:AR132,IF($B$3&lt;3,$B$3,3)))</f>
        <v>0</v>
      </c>
      <c r="BC132" s="110">
        <f>SUM(AS132:INDEX(AS132:AU132,IF(AND($B$3&gt;3,$B$3&lt;7),$B$3-3,0)))</f>
        <v>0</v>
      </c>
      <c r="BD132" s="110">
        <f>SUM(AV132:INDEX(AV132:AX132,IF(AND($B$3&gt;6,$B$3&lt;10),$B$3-6,0)))</f>
        <v>0</v>
      </c>
      <c r="BE132" s="110">
        <f>SUM(AY132:INDEX(AY132:BA132,IF($B$3&gt;9,$B$3-9,0)))</f>
        <v>0</v>
      </c>
      <c r="BF132" s="110">
        <f>SUM($AP132:INDEX(AP132:BA132,$B$3))</f>
        <v>0</v>
      </c>
      <c r="BG132" s="125">
        <f t="shared" si="205"/>
        <v>0</v>
      </c>
      <c r="BH132" s="111">
        <f t="shared" si="203"/>
        <v>0</v>
      </c>
      <c r="BI132" s="111">
        <f t="shared" si="203"/>
        <v>0</v>
      </c>
      <c r="BJ132" s="111">
        <f t="shared" si="203"/>
        <v>0</v>
      </c>
      <c r="BK132" s="111">
        <f t="shared" si="203"/>
        <v>0</v>
      </c>
      <c r="BL132" s="111">
        <f t="shared" si="203"/>
        <v>0</v>
      </c>
      <c r="BM132" s="111">
        <f t="shared" si="203"/>
        <v>0</v>
      </c>
      <c r="BN132" s="111">
        <f t="shared" si="203"/>
        <v>0</v>
      </c>
      <c r="BO132" s="111">
        <f t="shared" si="203"/>
        <v>0</v>
      </c>
      <c r="BP132" s="111">
        <f t="shared" si="203"/>
        <v>0</v>
      </c>
      <c r="BQ132" s="111">
        <f t="shared" si="203"/>
        <v>0</v>
      </c>
      <c r="BR132" s="111">
        <f t="shared" si="203"/>
        <v>0</v>
      </c>
      <c r="BS132" s="111">
        <f>IFERROR(BB132/SUM(O132:INDEX(O132:Q132,IF($B$3&lt;3,$B$3,3))),0)</f>
        <v>0</v>
      </c>
      <c r="BT132" s="111">
        <f>IFERROR(BC132/SUM(R132:INDEX(R132:T132,IF($B$3&lt;7,$B$3-3,3))),0)</f>
        <v>0</v>
      </c>
      <c r="BU132" s="111">
        <f>IFERROR(BD132/SUM(Q132:INDEX(Q132:S132,IF($B$3&lt;3,$B$3,3))),0)</f>
        <v>0</v>
      </c>
      <c r="BV132" s="111">
        <f>IFERROR(BE132/SUM(R132:INDEX(R132:T132,IF($B$3&lt;3,$B$3,3))),0)</f>
        <v>0</v>
      </c>
      <c r="BW132" s="111">
        <f t="shared" si="206"/>
        <v>0</v>
      </c>
    </row>
    <row r="133" spans="1:75" x14ac:dyDescent="0.25">
      <c r="A133" s="20" t="str">
        <f t="shared" si="204"/>
        <v>RYP_by_rookie_GENLION:2-3 months</v>
      </c>
      <c r="B133" t="s">
        <v>7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X133" s="6"/>
      <c r="Y133" s="6"/>
      <c r="Z133" s="6"/>
      <c r="AA133" s="22"/>
      <c r="AB133" s="22"/>
      <c r="AC133" s="22"/>
      <c r="AD133" s="22"/>
      <c r="AE133" s="22"/>
      <c r="AF133" s="6"/>
      <c r="AG133" s="6"/>
      <c r="AH133" s="6"/>
      <c r="AI133" s="6"/>
      <c r="AJ133" s="6"/>
      <c r="AK133" s="31"/>
      <c r="AL133" s="31"/>
      <c r="AM133" s="31"/>
      <c r="AN133" s="31"/>
      <c r="AO133" s="31"/>
      <c r="AP133" s="6">
        <f>[16]APE!L37</f>
        <v>6.7889999999999997</v>
      </c>
      <c r="AQ133" s="22">
        <f>[17]APE!L38</f>
        <v>13.279</v>
      </c>
      <c r="AR133" s="22">
        <f>[18]APE!L39</f>
        <v>0</v>
      </c>
      <c r="AS133" s="22">
        <f>[19]APE!V39</f>
        <v>0</v>
      </c>
      <c r="AT133" s="22">
        <f>[20]APE!V39</f>
        <v>0</v>
      </c>
      <c r="AU133" s="22">
        <f>[21]APE!V39</f>
        <v>20.8</v>
      </c>
      <c r="AV133" s="22">
        <f>[22]APE!V39</f>
        <v>0</v>
      </c>
      <c r="BB133" s="110">
        <f>SUM(AP133:INDEX(AP133:AR133,IF($B$3&lt;3,$B$3,3)))</f>
        <v>20.067999999999998</v>
      </c>
      <c r="BC133" s="110">
        <f>SUM(AS133:INDEX(AS133:AU133,IF(AND($B$3&gt;3,$B$3&lt;7),$B$3-3,0)))</f>
        <v>20.8</v>
      </c>
      <c r="BD133" s="110">
        <f>SUM(AV133:INDEX(AV133:AX133,IF(AND($B$3&gt;6,$B$3&lt;10),$B$3-6,0)))</f>
        <v>0</v>
      </c>
      <c r="BE133" s="110">
        <f>SUM(AY133:INDEX(AY133:BA133,IF($B$3&gt;9,$B$3-9,0)))</f>
        <v>0</v>
      </c>
      <c r="BF133" s="110">
        <f>SUM($AP133:INDEX(AP133:BA133,$B$3))</f>
        <v>40.867999999999995</v>
      </c>
      <c r="BG133" s="125">
        <f t="shared" si="205"/>
        <v>0</v>
      </c>
      <c r="BH133" s="111">
        <f t="shared" si="203"/>
        <v>0</v>
      </c>
      <c r="BI133" s="111">
        <f t="shared" si="203"/>
        <v>0</v>
      </c>
      <c r="BJ133" s="111">
        <f t="shared" si="203"/>
        <v>0</v>
      </c>
      <c r="BK133" s="111">
        <f t="shared" si="203"/>
        <v>0</v>
      </c>
      <c r="BL133" s="111">
        <f t="shared" si="203"/>
        <v>0</v>
      </c>
      <c r="BM133" s="111">
        <f t="shared" si="203"/>
        <v>0</v>
      </c>
      <c r="BN133" s="111">
        <f t="shared" si="203"/>
        <v>0</v>
      </c>
      <c r="BO133" s="111">
        <f t="shared" si="203"/>
        <v>0</v>
      </c>
      <c r="BP133" s="111">
        <f t="shared" si="203"/>
        <v>0</v>
      </c>
      <c r="BQ133" s="111">
        <f t="shared" si="203"/>
        <v>0</v>
      </c>
      <c r="BR133" s="111">
        <f t="shared" si="203"/>
        <v>0</v>
      </c>
      <c r="BS133" s="111">
        <f>IFERROR(BB133/SUM(O133:INDEX(O133:Q133,IF($B$3&lt;3,$B$3,3))),0)</f>
        <v>0</v>
      </c>
      <c r="BT133" s="111">
        <f>IFERROR(BC133/SUM(R133:INDEX(R133:T133,IF($B$3&lt;7,$B$3-3,3))),0)</f>
        <v>0</v>
      </c>
      <c r="BU133" s="111">
        <f>IFERROR(BD133/SUM(Q133:INDEX(Q133:S133,IF($B$3&lt;3,$B$3,3))),0)</f>
        <v>0</v>
      </c>
      <c r="BV133" s="111">
        <f>IFERROR(BE133/SUM(R133:INDEX(R133:T133,IF($B$3&lt;3,$B$3,3))),0)</f>
        <v>0</v>
      </c>
      <c r="BW133" s="111">
        <f t="shared" si="206"/>
        <v>0</v>
      </c>
    </row>
    <row r="134" spans="1:75" x14ac:dyDescent="0.25">
      <c r="A134" s="20" t="str">
        <f t="shared" si="204"/>
        <v>RYP_by_rookie_GENLION:4 - 6 mths</v>
      </c>
      <c r="B134" t="s">
        <v>8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X134" s="6"/>
      <c r="Y134" s="6"/>
      <c r="Z134" s="6"/>
      <c r="AA134" s="22"/>
      <c r="AB134" s="22"/>
      <c r="AC134" s="22"/>
      <c r="AD134" s="22"/>
      <c r="AE134" s="22"/>
      <c r="AF134" s="6"/>
      <c r="AG134" s="6"/>
      <c r="AH134" s="6"/>
      <c r="AI134" s="6"/>
      <c r="AJ134" s="6"/>
      <c r="AK134" s="31"/>
      <c r="AL134" s="31"/>
      <c r="AM134" s="31"/>
      <c r="AN134" s="31"/>
      <c r="AO134" s="31"/>
      <c r="AP134" s="6">
        <f>[16]APE!L38</f>
        <v>160.35</v>
      </c>
      <c r="AQ134" s="22">
        <f>[17]APE!L39</f>
        <v>214.23099999999999</v>
      </c>
      <c r="AR134" s="22">
        <f>[18]APE!L40</f>
        <v>39.76</v>
      </c>
      <c r="AS134" s="22">
        <f>[19]APE!V40</f>
        <v>15.46</v>
      </c>
      <c r="AT134" s="22">
        <f>[20]APE!V40</f>
        <v>0</v>
      </c>
      <c r="AU134" s="22">
        <f>[21]APE!V40</f>
        <v>0</v>
      </c>
      <c r="AV134" s="22">
        <f>[22]APE!V40</f>
        <v>0</v>
      </c>
      <c r="BB134" s="110">
        <f>SUM(AP134:INDEX(AP134:AR134,IF($B$3&lt;3,$B$3,3)))</f>
        <v>414.34100000000001</v>
      </c>
      <c r="BC134" s="110">
        <f>SUM(AS134:INDEX(AS134:AU134,IF(AND($B$3&gt;3,$B$3&lt;7),$B$3-3,0)))</f>
        <v>15.46</v>
      </c>
      <c r="BD134" s="110">
        <f>SUM(AV134:INDEX(AV134:AX134,IF(AND($B$3&gt;6,$B$3&lt;10),$B$3-6,0)))</f>
        <v>0</v>
      </c>
      <c r="BE134" s="110">
        <f>SUM(AY134:INDEX(AY134:BA134,IF($B$3&gt;9,$B$3-9,0)))</f>
        <v>0</v>
      </c>
      <c r="BF134" s="110">
        <f>SUM($AP134:INDEX(AP134:BA134,$B$3))</f>
        <v>429.80099999999999</v>
      </c>
      <c r="BG134" s="125">
        <f t="shared" si="205"/>
        <v>0</v>
      </c>
      <c r="BH134" s="111">
        <f t="shared" si="203"/>
        <v>0</v>
      </c>
      <c r="BI134" s="111">
        <f t="shared" si="203"/>
        <v>0</v>
      </c>
      <c r="BJ134" s="111">
        <f t="shared" si="203"/>
        <v>0</v>
      </c>
      <c r="BK134" s="111">
        <f t="shared" si="203"/>
        <v>0</v>
      </c>
      <c r="BL134" s="111">
        <f t="shared" si="203"/>
        <v>0</v>
      </c>
      <c r="BM134" s="111">
        <f t="shared" si="203"/>
        <v>0</v>
      </c>
      <c r="BN134" s="111">
        <f t="shared" si="203"/>
        <v>0</v>
      </c>
      <c r="BO134" s="111">
        <f t="shared" si="203"/>
        <v>0</v>
      </c>
      <c r="BP134" s="111">
        <f t="shared" si="203"/>
        <v>0</v>
      </c>
      <c r="BQ134" s="111">
        <f t="shared" si="203"/>
        <v>0</v>
      </c>
      <c r="BR134" s="111">
        <f t="shared" si="203"/>
        <v>0</v>
      </c>
      <c r="BS134" s="111">
        <f>IFERROR(BB134/SUM(O134:INDEX(O134:Q134,IF($B$3&lt;3,$B$3,3))),0)</f>
        <v>0</v>
      </c>
      <c r="BT134" s="111">
        <f>IFERROR(BC134/SUM(R134:INDEX(R134:T134,IF($B$3&lt;7,$B$3-3,3))),0)</f>
        <v>0</v>
      </c>
      <c r="BU134" s="111">
        <f>IFERROR(BD134/SUM(Q134:INDEX(Q134:S134,IF($B$3&lt;3,$B$3,3))),0)</f>
        <v>0</v>
      </c>
      <c r="BV134" s="111">
        <f>IFERROR(BE134/SUM(R134:INDEX(R134:T134,IF($B$3&lt;3,$B$3,3))),0)</f>
        <v>0</v>
      </c>
      <c r="BW134" s="111">
        <f t="shared" si="206"/>
        <v>0</v>
      </c>
    </row>
    <row r="135" spans="1:75" x14ac:dyDescent="0.25">
      <c r="A135" s="20" t="str">
        <f t="shared" si="204"/>
        <v>RYP_by_rookie_GENLION:7-12mth</v>
      </c>
      <c r="B135" t="s">
        <v>1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X135" s="6"/>
      <c r="Y135" s="6"/>
      <c r="Z135" s="6"/>
      <c r="AA135" s="22"/>
      <c r="AB135" s="22"/>
      <c r="AC135" s="22"/>
      <c r="AD135" s="22"/>
      <c r="AE135" s="22"/>
      <c r="AF135" s="6"/>
      <c r="AG135" s="6"/>
      <c r="AH135" s="6"/>
      <c r="AI135" s="6"/>
      <c r="AJ135" s="6"/>
      <c r="AK135" s="31"/>
      <c r="AL135" s="31"/>
      <c r="AM135" s="31"/>
      <c r="AN135" s="31"/>
      <c r="AO135" s="31"/>
      <c r="AP135" s="6">
        <f>[16]APE!L39</f>
        <v>314.14499999999998</v>
      </c>
      <c r="AQ135" s="22">
        <f>[17]APE!L40</f>
        <v>149.48599999999999</v>
      </c>
      <c r="AR135" s="22">
        <f>[18]APE!L41</f>
        <v>347.7</v>
      </c>
      <c r="AS135" s="22">
        <f>[19]APE!V41</f>
        <v>92.86</v>
      </c>
      <c r="AT135" s="22">
        <f>[20]APE!V41</f>
        <v>281.77</v>
      </c>
      <c r="AU135" s="22">
        <f>[21]APE!V41</f>
        <v>240</v>
      </c>
      <c r="AV135" s="22">
        <f>[22]APE!V41</f>
        <v>504.53</v>
      </c>
      <c r="BB135" s="110">
        <f>SUM(AP135:INDEX(AP135:AR135,IF($B$3&lt;3,$B$3,3)))</f>
        <v>811.3309999999999</v>
      </c>
      <c r="BC135" s="110">
        <f>SUM(AS135:INDEX(AS135:AU135,IF(AND($B$3&gt;3,$B$3&lt;7),$B$3-3,0)))</f>
        <v>614.63</v>
      </c>
      <c r="BD135" s="110">
        <f>SUM(AV135:INDEX(AV135:AX135,IF(AND($B$3&gt;6,$B$3&lt;10),$B$3-6,0)))</f>
        <v>504.53</v>
      </c>
      <c r="BE135" s="110">
        <f>SUM(AY135:INDEX(AY135:BA135,IF($B$3&gt;9,$B$3-9,0)))</f>
        <v>0</v>
      </c>
      <c r="BF135" s="110">
        <f>SUM($AP135:INDEX(AP135:BA135,$B$3))</f>
        <v>1930.4909999999998</v>
      </c>
      <c r="BG135" s="125">
        <f t="shared" si="205"/>
        <v>0</v>
      </c>
      <c r="BH135" s="111">
        <f t="shared" si="203"/>
        <v>0</v>
      </c>
      <c r="BI135" s="111">
        <f t="shared" si="203"/>
        <v>0</v>
      </c>
      <c r="BJ135" s="111">
        <f t="shared" si="203"/>
        <v>0</v>
      </c>
      <c r="BK135" s="111">
        <f t="shared" si="203"/>
        <v>0</v>
      </c>
      <c r="BL135" s="111">
        <f t="shared" si="203"/>
        <v>0</v>
      </c>
      <c r="BM135" s="111">
        <f t="shared" si="203"/>
        <v>0</v>
      </c>
      <c r="BN135" s="111">
        <f t="shared" si="203"/>
        <v>0</v>
      </c>
      <c r="BO135" s="111">
        <f t="shared" si="203"/>
        <v>0</v>
      </c>
      <c r="BP135" s="111">
        <f t="shared" si="203"/>
        <v>0</v>
      </c>
      <c r="BQ135" s="111">
        <f t="shared" si="203"/>
        <v>0</v>
      </c>
      <c r="BR135" s="111">
        <f t="shared" si="203"/>
        <v>0</v>
      </c>
      <c r="BS135" s="111">
        <f>IFERROR(BB135/SUM(O135:INDEX(O135:Q135,IF($B$3&lt;3,$B$3,3))),0)</f>
        <v>0</v>
      </c>
      <c r="BT135" s="111">
        <f>IFERROR(BC135/SUM(R135:INDEX(R135:T135,IF($B$3&lt;7,$B$3-3,3))),0)</f>
        <v>0</v>
      </c>
      <c r="BU135" s="111">
        <f>IFERROR(BD135/SUM(Q135:INDEX(Q135:S135,IF($B$3&lt;3,$B$3,3))),0)</f>
        <v>0</v>
      </c>
      <c r="BV135" s="111">
        <f>IFERROR(BE135/SUM(R135:INDEX(R135:T135,IF($B$3&lt;3,$B$3,3))),0)</f>
        <v>0</v>
      </c>
      <c r="BW135" s="111">
        <f t="shared" si="206"/>
        <v>0</v>
      </c>
    </row>
    <row r="136" spans="1:75" x14ac:dyDescent="0.25">
      <c r="A136" s="20" t="str">
        <f t="shared" si="204"/>
        <v>RYP_by_rookie_GENLION:13+mth</v>
      </c>
      <c r="B136" t="s">
        <v>2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X136" s="6"/>
      <c r="Y136" s="6"/>
      <c r="Z136" s="6"/>
      <c r="AA136" s="22"/>
      <c r="AB136" s="22"/>
      <c r="AC136" s="22"/>
      <c r="AD136" s="22"/>
      <c r="AE136" s="22"/>
      <c r="AF136" s="6"/>
      <c r="AG136" s="6"/>
      <c r="AH136" s="6"/>
      <c r="AI136" s="6"/>
      <c r="AJ136" s="6"/>
      <c r="AK136" s="31"/>
      <c r="AL136" s="31"/>
      <c r="AM136" s="31"/>
      <c r="AN136" s="31"/>
      <c r="AO136" s="31"/>
      <c r="AP136" s="6">
        <f>[16]APE!L40</f>
        <v>12042.558000000099</v>
      </c>
      <c r="AQ136" s="22">
        <f>[17]APE!L41</f>
        <v>8075.3524000000198</v>
      </c>
      <c r="AR136" s="22">
        <f>[18]APE!L42</f>
        <v>6124.55</v>
      </c>
      <c r="AS136" s="22">
        <f>[19]APE!V42</f>
        <v>5210.24</v>
      </c>
      <c r="AT136" s="22">
        <f>[20]APE!V42</f>
        <v>6173.05</v>
      </c>
      <c r="AU136" s="22">
        <f>[21]APE!V42</f>
        <v>7564.85</v>
      </c>
      <c r="AV136" s="22">
        <f>[22]APE!V42</f>
        <v>6634.4</v>
      </c>
      <c r="BB136" s="110">
        <f>SUM(AP136:INDEX(AP136:AR136,IF($B$3&lt;3,$B$3,3)))</f>
        <v>26242.460400000116</v>
      </c>
      <c r="BC136" s="110">
        <f>SUM(AS136:INDEX(AS136:AU136,IF(AND($B$3&gt;3,$B$3&lt;7),$B$3-3,0)))</f>
        <v>18948.14</v>
      </c>
      <c r="BD136" s="110">
        <f>SUM(AV136:INDEX(AV136:AX136,IF(AND($B$3&gt;6,$B$3&lt;10),$B$3-6,0)))</f>
        <v>6634.4</v>
      </c>
      <c r="BE136" s="110">
        <f>SUM(AY136:INDEX(AY136:BA136,IF($B$3&gt;9,$B$3-9,0)))</f>
        <v>0</v>
      </c>
      <c r="BF136" s="110">
        <f>SUM($AP136:INDEX(AP136:BA136,$B$3))</f>
        <v>51825.000400000121</v>
      </c>
      <c r="BG136" s="125">
        <f t="shared" si="205"/>
        <v>0</v>
      </c>
      <c r="BH136" s="111">
        <f t="shared" si="203"/>
        <v>0</v>
      </c>
      <c r="BI136" s="111">
        <f t="shared" si="203"/>
        <v>0</v>
      </c>
      <c r="BJ136" s="111">
        <f t="shared" si="203"/>
        <v>0</v>
      </c>
      <c r="BK136" s="111">
        <f t="shared" si="203"/>
        <v>0</v>
      </c>
      <c r="BL136" s="111">
        <f t="shared" si="203"/>
        <v>0</v>
      </c>
      <c r="BM136" s="111">
        <f t="shared" si="203"/>
        <v>0</v>
      </c>
      <c r="BN136" s="111">
        <f t="shared" si="203"/>
        <v>0</v>
      </c>
      <c r="BO136" s="111">
        <f t="shared" si="203"/>
        <v>0</v>
      </c>
      <c r="BP136" s="111">
        <f t="shared" si="203"/>
        <v>0</v>
      </c>
      <c r="BQ136" s="111">
        <f t="shared" si="203"/>
        <v>0</v>
      </c>
      <c r="BR136" s="111">
        <f t="shared" si="203"/>
        <v>0</v>
      </c>
      <c r="BS136" s="111">
        <f>IFERROR(BB136/SUM(O136:INDEX(O136:Q136,IF($B$3&lt;3,$B$3,3))),0)</f>
        <v>0</v>
      </c>
      <c r="BT136" s="111">
        <f>IFERROR(BC136/SUM(R136:INDEX(R136:T136,IF($B$3&lt;7,$B$3-3,3))),0)</f>
        <v>0</v>
      </c>
      <c r="BU136" s="111">
        <f>IFERROR(BD136/SUM(Q136:INDEX(Q136:S136,IF($B$3&lt;3,$B$3,3))),0)</f>
        <v>0</v>
      </c>
      <c r="BV136" s="111">
        <f>IFERROR(BE136/SUM(R136:INDEX(R136:T136,IF($B$3&lt;3,$B$3,3))),0)</f>
        <v>0</v>
      </c>
      <c r="BW136" s="111">
        <f t="shared" si="206"/>
        <v>0</v>
      </c>
    </row>
    <row r="137" spans="1:75" x14ac:dyDescent="0.25">
      <c r="A137" s="20" t="str">
        <f t="shared" si="204"/>
        <v>RYP_by_rookie_GENLION:SA</v>
      </c>
      <c r="B137" s="135" t="s">
        <v>136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X137" s="6"/>
      <c r="Y137" s="6"/>
      <c r="Z137" s="6"/>
      <c r="AA137" s="22"/>
      <c r="AB137" s="22"/>
      <c r="AC137" s="22"/>
      <c r="AD137" s="22"/>
      <c r="AE137" s="22"/>
      <c r="AF137" s="6"/>
      <c r="AG137" s="6"/>
      <c r="AH137" s="6"/>
      <c r="AI137" s="6"/>
      <c r="AJ137" s="6"/>
      <c r="AK137" s="31"/>
      <c r="AL137" s="31"/>
      <c r="AM137" s="31"/>
      <c r="AN137" s="31"/>
      <c r="AO137" s="31"/>
      <c r="AP137" s="6"/>
      <c r="AQ137" s="22">
        <f>[17]APE!L42</f>
        <v>3527.4623999999999</v>
      </c>
      <c r="AR137" s="22">
        <f>[18]APE!L43</f>
        <v>3139.57</v>
      </c>
      <c r="AS137" s="22">
        <f>[19]APE!V43</f>
        <v>4080.66</v>
      </c>
      <c r="AT137" s="22">
        <f>[20]APE!V43</f>
        <v>6196.35</v>
      </c>
      <c r="AU137" s="22">
        <f>[21]APE!V43</f>
        <v>6468.61</v>
      </c>
      <c r="AV137" s="22">
        <f>[22]APE!V43</f>
        <v>7129.93</v>
      </c>
      <c r="BB137" s="110">
        <f>SUM(AP137:INDEX(AP137:AR137,IF($B$3&lt;3,$B$3,3)))</f>
        <v>6667.0324000000001</v>
      </c>
      <c r="BC137" s="110">
        <f>SUM(AS137:INDEX(AS137:AU137,IF(AND($B$3&gt;3,$B$3&lt;7),$B$3-3,0)))</f>
        <v>16745.62</v>
      </c>
      <c r="BD137" s="110">
        <f>SUM(AV137:INDEX(AV137:AX137,IF(AND($B$3&gt;6,$B$3&lt;10),$B$3-6,0)))</f>
        <v>7129.93</v>
      </c>
      <c r="BE137" s="110">
        <f>SUM(AY137:INDEX(AY137:BA137,IF($B$3&gt;9,$B$3-9,0)))</f>
        <v>0</v>
      </c>
      <c r="BF137" s="110">
        <f>SUM($AP137:INDEX(AP137:BA137,$B$3))</f>
        <v>30542.582399999999</v>
      </c>
      <c r="BG137" s="125"/>
      <c r="BH137" s="111"/>
      <c r="BI137" s="111"/>
      <c r="BJ137" s="111"/>
      <c r="BK137" s="111"/>
      <c r="BL137" s="111"/>
      <c r="BM137" s="111"/>
      <c r="BN137" s="111"/>
      <c r="BO137" s="111"/>
      <c r="BP137" s="111"/>
      <c r="BQ137" s="111"/>
      <c r="BR137" s="111"/>
      <c r="BS137" s="111"/>
      <c r="BT137" s="111"/>
      <c r="BU137" s="111"/>
      <c r="BV137" s="111"/>
      <c r="BW137" s="111"/>
    </row>
    <row r="138" spans="1:75" s="17" customFormat="1" x14ac:dyDescent="0.25">
      <c r="A138" s="20" t="str">
        <f t="shared" si="204"/>
        <v>RYP_by_rookie_GENLION:Total</v>
      </c>
      <c r="B138" s="1" t="s">
        <v>3</v>
      </c>
      <c r="C138" s="7">
        <f>SUM(C130:C136)</f>
        <v>0</v>
      </c>
      <c r="D138" s="7">
        <f t="shared" ref="D138:AE138" si="207">SUM(D130:D136)</f>
        <v>0</v>
      </c>
      <c r="E138" s="7">
        <f t="shared" si="207"/>
        <v>0</v>
      </c>
      <c r="F138" s="7">
        <f t="shared" si="207"/>
        <v>0</v>
      </c>
      <c r="G138" s="7">
        <f t="shared" si="207"/>
        <v>0</v>
      </c>
      <c r="H138" s="7">
        <f t="shared" si="207"/>
        <v>0</v>
      </c>
      <c r="I138" s="7">
        <f t="shared" si="207"/>
        <v>0</v>
      </c>
      <c r="J138" s="7">
        <f t="shared" si="207"/>
        <v>0</v>
      </c>
      <c r="K138" s="7">
        <f t="shared" si="207"/>
        <v>0</v>
      </c>
      <c r="L138" s="7">
        <f t="shared" si="207"/>
        <v>0</v>
      </c>
      <c r="M138" s="7">
        <f t="shared" si="207"/>
        <v>0</v>
      </c>
      <c r="N138" s="7">
        <f t="shared" si="207"/>
        <v>0</v>
      </c>
      <c r="O138" s="7">
        <f t="shared" si="207"/>
        <v>0</v>
      </c>
      <c r="P138" s="7">
        <f t="shared" si="207"/>
        <v>0</v>
      </c>
      <c r="Q138" s="7">
        <f t="shared" si="207"/>
        <v>0</v>
      </c>
      <c r="R138" s="7">
        <f t="shared" si="207"/>
        <v>0</v>
      </c>
      <c r="S138" s="7">
        <f t="shared" si="207"/>
        <v>0</v>
      </c>
      <c r="T138" s="7">
        <f t="shared" si="207"/>
        <v>0</v>
      </c>
      <c r="U138" s="7">
        <f t="shared" si="207"/>
        <v>0</v>
      </c>
      <c r="V138" s="7">
        <f t="shared" si="207"/>
        <v>0</v>
      </c>
      <c r="W138" s="7">
        <f t="shared" si="207"/>
        <v>0</v>
      </c>
      <c r="X138" s="7">
        <f t="shared" si="207"/>
        <v>0</v>
      </c>
      <c r="Y138" s="7">
        <f t="shared" si="207"/>
        <v>0</v>
      </c>
      <c r="Z138" s="7">
        <f t="shared" si="207"/>
        <v>0</v>
      </c>
      <c r="AA138" s="7">
        <f t="shared" si="207"/>
        <v>0</v>
      </c>
      <c r="AB138" s="7">
        <f t="shared" si="207"/>
        <v>0</v>
      </c>
      <c r="AC138" s="7">
        <f t="shared" si="207"/>
        <v>0</v>
      </c>
      <c r="AD138" s="7">
        <f t="shared" si="207"/>
        <v>0</v>
      </c>
      <c r="AE138" s="7">
        <f t="shared" si="207"/>
        <v>0</v>
      </c>
      <c r="AF138" s="7">
        <f>SUM(AF130:AF136)</f>
        <v>0</v>
      </c>
      <c r="AG138" s="7">
        <f t="shared" ref="AG138:AJ138" si="208">SUM(AG130:AG136)</f>
        <v>0</v>
      </c>
      <c r="AH138" s="7">
        <f t="shared" si="208"/>
        <v>0</v>
      </c>
      <c r="AI138" s="7">
        <f t="shared" si="208"/>
        <v>0</v>
      </c>
      <c r="AJ138" s="7">
        <f t="shared" si="208"/>
        <v>0</v>
      </c>
      <c r="AK138" s="31" t="e">
        <f t="shared" ref="AK138" si="209">AA138/AF138-1</f>
        <v>#DIV/0!</v>
      </c>
      <c r="AL138" s="31" t="e">
        <f t="shared" ref="AL138:AO138" si="210">AB138/AG138-1</f>
        <v>#DIV/0!</v>
      </c>
      <c r="AM138" s="31" t="e">
        <f t="shared" si="210"/>
        <v>#DIV/0!</v>
      </c>
      <c r="AN138" s="31" t="e">
        <f t="shared" si="210"/>
        <v>#DIV/0!</v>
      </c>
      <c r="AO138" s="31" t="e">
        <f t="shared" si="210"/>
        <v>#DIV/0!</v>
      </c>
      <c r="AP138" s="7">
        <f t="shared" ref="AP138" si="211">SUM(AP130:AP136)</f>
        <v>16756.395000000099</v>
      </c>
      <c r="AQ138" s="7">
        <f t="shared" ref="AQ138:AV138" si="212">SUM(AQ130:AQ137)</f>
        <v>18542.664300000019</v>
      </c>
      <c r="AR138" s="7">
        <f t="shared" si="212"/>
        <v>13333.97</v>
      </c>
      <c r="AS138" s="7">
        <f t="shared" si="212"/>
        <v>12764.79</v>
      </c>
      <c r="AT138" s="7">
        <f t="shared" si="212"/>
        <v>18253.809999999998</v>
      </c>
      <c r="AU138" s="7">
        <f t="shared" si="212"/>
        <v>19866.77</v>
      </c>
      <c r="AV138" s="7">
        <f t="shared" si="212"/>
        <v>18777.09</v>
      </c>
      <c r="BB138" s="116">
        <f>SUM(AP138:INDEX(AP138:AR138,IF($B$3&lt;3,$B$3,3)))</f>
        <v>48633.029300000118</v>
      </c>
      <c r="BC138" s="116">
        <f>SUM(AS138:INDEX(AS138:AU138,IF(AND($B$3&gt;3,$B$3&lt;7),$B$3-3,0)))</f>
        <v>50885.369999999995</v>
      </c>
      <c r="BD138" s="116">
        <f>SUM(AV138:INDEX(AV138:AX138,IF(AND($B$3&gt;6,$B$3&lt;10),$B$3-6,0)))</f>
        <v>18777.09</v>
      </c>
      <c r="BE138" s="116">
        <f>SUM(AY138:INDEX(AY138:BA138,IF($B$3&gt;9,$B$3-9,0)))</f>
        <v>0</v>
      </c>
      <c r="BF138" s="116">
        <f>SUM($AP138:INDEX(AP138:BA138,$B$3))</f>
        <v>118295.48930000012</v>
      </c>
      <c r="BG138" s="126">
        <f t="shared" si="205"/>
        <v>0</v>
      </c>
      <c r="BH138" s="118">
        <f t="shared" si="203"/>
        <v>0</v>
      </c>
      <c r="BI138" s="118">
        <f t="shared" si="203"/>
        <v>0</v>
      </c>
      <c r="BJ138" s="118">
        <f t="shared" si="203"/>
        <v>0</v>
      </c>
      <c r="BK138" s="118">
        <f t="shared" si="203"/>
        <v>0</v>
      </c>
      <c r="BL138" s="118">
        <f t="shared" si="203"/>
        <v>0</v>
      </c>
      <c r="BM138" s="118">
        <f t="shared" si="203"/>
        <v>0</v>
      </c>
      <c r="BN138" s="118">
        <f t="shared" si="203"/>
        <v>0</v>
      </c>
      <c r="BO138" s="118">
        <f t="shared" si="203"/>
        <v>0</v>
      </c>
      <c r="BP138" s="118">
        <f t="shared" si="203"/>
        <v>0</v>
      </c>
      <c r="BQ138" s="118">
        <f t="shared" si="203"/>
        <v>0</v>
      </c>
      <c r="BR138" s="118">
        <f t="shared" si="203"/>
        <v>0</v>
      </c>
      <c r="BS138" s="118">
        <f>IFERROR(BB138/SUM(O138:INDEX(O138:Q138,IF($B$3&lt;3,$B$3,3))),0)</f>
        <v>0</v>
      </c>
      <c r="BT138" s="118">
        <f>IFERROR(BC138/SUM(R138:INDEX(R138:T138,IF($B$3&lt;7,$B$3-3,3))),0)</f>
        <v>0</v>
      </c>
      <c r="BU138" s="118">
        <f>IFERROR(BD138/SUM(Q138:INDEX(Q138:S138,IF($B$3&lt;3,$B$3,3))),0)</f>
        <v>0</v>
      </c>
      <c r="BV138" s="118">
        <f>IFERROR(BE138/SUM(R138:INDEX(R138:T138,IF($B$3&lt;3,$B$3,3))),0)</f>
        <v>0</v>
      </c>
      <c r="BW138" s="118">
        <f t="shared" si="206"/>
        <v>0</v>
      </c>
    </row>
  </sheetData>
  <mergeCells count="2">
    <mergeCell ref="AK3:AO3"/>
    <mergeCell ref="BB3:BF3"/>
  </mergeCells>
  <conditionalFormatting sqref="AO5:AO13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30:AO3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54:AO6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62:BA62">
    <cfRule type="expression" dxfId="15" priority="16">
      <formula>$B$3=COLUMNS($O62:AP62)</formula>
    </cfRule>
  </conditionalFormatting>
  <conditionalFormatting sqref="AP86">
    <cfRule type="expression" dxfId="14" priority="15">
      <formula>$B$3=COLUMNS($O86:AP86)</formula>
    </cfRule>
  </conditionalFormatting>
  <conditionalFormatting sqref="BB86:BF86">
    <cfRule type="expression" dxfId="13" priority="14">
      <formula>$B$3=COLUMNS($O86:BB86)</formula>
    </cfRule>
  </conditionalFormatting>
  <conditionalFormatting sqref="BB116:BF116">
    <cfRule type="expression" dxfId="12" priority="13">
      <formula>$B$3=COLUMNS($O116:BB116)</formula>
    </cfRule>
  </conditionalFormatting>
  <conditionalFormatting sqref="O50:Z50">
    <cfRule type="expression" dxfId="11" priority="12">
      <formula>$B$3=COLUMNS($O50:O50)</formula>
    </cfRule>
  </conditionalFormatting>
  <conditionalFormatting sqref="AP50">
    <cfRule type="expression" dxfId="10" priority="11">
      <formula>$B$3=COLUMNS($O50:AP50)</formula>
    </cfRule>
  </conditionalFormatting>
  <conditionalFormatting sqref="AQ50">
    <cfRule type="expression" dxfId="9" priority="10">
      <formula>$B$3=COLUMNS($O50:AQ50)</formula>
    </cfRule>
  </conditionalFormatting>
  <conditionalFormatting sqref="AQ86">
    <cfRule type="expression" dxfId="8" priority="9">
      <formula>$B$3=COLUMNS($O86:AQ86)</formula>
    </cfRule>
  </conditionalFormatting>
  <conditionalFormatting sqref="AR50">
    <cfRule type="expression" dxfId="7" priority="8">
      <formula>$B$3=COLUMNS($O50:AR50)</formula>
    </cfRule>
  </conditionalFormatting>
  <conditionalFormatting sqref="AR86">
    <cfRule type="expression" dxfId="6" priority="7">
      <formula>$B$3=COLUMNS($O86:AR86)</formula>
    </cfRule>
  </conditionalFormatting>
  <conditionalFormatting sqref="AS50">
    <cfRule type="expression" dxfId="5" priority="6">
      <formula>$B$3=COLUMNS($O50:AS50)</formula>
    </cfRule>
  </conditionalFormatting>
  <conditionalFormatting sqref="AS86">
    <cfRule type="expression" dxfId="4" priority="5">
      <formula>$B$3=COLUMNS($O86:AS86)</formula>
    </cfRule>
  </conditionalFormatting>
  <conditionalFormatting sqref="AT50">
    <cfRule type="expression" dxfId="3" priority="4">
      <formula>$B$3=COLUMNS($O50:AT50)</formula>
    </cfRule>
  </conditionalFormatting>
  <conditionalFormatting sqref="AT86">
    <cfRule type="expression" dxfId="2" priority="3">
      <formula>$B$3=COLUMNS($O86:AT86)</formula>
    </cfRule>
  </conditionalFormatting>
  <conditionalFormatting sqref="AU50:AV50">
    <cfRule type="expression" dxfId="1" priority="2">
      <formula>$B$3=COLUMNS($O50:AU50)</formula>
    </cfRule>
  </conditionalFormatting>
  <conditionalFormatting sqref="AU86:AV86">
    <cfRule type="expression" dxfId="0" priority="1">
      <formula>$B$3=COLUMNS($O86:AU86)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46"/>
  <sheetViews>
    <sheetView showGridLines="0" zoomScaleNormal="100" workbookViewId="0">
      <selection activeCell="G4" sqref="G4"/>
    </sheetView>
  </sheetViews>
  <sheetFormatPr defaultRowHeight="15" outlineLevelRow="1" outlineLevelCol="1" x14ac:dyDescent="0.25"/>
  <cols>
    <col min="2" max="2" width="28.875" customWidth="1"/>
    <col min="3" max="4" width="15" customWidth="1"/>
    <col min="5" max="5" width="14.625" customWidth="1"/>
    <col min="6" max="8" width="15" customWidth="1"/>
    <col min="9" max="9" width="19.375" hidden="1" customWidth="1" outlineLevel="1"/>
    <col min="10" max="13" width="0" hidden="1" customWidth="1" outlineLevel="1"/>
    <col min="14" max="14" width="22.125" hidden="1" customWidth="1" outlineLevel="1"/>
    <col min="15" max="15" width="18.125" hidden="1" customWidth="1" outlineLevel="1"/>
    <col min="16" max="16" width="16.375" hidden="1" customWidth="1" outlineLevel="1"/>
    <col min="17" max="17" width="0" hidden="1" customWidth="1" outlineLevel="1"/>
    <col min="18" max="18" width="11.625" hidden="1" customWidth="1" outlineLevel="1"/>
    <col min="19" max="21" width="0" hidden="1" customWidth="1" outlineLevel="1"/>
    <col min="22" max="22" width="9.125" collapsed="1"/>
  </cols>
  <sheetData>
    <row r="1" spans="1:23" x14ac:dyDescent="0.25">
      <c r="A1" s="142"/>
    </row>
    <row r="2" spans="1:23" ht="23.25" x14ac:dyDescent="0.25">
      <c r="B2" s="40"/>
      <c r="C2" s="318">
        <f>INDEX('Full Agency'!AO3:AZ3,'Full Agency'!A2)</f>
        <v>42917</v>
      </c>
      <c r="D2" s="319"/>
      <c r="E2" s="320"/>
      <c r="F2" s="315" t="s">
        <v>41</v>
      </c>
      <c r="G2" s="316"/>
      <c r="H2" s="317"/>
      <c r="M2" s="103" t="s">
        <v>119</v>
      </c>
      <c r="N2" s="101"/>
      <c r="O2" s="100" t="s">
        <v>101</v>
      </c>
      <c r="P2" s="100" t="s">
        <v>28</v>
      </c>
      <c r="S2" t="s">
        <v>107</v>
      </c>
      <c r="T2" s="36">
        <v>201510</v>
      </c>
    </row>
    <row r="3" spans="1:23" ht="36" x14ac:dyDescent="0.25">
      <c r="B3" s="49" t="s">
        <v>42</v>
      </c>
      <c r="C3" s="49" t="s">
        <v>43</v>
      </c>
      <c r="D3" s="49" t="s">
        <v>44</v>
      </c>
      <c r="E3" s="49" t="s">
        <v>45</v>
      </c>
      <c r="F3" s="49" t="s">
        <v>41</v>
      </c>
      <c r="G3" s="49" t="s">
        <v>44</v>
      </c>
      <c r="H3" s="49" t="s">
        <v>45</v>
      </c>
      <c r="M3" s="93" t="s">
        <v>102</v>
      </c>
      <c r="N3" s="93"/>
      <c r="O3" s="94">
        <f>R3/1000</f>
        <v>40.919720650000016</v>
      </c>
      <c r="P3" s="97">
        <f>O3/('Full Agency'!K14/10^3)-1</f>
        <v>0.56103791035286088</v>
      </c>
      <c r="R3" s="6">
        <f>'Full Agency'!$W$14</f>
        <v>40919.720650000017</v>
      </c>
      <c r="S3" t="s">
        <v>108</v>
      </c>
    </row>
    <row r="4" spans="1:23" ht="18" x14ac:dyDescent="0.25">
      <c r="B4" s="41" t="s">
        <v>0</v>
      </c>
      <c r="C4" s="42">
        <f>INDEX('Full Agency'!AO14:AZ14,'Full Agency'!A2)</f>
        <v>45901.189260000072</v>
      </c>
      <c r="D4" s="50">
        <f>C4/INDEX('Full Agency'!N14:Y14,'Full Agency'!$A$2)</f>
        <v>1.4976316386607291</v>
      </c>
      <c r="E4" s="107">
        <f>C4/INDEX('Total Agency'!$Z$29:$AK$29,'Full Agency'!A2)</f>
        <v>0.76640059076302747</v>
      </c>
      <c r="F4" s="52">
        <f>'Full Agency'!$BE$14</f>
        <v>338123.87260000018</v>
      </c>
      <c r="G4" s="50">
        <f>'Full Agency'!$BV$14</f>
        <v>1.7325127140401251</v>
      </c>
      <c r="H4" s="50">
        <f>F4/SUM('Total Agency'!$Z$29:INDEX('Total Agency'!$Z$29:$AK$29,'Full Agency'!$A$2))</f>
        <v>1.0448517162269779</v>
      </c>
      <c r="M4" s="93"/>
      <c r="N4" s="93" t="s">
        <v>18</v>
      </c>
      <c r="O4" s="94">
        <f>'Full Agency'!$Z$14/1000</f>
        <v>195.16386221000005</v>
      </c>
      <c r="P4" s="97">
        <f>'Full Agency'!AJ12</f>
        <v>0.393832476553029</v>
      </c>
      <c r="R4" s="6"/>
    </row>
    <row r="5" spans="1:23" ht="18" x14ac:dyDescent="0.25">
      <c r="B5" s="43" t="s">
        <v>230</v>
      </c>
      <c r="C5" s="305">
        <f>INDEX('Full Agency'!AO25:AZ25,'Full Agency'!$A$2)</f>
        <v>13717</v>
      </c>
      <c r="D5" s="306">
        <f>C5/INDEX('Full Agency'!N24:Y24,'Full Agency'!$A$2)</f>
        <v>2.1652722967640097</v>
      </c>
      <c r="E5" s="307">
        <f>C5/INDEX('Total Agency'!$Z$40:$AK$40,'Full Agency'!A2)</f>
        <v>1.1820992161926396</v>
      </c>
      <c r="F5" s="308">
        <f>C5</f>
        <v>13717</v>
      </c>
      <c r="G5" s="53">
        <f>'Full Agency'!$BV$25</f>
        <v>2.1652722967640097</v>
      </c>
      <c r="H5" s="53">
        <f>E5</f>
        <v>1.1820992161926396</v>
      </c>
      <c r="M5" s="93"/>
      <c r="N5" s="93"/>
      <c r="O5" s="94"/>
      <c r="P5" s="97"/>
      <c r="R5" s="6"/>
    </row>
    <row r="6" spans="1:23" ht="18" x14ac:dyDescent="0.25">
      <c r="B6" s="43" t="s">
        <v>141</v>
      </c>
      <c r="C6" s="44">
        <f>INDEX('Full Agency'!AO24:AZ24,'Full Agency'!$A$2)</f>
        <v>7863</v>
      </c>
      <c r="D6" s="308"/>
      <c r="E6" s="308"/>
      <c r="F6" s="54">
        <f>C6</f>
        <v>7863</v>
      </c>
      <c r="G6" s="308"/>
      <c r="H6" s="308"/>
      <c r="M6" s="93" t="s">
        <v>103</v>
      </c>
      <c r="N6" s="93"/>
      <c r="O6" s="94">
        <f>SUM(O7:O11)</f>
        <v>27.226018444449995</v>
      </c>
      <c r="P6" s="93"/>
      <c r="T6" s="6">
        <f>SUM(T7:T12)</f>
        <v>24784.335060189998</v>
      </c>
      <c r="U6" s="8">
        <f>O6/(T6/10^3)-1</f>
        <v>9.8517203642149109E-2</v>
      </c>
    </row>
    <row r="7" spans="1:23" ht="18" x14ac:dyDescent="0.25">
      <c r="B7" s="43" t="s">
        <v>46</v>
      </c>
      <c r="C7" s="44">
        <f>INDEX('Full Agency'!AO92:AZ92,'Full Agency'!$A$2)</f>
        <v>1164</v>
      </c>
      <c r="D7" s="53">
        <f>C7/INDEX('Full Agency'!N92:Y92,'Full Agency'!$A$2)</f>
        <v>1.2529601722282024</v>
      </c>
      <c r="E7" s="53">
        <f>C7/(INDEX('Total Agency'!$Z$8:$AK$8,'Full Agency'!A2)+INDEX('Total Agency'!$Z$15:$AK$15,'Full Agency'!A2))</f>
        <v>0.95737426411510584</v>
      </c>
      <c r="F7" s="54">
        <f>'Full Agency'!$BE$92</f>
        <v>7588</v>
      </c>
      <c r="G7" s="53">
        <f>'Full Agency'!$BV$92</f>
        <v>1.645273200346921</v>
      </c>
      <c r="H7" s="53">
        <f>F7/SUM('Plan Yearly Summary'!$D$30:INDEX('Plan Yearly Summary'!$D$30:$E$41,'Full Agency'!A2,2))</f>
        <v>1.0227902576100558</v>
      </c>
      <c r="M7" s="93"/>
      <c r="N7" s="93" t="s">
        <v>104</v>
      </c>
      <c r="O7" s="94">
        <f t="shared" ref="O7:O11" si="0">R7/1000</f>
        <v>21.739469999999997</v>
      </c>
      <c r="P7" s="97">
        <f>O7/([7]Data!$K$19/1000)-1</f>
        <v>0.46994981493326882</v>
      </c>
      <c r="R7" s="6">
        <f>[8]Sheet6!$M$142</f>
        <v>21739.469999999998</v>
      </c>
      <c r="S7" t="s">
        <v>109</v>
      </c>
      <c r="T7" s="6">
        <f>'[9]201610'!$M$10</f>
        <v>14753.534</v>
      </c>
      <c r="V7" s="8"/>
    </row>
    <row r="8" spans="1:23" ht="18" x14ac:dyDescent="0.25">
      <c r="B8" s="43" t="s">
        <v>11</v>
      </c>
      <c r="C8" s="45">
        <f>INDEX('Full Agency'!AO50:AZ50,'Full Agency'!$A$2)</f>
        <v>0.11158346187126143</v>
      </c>
      <c r="D8" s="59">
        <f>C8/INDEX('Full Agency'!N51:Y51,'Full Agency'!$A$2)</f>
        <v>0.51762801358141663</v>
      </c>
      <c r="E8" s="59">
        <f>C8/INDEX('Total Agency'!$Z$66:$AK$66,'Full Agency'!$A$2)</f>
        <v>0.50135860671983412</v>
      </c>
      <c r="F8" s="53">
        <f>'Full Agency'!$BE$50</f>
        <v>0.14723552233770615</v>
      </c>
      <c r="G8" s="53">
        <f>'Full Agency'!$BV$50</f>
        <v>0.65761217948507056</v>
      </c>
      <c r="H8" s="53">
        <f>F8/(SUM('Total Agency'!$Z$55:INDEX('Total Agency'!$Z$55:$AK$55,'Full Agency'!$A$2))/SUM('Total Agency'!$Z$40:INDEX('Total Agency'!$Z$40:$AK$40,'Full Agency'!$A$2)))</f>
        <v>0.77219027908152926</v>
      </c>
      <c r="M8" s="93"/>
      <c r="N8" s="93"/>
      <c r="O8" s="94"/>
      <c r="P8" s="97"/>
      <c r="R8" s="6"/>
      <c r="T8" s="6"/>
      <c r="V8" s="8"/>
    </row>
    <row r="9" spans="1:23" ht="18" x14ac:dyDescent="0.25">
      <c r="B9" s="43" t="s">
        <v>231</v>
      </c>
      <c r="C9" s="45">
        <f>INDEX('Full Agency'!AO49:AZ49,'Full Agency'!$A$2)</f>
        <v>0.18024940168787001</v>
      </c>
      <c r="D9" s="308"/>
      <c r="E9" s="308"/>
      <c r="F9" s="53">
        <f>'Full Agency'!$BE$49</f>
        <v>0.1910053003222455</v>
      </c>
      <c r="G9" s="308"/>
      <c r="H9" s="308"/>
      <c r="I9" s="8">
        <f>F9/J9</f>
        <v>0.65877752404248746</v>
      </c>
      <c r="J9" s="8">
        <f>(2*SUM('[10]Yearly Model'!$K$5:$K$13)/('[10]Yearly Model'!$C$5+SUM('[10]Yearly Model'!$H$5:$H$12)*2+'[10]Yearly Model'!$H$13))</f>
        <v>0.28993900573621684</v>
      </c>
      <c r="M9" s="93"/>
      <c r="N9" s="93" t="s">
        <v>105</v>
      </c>
      <c r="O9" s="94">
        <f t="shared" si="0"/>
        <v>4.7677050000000003</v>
      </c>
      <c r="P9" s="95">
        <f>O9/('[9]201610'!$M$14/10^3)-1</f>
        <v>-0.11930173004743094</v>
      </c>
      <c r="R9" s="6">
        <f>[11]Channel!$AI$15/10^6</f>
        <v>4767.7049999999999</v>
      </c>
      <c r="S9" t="s">
        <v>109</v>
      </c>
      <c r="T9" s="6">
        <f>'[9]201610'!$M$14</f>
        <v>5413.5510000000004</v>
      </c>
      <c r="W9" s="8"/>
    </row>
    <row r="10" spans="1:23" ht="18" x14ac:dyDescent="0.25">
      <c r="B10" s="43" t="s">
        <v>53</v>
      </c>
      <c r="C10" s="47">
        <f>INDEX('Full Agency'!AO74:AZ74,'Full Agency'!$A$2)</f>
        <v>1.8127183787561145</v>
      </c>
      <c r="D10" s="59">
        <f>C10/INDEX('Full Agency'!N74:Y74,'Full Agency'!$A$2)</f>
        <v>1.2637898223366206</v>
      </c>
      <c r="E10" s="265">
        <f>C10/INDEX('Total Agency'!$Z$88:$AK$88,'Full Agency'!$A$2)</f>
        <v>1.2580907829078047</v>
      </c>
      <c r="F10" s="56">
        <f>'Full Agency'!$BE$74</f>
        <v>1.840232322301097</v>
      </c>
      <c r="G10" s="53">
        <f>'Full Agency'!$BV$74</f>
        <v>1.1948826080794286</v>
      </c>
      <c r="H10" s="53">
        <f>F10/(SUM('Total Agency'!$Z$77:INDEX('Total Agency'!$Z$77:$AK$77,'Full Agency'!$A$2))/SUM('Total Agency'!$Z$55:INDEX('Total Agency'!$Z$55:$AK$55,'Full Agency'!$A$2)))</f>
        <v>1.2905476877717623</v>
      </c>
      <c r="I10" s="8">
        <f>F10/J10</f>
        <v>1.210492001607419</v>
      </c>
      <c r="J10" s="4">
        <f>(SUM('[10]Yearly Model'!$M$5:$M$13)/SUM('[10]Yearly Model'!$K$5:$K$13))</f>
        <v>1.520235011761699</v>
      </c>
      <c r="M10" s="93"/>
      <c r="N10" s="93" t="s">
        <v>111</v>
      </c>
      <c r="O10" s="94">
        <f t="shared" si="0"/>
        <v>0.105587</v>
      </c>
      <c r="P10" s="95"/>
      <c r="R10" s="6">
        <f>[11]Channel!$AI$18/10^6</f>
        <v>105.587</v>
      </c>
      <c r="S10" t="s">
        <v>109</v>
      </c>
      <c r="T10" s="6"/>
    </row>
    <row r="11" spans="1:23" ht="18" x14ac:dyDescent="0.25">
      <c r="B11" s="43" t="s">
        <v>14</v>
      </c>
      <c r="C11" s="47">
        <f>INDEX('Full Agency'!AO$86:AZ$86,'Full Agency'!$A$2)</f>
        <v>17.530903623747133</v>
      </c>
      <c r="D11" s="59">
        <f>INDEX('Full Agency'!BF86:BQ86,'Full Agency'!$A$2)</f>
        <v>1.0975338934886991</v>
      </c>
      <c r="E11" s="59">
        <f>C11/INDEX('Total Agency'!$Z$99:$AK$99,'Full Agency'!A2)</f>
        <v>1.0892087418733634</v>
      </c>
      <c r="F11" s="56">
        <f>'Full Agency'!$BE$86</f>
        <v>16.626615750713896</v>
      </c>
      <c r="G11" s="53">
        <f>'Full Agency'!$BV$86</f>
        <v>0.98634841946794094</v>
      </c>
      <c r="H11" s="53">
        <f>F11/(SUM('Total Agency'!$Z$29:INDEX('Total Agency'!$Z$29:$AK$29,'Full Agency'!A2))/SUM('Total Agency'!$Z$77:INDEX('Total Agency'!$Z$77:$AK$77,'Full Agency'!A2)))</f>
        <v>1.0337080122887092</v>
      </c>
      <c r="I11" s="8">
        <f>F11/J11</f>
        <v>0.94537099430598359</v>
      </c>
      <c r="J11" s="4">
        <f>(SUM('[10]Yearly Model'!O5:O13)/SUM('[10]Yearly Model'!M5:M13))</f>
        <v>17.587397805577734</v>
      </c>
      <c r="M11" s="93"/>
      <c r="N11" s="93" t="s">
        <v>106</v>
      </c>
      <c r="O11" s="94">
        <f t="shared" si="0"/>
        <v>0.61325644444999927</v>
      </c>
      <c r="P11" s="95">
        <f>O11/('[9]201610'!$M$18/10^3)-1</f>
        <v>-0.86718145293071613</v>
      </c>
      <c r="R11" s="6">
        <f>SUM([12]SUM!$L$21:$L$23)</f>
        <v>613.25644444999932</v>
      </c>
      <c r="S11" t="s">
        <v>110</v>
      </c>
      <c r="T11" s="6">
        <f>'[9]201610'!$M$18</f>
        <v>4617.2500601900001</v>
      </c>
      <c r="V11" s="8"/>
    </row>
    <row r="12" spans="1:23" ht="18" x14ac:dyDescent="0.25">
      <c r="B12" s="46" t="s">
        <v>98</v>
      </c>
      <c r="C12" s="48">
        <f>C4/C6</f>
        <v>5.8376178634109213</v>
      </c>
      <c r="D12" s="60">
        <f>C12/(INDEX('Full Agency'!N14:Y14,'Full Agency'!$A$2)/INDEX('Full Agency'!N24:Y24,'Full Agency'!$A$2))</f>
        <v>1.2066000802385499</v>
      </c>
      <c r="E12" s="60">
        <f>C12/INDEX('Total Agency'!$Z$121:$AK$121,'Full Agency'!A2)</f>
        <v>1.1310264579567237</v>
      </c>
      <c r="F12" s="58">
        <f>F4/SUM('Full Agency'!$AO$24:INDEX('Full Agency'!AO$24:AZ$24,'Full Agency'!$A$2))</f>
        <v>6.0597848059070252</v>
      </c>
      <c r="G12" s="60">
        <f>F12/('Full Agency'!Z14/SUM('Full Agency'!N24:INDEX('Full Agency'!N24:Y24,'Full Agency'!$A$2)))</f>
        <v>1.0599756090164845</v>
      </c>
      <c r="H12" s="53">
        <f>F12/(SUM('Total Agency'!$Z$29:INDEX('Total Agency'!$Z$29:$AK$29,'Full Agency'!A2))/SUM('Total Agency'!$Z$40:INDEX('Total Agency'!$Z$40:$AK$40,'Full Agency'!A2)))</f>
        <v>1.3856844885090414</v>
      </c>
      <c r="I12" s="8">
        <f>F12/J12</f>
        <v>0.79133064023517974</v>
      </c>
      <c r="J12" s="10">
        <f>(SUM('[10]Yearly Model'!O5:O13)/SUM('[10]Yearly Model'!H5:H13))</f>
        <v>7.6577153692748281</v>
      </c>
      <c r="M12" s="93"/>
      <c r="N12" s="93"/>
      <c r="O12" s="93"/>
      <c r="P12" s="95"/>
      <c r="T12" s="6"/>
    </row>
    <row r="13" spans="1:23" x14ac:dyDescent="0.25">
      <c r="B13" s="141" t="s">
        <v>142</v>
      </c>
      <c r="C13" s="140"/>
      <c r="D13" s="8"/>
      <c r="F13" s="10"/>
      <c r="G13" s="64"/>
      <c r="I13" s="8">
        <f>F13/J13</f>
        <v>0</v>
      </c>
      <c r="J13" s="92">
        <v>26.736977909820141</v>
      </c>
      <c r="M13" s="93" t="s">
        <v>61</v>
      </c>
      <c r="N13" s="93"/>
      <c r="O13" s="98">
        <f>SUM(O3,O7:O12)</f>
        <v>68.145739094450022</v>
      </c>
      <c r="P13" s="97">
        <f>O13/('[9]201610'!$M$22/10^3)-1</f>
        <v>0.35015150537057371</v>
      </c>
    </row>
    <row r="14" spans="1:23" x14ac:dyDescent="0.25">
      <c r="E14" s="8"/>
    </row>
    <row r="15" spans="1:23" x14ac:dyDescent="0.25">
      <c r="D15" s="143" t="s">
        <v>143</v>
      </c>
      <c r="M15" s="93" t="s">
        <v>112</v>
      </c>
      <c r="N15" s="93"/>
      <c r="O15" s="96">
        <f>'Full Agency'!$W$92</f>
        <v>1190</v>
      </c>
      <c r="P15" s="97">
        <f>O15/'Full Agency'!$K$92-1</f>
        <v>1.5646551724137931</v>
      </c>
    </row>
    <row r="17" spans="2:16" hidden="1" outlineLevel="1" x14ac:dyDescent="0.25">
      <c r="B17" t="s">
        <v>64</v>
      </c>
      <c r="C17" s="12">
        <f>'Full Agency'!V12/'Full Agency'!V36</f>
        <v>28.291338523644789</v>
      </c>
      <c r="D17" s="8">
        <f>C17/('Full Agency'!J12/'Full Agency'!J36)</f>
        <v>0.99260355172146153</v>
      </c>
      <c r="E17" s="4">
        <f>'[10]Yearly Model'!$O$13/'[10]Yearly Model'!$K$13</f>
        <v>28.8</v>
      </c>
      <c r="F17" s="8">
        <f>C17/E17</f>
        <v>0.98233814318211077</v>
      </c>
      <c r="N17" s="102" t="s">
        <v>118</v>
      </c>
      <c r="O17" s="102" t="s">
        <v>117</v>
      </c>
      <c r="P17" s="102" t="s">
        <v>116</v>
      </c>
    </row>
    <row r="18" spans="2:16" hidden="1" outlineLevel="1" x14ac:dyDescent="0.25">
      <c r="C18" s="6"/>
      <c r="N18" t="s">
        <v>113</v>
      </c>
      <c r="O18" s="99">
        <f>[7]Data!$W$16/[7]Data!$K$16-1</f>
        <v>0.31420432958375666</v>
      </c>
      <c r="P18" s="99">
        <f>[7]Data!$AJ$16-1</f>
        <v>0.90600804174406457</v>
      </c>
    </row>
    <row r="19" spans="2:16" hidden="1" outlineLevel="1" x14ac:dyDescent="0.25">
      <c r="B19" t="s">
        <v>65</v>
      </c>
      <c r="C19" s="8">
        <v>0.95197900000000002</v>
      </c>
      <c r="O19" t="s">
        <v>115</v>
      </c>
    </row>
    <row r="20" spans="2:16" hidden="1" outlineLevel="1" x14ac:dyDescent="0.25">
      <c r="B20" t="s">
        <v>66</v>
      </c>
      <c r="C20" s="8">
        <v>0.60148999999999997</v>
      </c>
      <c r="N20" t="s">
        <v>114</v>
      </c>
      <c r="O20" s="99">
        <f>[7]Data!$W$17/[7]Data!$V$17-1</f>
        <v>0.54044352199587209</v>
      </c>
    </row>
    <row r="21" spans="2:16" hidden="1" outlineLevel="1" x14ac:dyDescent="0.25">
      <c r="B21" t="s">
        <v>67</v>
      </c>
      <c r="C21" s="8">
        <v>0.82688700000000004</v>
      </c>
    </row>
    <row r="22" spans="2:16" hidden="1" outlineLevel="1" x14ac:dyDescent="0.25"/>
    <row r="23" spans="2:16" hidden="1" outlineLevel="1" x14ac:dyDescent="0.25"/>
    <row r="24" spans="2:16" ht="18" hidden="1" customHeight="1" outlineLevel="1" x14ac:dyDescent="0.25">
      <c r="B24" s="40"/>
      <c r="C24" s="315" t="s">
        <v>96</v>
      </c>
      <c r="D24" s="316"/>
      <c r="E24" s="317"/>
      <c r="F24" s="315" t="s">
        <v>95</v>
      </c>
      <c r="G24" s="316"/>
      <c r="H24" s="317"/>
    </row>
    <row r="25" spans="2:16" ht="18" hidden="1" outlineLevel="1" x14ac:dyDescent="0.25">
      <c r="B25" s="49" t="s">
        <v>42</v>
      </c>
      <c r="C25" s="49" t="s">
        <v>89</v>
      </c>
      <c r="D25" s="49" t="s">
        <v>90</v>
      </c>
      <c r="E25" s="49" t="s">
        <v>91</v>
      </c>
      <c r="F25" s="49" t="s">
        <v>89</v>
      </c>
      <c r="G25" s="49" t="s">
        <v>90</v>
      </c>
      <c r="H25" s="49" t="s">
        <v>91</v>
      </c>
    </row>
    <row r="26" spans="2:16" ht="18" hidden="1" outlineLevel="1" x14ac:dyDescent="0.25">
      <c r="B26" s="41" t="s">
        <v>0</v>
      </c>
      <c r="C26" s="42">
        <f>'Full Agency'!$AC$14</f>
        <v>112574.3236700001</v>
      </c>
      <c r="D26" s="50">
        <f>C26/('Full Agency'!AH12+'Full Agency'!AH13*0.1)</f>
        <v>1.3176232057052142</v>
      </c>
      <c r="E26" s="51">
        <f>C26/SUM('[10]Yearly Model'!$O$11:$O$13)</f>
        <v>0.81382729785732311</v>
      </c>
      <c r="F26" s="52">
        <f>F4</f>
        <v>338123.87260000018</v>
      </c>
      <c r="G26" s="50">
        <f t="shared" ref="G26:H26" si="1">G4</f>
        <v>1.7325127140401251</v>
      </c>
      <c r="H26" s="50">
        <f t="shared" si="1"/>
        <v>1.0448517162269779</v>
      </c>
    </row>
    <row r="27" spans="2:16" ht="18" hidden="1" outlineLevel="1" x14ac:dyDescent="0.25">
      <c r="B27" s="43" t="s">
        <v>92</v>
      </c>
      <c r="C27" s="44">
        <f>C6</f>
        <v>7863</v>
      </c>
      <c r="D27" s="53">
        <f>D6</f>
        <v>0</v>
      </c>
      <c r="E27" s="53">
        <f>C27/'[10]Yearly Model'!$H$13</f>
        <v>1.5424133946537957</v>
      </c>
      <c r="F27" s="54">
        <f t="shared" ref="F27:H27" si="2">F6</f>
        <v>7863</v>
      </c>
      <c r="G27" s="53">
        <f t="shared" si="2"/>
        <v>0</v>
      </c>
      <c r="H27" s="53">
        <f t="shared" si="2"/>
        <v>0</v>
      </c>
    </row>
    <row r="28" spans="2:16" ht="18" hidden="1" outlineLevel="1" x14ac:dyDescent="0.25">
      <c r="B28" s="43" t="s">
        <v>93</v>
      </c>
      <c r="C28" s="44">
        <f>'Full Agency'!$AC$92</f>
        <v>3265</v>
      </c>
      <c r="D28" s="53">
        <f>C28/'Full Agency'!AH92</f>
        <v>2.0730158730158732</v>
      </c>
      <c r="E28" s="53">
        <f>C28/SUM('[10]Yearly Model'!$D$11:$E$13)</f>
        <v>1.5790447015528202</v>
      </c>
      <c r="F28" s="54">
        <f t="shared" ref="F28:H28" si="3">F7</f>
        <v>7588</v>
      </c>
      <c r="G28" s="53">
        <f t="shared" si="3"/>
        <v>1.645273200346921</v>
      </c>
      <c r="H28" s="53">
        <f t="shared" si="3"/>
        <v>1.0227902576100558</v>
      </c>
    </row>
    <row r="29" spans="2:16" ht="18" hidden="1" outlineLevel="1" x14ac:dyDescent="0.25">
      <c r="B29" s="43" t="s">
        <v>94</v>
      </c>
      <c r="C29" s="45">
        <f>'Full Agency'!$AC$51</f>
        <v>0.22244923383580417</v>
      </c>
      <c r="D29" s="61">
        <f>C29/'Full Agency'!AH51</f>
        <v>0.67295392053065461</v>
      </c>
      <c r="E29" s="61">
        <f>C29/AVERAGE('[10]Yearly Model'!$J$11:$J$13)</f>
        <v>0.67408858738122468</v>
      </c>
      <c r="F29" s="53">
        <f t="shared" ref="F29:H29" si="4">F9</f>
        <v>0.1910053003222455</v>
      </c>
      <c r="G29" s="59">
        <f t="shared" si="4"/>
        <v>0</v>
      </c>
      <c r="H29" s="53">
        <f t="shared" si="4"/>
        <v>0</v>
      </c>
    </row>
    <row r="30" spans="2:16" ht="18" hidden="1" outlineLevel="1" x14ac:dyDescent="0.25">
      <c r="B30" s="43" t="s">
        <v>53</v>
      </c>
      <c r="C30" s="47">
        <f>'Full Agency'!$AC$74</f>
        <v>1.5945340501792116</v>
      </c>
      <c r="D30" s="53">
        <f>C30/'Full Agency'!AH74</f>
        <v>1.1040138813606175</v>
      </c>
      <c r="E30" s="53">
        <f>C30/(SUM('[10]Yearly Model'!$M$11:$M$13)/SUM('[10]Yearly Model'!$K$11:$K$13))</f>
        <v>0.9965837813620072</v>
      </c>
      <c r="F30" s="56">
        <f t="shared" ref="F30:H30" si="5">F10</f>
        <v>1.840232322301097</v>
      </c>
      <c r="G30" s="53">
        <f t="shared" si="5"/>
        <v>1.1948826080794286</v>
      </c>
      <c r="H30" s="53">
        <f t="shared" si="5"/>
        <v>1.2905476877717623</v>
      </c>
    </row>
    <row r="31" spans="2:16" ht="18" hidden="1" outlineLevel="1" x14ac:dyDescent="0.25">
      <c r="B31" s="43" t="s">
        <v>97</v>
      </c>
      <c r="C31" s="47">
        <f>'Full Agency'!$AC$86</f>
        <v>15.583908401236316</v>
      </c>
      <c r="D31" s="55">
        <f>C31/'Full Agency'!AH86</f>
        <v>0.85225084136847484</v>
      </c>
      <c r="E31" s="55">
        <f>C31/(SUM('[10]Yearly Model'!$O$11:$O$13)/SUM('[10]Yearly Model'!$M$11:$M$13))</f>
        <v>0.86577268895757309</v>
      </c>
      <c r="F31" s="56">
        <f t="shared" ref="F31:H31" si="6">F11</f>
        <v>16.626615750713896</v>
      </c>
      <c r="G31" s="53">
        <f t="shared" si="6"/>
        <v>0.98634841946794094</v>
      </c>
      <c r="H31" s="53">
        <f t="shared" si="6"/>
        <v>1.0337080122887092</v>
      </c>
    </row>
    <row r="32" spans="2:16" ht="18" hidden="1" outlineLevel="1" x14ac:dyDescent="0.25">
      <c r="B32" s="46" t="s">
        <v>99</v>
      </c>
      <c r="C32" s="48">
        <f>C26/SUM('Full Agency'!T24:V24)</f>
        <v>5.3578755732711487</v>
      </c>
      <c r="D32" s="57">
        <f>C32/(('Full Agency'!AH12+'Full Agency'!AH13*0.1)/SUM('Full Agency'!H24:J24))</f>
        <v>0.62102815697009828</v>
      </c>
      <c r="E32" s="57">
        <f>C32/(SUM('[10]Yearly Model'!$O$11:$O$13)/SUM('[10]Yearly Model'!$H$11:$H$13))</f>
        <v>0.57276300745095399</v>
      </c>
      <c r="F32" s="58">
        <f t="shared" ref="F32:H32" si="7">F12</f>
        <v>6.0597848059070252</v>
      </c>
      <c r="G32" s="60">
        <f t="shared" si="7"/>
        <v>1.0599756090164845</v>
      </c>
      <c r="H32" s="53">
        <f t="shared" si="7"/>
        <v>1.3856844885090414</v>
      </c>
    </row>
    <row r="33" spans="2:8" hidden="1" outlineLevel="1" x14ac:dyDescent="0.25"/>
    <row r="34" spans="2:8" hidden="1" outlineLevel="1" x14ac:dyDescent="0.25"/>
    <row r="35" spans="2:8" ht="18" hidden="1" outlineLevel="1" x14ac:dyDescent="0.25">
      <c r="B35" s="105" t="s">
        <v>120</v>
      </c>
    </row>
    <row r="36" spans="2:8" ht="23.25" hidden="1" outlineLevel="1" x14ac:dyDescent="0.25">
      <c r="B36" s="40"/>
      <c r="C36" s="315" t="s">
        <v>96</v>
      </c>
      <c r="D36" s="316"/>
      <c r="E36" s="317"/>
      <c r="F36" s="315" t="s">
        <v>95</v>
      </c>
      <c r="G36" s="316"/>
      <c r="H36" s="317"/>
    </row>
    <row r="37" spans="2:8" ht="18" hidden="1" outlineLevel="1" x14ac:dyDescent="0.25">
      <c r="B37" s="49" t="s">
        <v>42</v>
      </c>
      <c r="C37" s="49" t="s">
        <v>89</v>
      </c>
      <c r="D37" s="49" t="s">
        <v>90</v>
      </c>
      <c r="E37" s="49" t="s">
        <v>91</v>
      </c>
      <c r="F37" s="49" t="s">
        <v>89</v>
      </c>
      <c r="G37" s="49" t="s">
        <v>90</v>
      </c>
      <c r="H37" s="49" t="s">
        <v>91</v>
      </c>
    </row>
    <row r="38" spans="2:8" ht="18" hidden="1" outlineLevel="1" x14ac:dyDescent="0.25">
      <c r="B38" s="41" t="s">
        <v>0</v>
      </c>
      <c r="C38" s="42">
        <v>112574.3236700001</v>
      </c>
      <c r="D38" s="50">
        <v>3.7833637909251343</v>
      </c>
      <c r="E38" s="51">
        <v>0.81382729785732311</v>
      </c>
      <c r="F38" s="52">
        <v>318008.7214600002</v>
      </c>
      <c r="G38" s="50">
        <v>1.4220670888454021</v>
      </c>
      <c r="H38" s="50">
        <v>0.89291439759171876</v>
      </c>
    </row>
    <row r="39" spans="2:8" ht="18" hidden="1" outlineLevel="1" x14ac:dyDescent="0.25">
      <c r="B39" s="43" t="s">
        <v>92</v>
      </c>
      <c r="C39" s="44">
        <v>8408</v>
      </c>
      <c r="D39" s="53">
        <v>2.3035616438356166</v>
      </c>
      <c r="E39" s="53">
        <v>1.6493211016468414</v>
      </c>
      <c r="F39" s="54">
        <v>8408</v>
      </c>
      <c r="G39" s="53">
        <v>2.3035616438356166</v>
      </c>
      <c r="H39" s="53">
        <v>1.6024849103368246</v>
      </c>
    </row>
    <row r="40" spans="2:8" ht="18" hidden="1" outlineLevel="1" x14ac:dyDescent="0.25">
      <c r="B40" s="43" t="s">
        <v>93</v>
      </c>
      <c r="C40" s="44">
        <v>3265</v>
      </c>
      <c r="D40" s="53">
        <v>2.0730158730158732</v>
      </c>
      <c r="E40" s="53">
        <v>1.5790447015528202</v>
      </c>
      <c r="F40" s="54">
        <v>8138</v>
      </c>
      <c r="G40" s="53">
        <v>1.7147071217867678</v>
      </c>
      <c r="H40" s="53">
        <v>1.511769059938489</v>
      </c>
    </row>
    <row r="41" spans="2:8" ht="18" hidden="1" outlineLevel="1" x14ac:dyDescent="0.25">
      <c r="B41" s="43" t="s">
        <v>94</v>
      </c>
      <c r="C41" s="45">
        <v>0.22244923383580417</v>
      </c>
      <c r="D41" s="61">
        <v>0.67295392053065461</v>
      </c>
      <c r="E41" s="61">
        <v>0.67408858738122468</v>
      </c>
      <c r="F41" s="53">
        <v>0.21815111708260329</v>
      </c>
      <c r="G41" s="59">
        <v>0.7851221191658132</v>
      </c>
      <c r="H41" s="53">
        <v>0.7435358135195187</v>
      </c>
    </row>
    <row r="42" spans="2:8" ht="18" hidden="1" outlineLevel="1" x14ac:dyDescent="0.25">
      <c r="B42" s="43" t="s">
        <v>53</v>
      </c>
      <c r="C42" s="47">
        <v>1.5945340501792116</v>
      </c>
      <c r="D42" s="53">
        <v>1.0742790622650149</v>
      </c>
      <c r="E42" s="53">
        <v>0.9965837813620072</v>
      </c>
      <c r="F42" s="56">
        <v>1.5751976695796921</v>
      </c>
      <c r="G42" s="53">
        <v>1.0788245418124687</v>
      </c>
      <c r="H42" s="53">
        <v>1.0293779246820749</v>
      </c>
    </row>
    <row r="43" spans="2:8" ht="18" hidden="1" outlineLevel="1" x14ac:dyDescent="0.25">
      <c r="B43" s="43" t="s">
        <v>97</v>
      </c>
      <c r="C43" s="47">
        <v>15.583908401236316</v>
      </c>
      <c r="D43" s="55">
        <v>0.80643117877349269</v>
      </c>
      <c r="E43" s="55">
        <v>0.86577268895757309</v>
      </c>
      <c r="F43" s="56">
        <v>16.802743393215692</v>
      </c>
      <c r="G43" s="53">
        <v>0.93898951549750076</v>
      </c>
      <c r="H43" s="53">
        <v>0.95245426045781434</v>
      </c>
    </row>
    <row r="44" spans="2:8" ht="18" hidden="1" outlineLevel="1" x14ac:dyDescent="0.25">
      <c r="B44" s="46" t="s">
        <v>99</v>
      </c>
      <c r="C44" s="48">
        <v>5.3578755732711487</v>
      </c>
      <c r="D44" s="57">
        <v>1.7831922146271768</v>
      </c>
      <c r="E44" s="57">
        <v>0.57276300745095399</v>
      </c>
      <c r="F44" s="58">
        <v>5.5574555496137883</v>
      </c>
      <c r="G44" s="60">
        <v>0.7634458943995448</v>
      </c>
      <c r="H44" s="53">
        <v>0.71047120466054625</v>
      </c>
    </row>
    <row r="45" spans="2:8" hidden="1" outlineLevel="1" x14ac:dyDescent="0.25"/>
    <row r="46" spans="2:8" collapsed="1" x14ac:dyDescent="0.25"/>
  </sheetData>
  <mergeCells count="6">
    <mergeCell ref="C36:E36"/>
    <mergeCell ref="F36:H36"/>
    <mergeCell ref="C24:E24"/>
    <mergeCell ref="F24:H24"/>
    <mergeCell ref="C2:E2"/>
    <mergeCell ref="F2:H2"/>
  </mergeCells>
  <conditionalFormatting sqref="G26:H32 D26:E32">
    <cfRule type="cellIs" dxfId="209" priority="8" operator="greaterThanOrEqual">
      <formula>100%</formula>
    </cfRule>
    <cfRule type="cellIs" dxfId="208" priority="9" operator="lessThan">
      <formula>100%</formula>
    </cfRule>
  </conditionalFormatting>
  <conditionalFormatting sqref="G26:H32 D26:E32">
    <cfRule type="cellIs" dxfId="207" priority="7" operator="lessThan">
      <formula>0.9</formula>
    </cfRule>
  </conditionalFormatting>
  <conditionalFormatting sqref="G38:H44 D38:E44">
    <cfRule type="cellIs" dxfId="206" priority="5" operator="greaterThanOrEqual">
      <formula>100%</formula>
    </cfRule>
    <cfRule type="cellIs" dxfId="205" priority="6" operator="lessThan">
      <formula>100%</formula>
    </cfRule>
  </conditionalFormatting>
  <conditionalFormatting sqref="G38:H44 D38:E44">
    <cfRule type="cellIs" dxfId="204" priority="4" operator="lessThan">
      <formula>0.9</formula>
    </cfRule>
  </conditionalFormatting>
  <conditionalFormatting sqref="D4:E5 G4:H5 G7:H8 D7:E8 D10:E12 G10:H12">
    <cfRule type="cellIs" dxfId="203" priority="2" operator="greaterThanOrEqual">
      <formula>100%</formula>
    </cfRule>
    <cfRule type="cellIs" dxfId="202" priority="3" operator="lessThan">
      <formula>100%</formula>
    </cfRule>
  </conditionalFormatting>
  <conditionalFormatting sqref="D4:E5 G4:H5 G7:H8 D7:E8 D10:E12 G10:H12">
    <cfRule type="cellIs" dxfId="201" priority="1" operator="lessThan">
      <formula>0.9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7"/>
  <sheetViews>
    <sheetView topLeftCell="A13" workbookViewId="0">
      <selection activeCell="D22" sqref="D22"/>
    </sheetView>
  </sheetViews>
  <sheetFormatPr defaultRowHeight="15" x14ac:dyDescent="0.25"/>
  <cols>
    <col min="1" max="1" width="8" customWidth="1"/>
    <col min="2" max="2" width="10.375" style="266" customWidth="1"/>
    <col min="3" max="6" width="9.625" style="267" customWidth="1"/>
    <col min="7" max="7" width="9.625" style="268" customWidth="1"/>
    <col min="8" max="8" width="9.625" style="269" customWidth="1"/>
    <col min="9" max="9" width="9.625" style="267" customWidth="1"/>
    <col min="10" max="10" width="12.375" style="267" bestFit="1" customWidth="1"/>
    <col min="11" max="11" width="9.625" style="268" customWidth="1"/>
    <col min="12" max="14" width="9.625" style="267" customWidth="1"/>
    <col min="15" max="15" width="9.625" style="268" customWidth="1"/>
    <col min="16" max="16" width="9.625" style="270" customWidth="1"/>
    <col min="17" max="17" width="9.625" style="267" customWidth="1"/>
    <col min="18" max="18" width="9.625" style="269" customWidth="1"/>
    <col min="19" max="19" width="11.875" style="267" customWidth="1"/>
    <col min="20" max="20" width="10.125" style="269" bestFit="1" customWidth="1"/>
    <col min="21" max="21" width="10.25" style="269" bestFit="1" customWidth="1"/>
    <col min="22" max="22" width="17.125" style="271" bestFit="1" customWidth="1"/>
    <col min="23" max="23" width="17.125" style="271" customWidth="1"/>
    <col min="24" max="24" width="10.25" style="272" customWidth="1"/>
    <col min="26" max="26" width="13.375" bestFit="1" customWidth="1"/>
    <col min="27" max="27" width="11" bestFit="1" customWidth="1"/>
  </cols>
  <sheetData>
    <row r="1" spans="1:28" x14ac:dyDescent="0.25">
      <c r="J1" s="270"/>
      <c r="S1" s="267">
        <v>-156.68629347835667</v>
      </c>
    </row>
    <row r="2" spans="1:28" x14ac:dyDescent="0.25">
      <c r="B2" s="266">
        <v>1</v>
      </c>
      <c r="C2" s="267">
        <v>2</v>
      </c>
      <c r="D2" s="266">
        <v>3</v>
      </c>
      <c r="E2" s="267">
        <v>4</v>
      </c>
      <c r="F2" s="266">
        <v>5</v>
      </c>
      <c r="G2" s="267">
        <v>6</v>
      </c>
      <c r="H2" s="266">
        <v>7</v>
      </c>
      <c r="I2" s="267">
        <v>8</v>
      </c>
      <c r="J2" s="266">
        <v>9</v>
      </c>
      <c r="K2" s="267">
        <v>10</v>
      </c>
      <c r="L2" s="266">
        <v>11</v>
      </c>
      <c r="M2" s="267">
        <v>12</v>
      </c>
      <c r="N2" s="266">
        <v>13</v>
      </c>
      <c r="O2" s="267">
        <v>14</v>
      </c>
      <c r="P2" s="266">
        <v>15</v>
      </c>
      <c r="Q2" s="267">
        <v>16</v>
      </c>
      <c r="R2" s="266">
        <v>17</v>
      </c>
      <c r="S2" s="267">
        <v>18</v>
      </c>
      <c r="T2" s="266">
        <v>19</v>
      </c>
      <c r="U2" s="267">
        <v>20</v>
      </c>
      <c r="X2" s="273"/>
      <c r="AA2" s="65">
        <v>0</v>
      </c>
    </row>
    <row r="3" spans="1:28" ht="38.25" x14ac:dyDescent="0.25">
      <c r="B3" s="274" t="s">
        <v>208</v>
      </c>
      <c r="C3" s="275" t="s">
        <v>209</v>
      </c>
      <c r="D3" s="275" t="s">
        <v>210</v>
      </c>
      <c r="E3" s="275" t="s">
        <v>211</v>
      </c>
      <c r="F3" s="275" t="s">
        <v>198</v>
      </c>
      <c r="G3" s="276" t="s">
        <v>197</v>
      </c>
      <c r="H3" s="277" t="s">
        <v>212</v>
      </c>
      <c r="I3" s="275" t="s">
        <v>213</v>
      </c>
      <c r="J3" s="275" t="s">
        <v>214</v>
      </c>
      <c r="K3" s="276" t="s">
        <v>215</v>
      </c>
      <c r="L3" s="275" t="s">
        <v>216</v>
      </c>
      <c r="M3" s="275" t="s">
        <v>92</v>
      </c>
      <c r="N3" s="275" t="s">
        <v>217</v>
      </c>
      <c r="O3" s="276" t="s">
        <v>11</v>
      </c>
      <c r="P3" s="278" t="s">
        <v>218</v>
      </c>
      <c r="Q3" s="275" t="s">
        <v>219</v>
      </c>
      <c r="R3" s="277" t="s">
        <v>14</v>
      </c>
      <c r="S3" s="275" t="s">
        <v>0</v>
      </c>
      <c r="T3" s="277" t="s">
        <v>206</v>
      </c>
      <c r="U3" s="277" t="s">
        <v>220</v>
      </c>
      <c r="V3" s="279"/>
      <c r="W3" s="279"/>
      <c r="X3" s="280"/>
      <c r="Z3" s="14">
        <v>471477.18758582999</v>
      </c>
      <c r="AA3" s="65">
        <v>0</v>
      </c>
    </row>
    <row r="4" spans="1:28" x14ac:dyDescent="0.25">
      <c r="B4" s="281">
        <v>2016</v>
      </c>
      <c r="C4" s="282">
        <v>9212.6747621484792</v>
      </c>
      <c r="D4" s="282">
        <v>1061</v>
      </c>
      <c r="E4" s="282">
        <v>10320.916560827747</v>
      </c>
      <c r="F4" s="282">
        <v>5175.1325632893004</v>
      </c>
      <c r="G4" s="283">
        <v>0.31722040253240313</v>
      </c>
      <c r="H4" s="284">
        <v>1.99432892483585</v>
      </c>
      <c r="I4" s="282">
        <v>11124.831529778599</v>
      </c>
      <c r="J4" s="282">
        <v>4996.9078307936006</v>
      </c>
      <c r="K4" s="283">
        <v>7.0776304819396479E-2</v>
      </c>
      <c r="L4" s="282">
        <v>1902.2251123898</v>
      </c>
      <c r="M4" s="282">
        <v>10244.923698985</v>
      </c>
      <c r="N4" s="282">
        <v>18091.673146246114</v>
      </c>
      <c r="O4" s="283">
        <v>0.23578557538102102</v>
      </c>
      <c r="P4" s="285">
        <v>1.5309299103746168</v>
      </c>
      <c r="Q4" s="282">
        <v>27697.083548309423</v>
      </c>
      <c r="R4" s="284">
        <v>17.022629359639133</v>
      </c>
      <c r="S4" s="282">
        <v>471477.18758582999</v>
      </c>
      <c r="T4" s="284">
        <v>26.060452439892657</v>
      </c>
      <c r="U4" s="284">
        <v>6.1446787732298231</v>
      </c>
      <c r="V4" s="286"/>
      <c r="W4" s="273"/>
      <c r="X4" s="272">
        <v>5.3857577803260712</v>
      </c>
      <c r="Y4" s="287"/>
      <c r="Z4" s="288">
        <v>450048.71032794175</v>
      </c>
      <c r="AA4" s="65">
        <v>-21428.47725788824</v>
      </c>
    </row>
    <row r="5" spans="1:28" x14ac:dyDescent="0.25">
      <c r="A5" s="14"/>
      <c r="B5" s="281">
        <v>2017</v>
      </c>
      <c r="C5" s="282">
        <v>13772.12079595208</v>
      </c>
      <c r="D5" s="282">
        <v>550</v>
      </c>
      <c r="E5" s="282">
        <v>14832.93032320885</v>
      </c>
      <c r="F5" s="282">
        <v>7506.1879405933696</v>
      </c>
      <c r="G5" s="283">
        <v>0.29497624576059656</v>
      </c>
      <c r="H5" s="284">
        <v>1.9760936497463046</v>
      </c>
      <c r="I5" s="282">
        <v>15382.93032320885</v>
      </c>
      <c r="J5" s="282">
        <v>10886.183253170277</v>
      </c>
      <c r="K5" s="283">
        <v>7.9992316692111987E-2</v>
      </c>
      <c r="L5" s="282">
        <v>2508.4328014594726</v>
      </c>
      <c r="M5" s="282">
        <v>14741.670769023571</v>
      </c>
      <c r="N5" s="282">
        <v>29395.952996976965</v>
      </c>
      <c r="O5" s="283">
        <v>0.20909422924719515</v>
      </c>
      <c r="P5" s="285">
        <v>1.4838163748627737</v>
      </c>
      <c r="Q5" s="282">
        <v>43618.19641161085</v>
      </c>
      <c r="R5" s="284">
        <v>16.051940334403685</v>
      </c>
      <c r="S5" s="282">
        <v>700156.68629347836</v>
      </c>
      <c r="T5" s="284">
        <v>23.81813191650842</v>
      </c>
      <c r="U5" s="284">
        <v>4.9802339351903466</v>
      </c>
      <c r="V5" s="286">
        <v>1.1000000000000005</v>
      </c>
      <c r="W5" s="273"/>
      <c r="X5" s="272">
        <v>5.8768450007695945</v>
      </c>
      <c r="Y5" s="287">
        <v>0.48502770596089229</v>
      </c>
      <c r="Z5" s="288">
        <v>721970.33417667029</v>
      </c>
      <c r="AA5" s="65">
        <v>21813.647883191938</v>
      </c>
      <c r="AB5" s="35">
        <v>0.5</v>
      </c>
    </row>
    <row r="6" spans="1:28" x14ac:dyDescent="0.25">
      <c r="A6" s="14"/>
      <c r="B6" s="281">
        <v>2018</v>
      </c>
      <c r="C6" s="282">
        <v>16889.254695453907</v>
      </c>
      <c r="D6" s="282">
        <v>600</v>
      </c>
      <c r="E6" s="282">
        <v>18682.212929541856</v>
      </c>
      <c r="F6" s="282">
        <v>9516.4525006846452</v>
      </c>
      <c r="G6" s="283">
        <v>0.30384004518452984</v>
      </c>
      <c r="H6" s="284">
        <v>1.9631488654199447</v>
      </c>
      <c r="I6" s="282">
        <v>19282.212929541856</v>
      </c>
      <c r="J6" s="282">
        <v>16537.966369650472</v>
      </c>
      <c r="K6" s="283">
        <v>9.3646719125113659E-2</v>
      </c>
      <c r="L6" s="282">
        <v>2964.6959881171629</v>
      </c>
      <c r="M6" s="282">
        <v>17485.917328914958</v>
      </c>
      <c r="N6" s="282">
        <v>37486.632650057356</v>
      </c>
      <c r="O6" s="283">
        <v>0.20902109817531037</v>
      </c>
      <c r="P6" s="285">
        <v>1.555326142749482</v>
      </c>
      <c r="Q6" s="282">
        <v>58303.939764280498</v>
      </c>
      <c r="R6" s="284">
        <v>16.601734372738939</v>
      </c>
      <c r="S6" s="282">
        <v>967946.52085075621</v>
      </c>
      <c r="T6" s="284">
        <v>25.821111484903543</v>
      </c>
      <c r="U6" s="284">
        <v>5.3971570786816576</v>
      </c>
      <c r="V6" s="289"/>
      <c r="W6" s="273"/>
      <c r="X6" s="272">
        <v>5.8980473542651568</v>
      </c>
      <c r="Y6" s="287">
        <v>0.38247129506813105</v>
      </c>
      <c r="Z6" s="288">
        <v>1083092.045304813</v>
      </c>
      <c r="AA6" s="65">
        <v>115145.52445405675</v>
      </c>
      <c r="AB6" s="35">
        <v>0.5</v>
      </c>
    </row>
    <row r="7" spans="1:28" x14ac:dyDescent="0.25">
      <c r="A7" s="14"/>
      <c r="B7" s="281">
        <v>2019</v>
      </c>
      <c r="C7" s="282">
        <v>20860.295038489341</v>
      </c>
      <c r="D7" s="282">
        <v>460</v>
      </c>
      <c r="E7" s="282">
        <v>23009.337657971824</v>
      </c>
      <c r="F7" s="282">
        <v>11597.391321315099</v>
      </c>
      <c r="G7" s="283">
        <v>0.30148766316149822</v>
      </c>
      <c r="H7" s="284">
        <v>1.9840097674105779</v>
      </c>
      <c r="I7" s="282">
        <v>23469.337657971824</v>
      </c>
      <c r="J7" s="282">
        <v>19388.669237391077</v>
      </c>
      <c r="K7" s="283">
        <v>9.0743836489185367E-2</v>
      </c>
      <c r="L7" s="282">
        <v>3592.8349340910254</v>
      </c>
      <c r="M7" s="282">
        <v>21566.585749495702</v>
      </c>
      <c r="N7" s="282">
        <v>47707.734746382368</v>
      </c>
      <c r="O7" s="283">
        <v>0.21909968143050945</v>
      </c>
      <c r="P7" s="285">
        <v>1.6247991659089773</v>
      </c>
      <c r="Q7" s="282">
        <v>77515.487623328809</v>
      </c>
      <c r="R7" s="284">
        <v>17.424411684862505</v>
      </c>
      <c r="S7" s="282">
        <v>1350661.7683017454</v>
      </c>
      <c r="T7" s="284">
        <v>28.311169572019239</v>
      </c>
      <c r="U7" s="284">
        <v>6.2029682341545476</v>
      </c>
      <c r="V7" s="290"/>
      <c r="W7" s="273"/>
      <c r="X7" s="272">
        <v>6.002665345089663</v>
      </c>
      <c r="Y7" s="287">
        <v>0.39538883523710555</v>
      </c>
      <c r="Z7" s="288">
        <v>1514852.8884563446</v>
      </c>
      <c r="AA7" s="65">
        <v>164191.12015459919</v>
      </c>
      <c r="AB7" s="35">
        <v>0.4</v>
      </c>
    </row>
    <row r="8" spans="1:28" x14ac:dyDescent="0.25">
      <c r="B8" s="281">
        <v>2020</v>
      </c>
      <c r="C8" s="282">
        <v>23697.617490092987</v>
      </c>
      <c r="D8" s="282">
        <v>240</v>
      </c>
      <c r="E8" s="282">
        <v>25886.714010511419</v>
      </c>
      <c r="F8" s="282">
        <v>13134.222751541214</v>
      </c>
      <c r="G8" s="283">
        <v>0.30036127927385681</v>
      </c>
      <c r="H8" s="284">
        <v>1.9709361185818006</v>
      </c>
      <c r="I8" s="282">
        <v>26126.714010511419</v>
      </c>
      <c r="J8" s="282">
        <v>23353.810855735905</v>
      </c>
      <c r="K8" s="283">
        <v>9.1344996914584753E-2</v>
      </c>
      <c r="L8" s="282">
        <v>3905.0757369174785</v>
      </c>
      <c r="M8" s="282">
        <v>24339.48890427122</v>
      </c>
      <c r="N8" s="282">
        <v>56924.891314878638</v>
      </c>
      <c r="O8" s="283">
        <v>0.22026439715963406</v>
      </c>
      <c r="P8" s="285">
        <v>1.6582521884854549</v>
      </c>
      <c r="Q8" s="282">
        <v>94395.825602194163</v>
      </c>
      <c r="R8" s="284">
        <v>18.574387948417524</v>
      </c>
      <c r="S8" s="282">
        <v>1753344.6854463178</v>
      </c>
      <c r="T8" s="284">
        <v>30.801019465241218</v>
      </c>
      <c r="U8" s="284">
        <v>6.7843679844135112</v>
      </c>
      <c r="V8" s="289"/>
      <c r="W8" s="273"/>
      <c r="X8" s="272">
        <v>6.2327828047411717</v>
      </c>
      <c r="Y8" s="287">
        <v>0.29813749570396575</v>
      </c>
      <c r="Z8" s="288">
        <v>2066525.2717666051</v>
      </c>
      <c r="AA8" s="65">
        <v>313180.58632028732</v>
      </c>
      <c r="AB8" s="35">
        <v>0.3</v>
      </c>
    </row>
    <row r="9" spans="1:28" x14ac:dyDescent="0.25">
      <c r="B9" s="281">
        <v>2021</v>
      </c>
      <c r="C9" s="282">
        <v>26825.903945776576</v>
      </c>
      <c r="D9" s="282">
        <v>240</v>
      </c>
      <c r="E9" s="282">
        <v>29457.111487265938</v>
      </c>
      <c r="F9" s="282">
        <v>14923.274058707244</v>
      </c>
      <c r="G9" s="283">
        <v>0.30131126640023598</v>
      </c>
      <c r="H9" s="284">
        <v>1.9739040756997071</v>
      </c>
      <c r="I9" s="282">
        <v>29697.111487265938</v>
      </c>
      <c r="J9" s="282">
        <v>26432.761921534784</v>
      </c>
      <c r="K9" s="283">
        <v>9.1783282991395598E-2</v>
      </c>
      <c r="L9" s="282">
        <v>4497.143389184972</v>
      </c>
      <c r="M9" s="282">
        <v>27603.838470002378</v>
      </c>
      <c r="N9" s="282">
        <v>65976.24960569384</v>
      </c>
      <c r="O9" s="283">
        <v>0.22652371401632046</v>
      </c>
      <c r="P9" s="285">
        <v>1.7155983365421703</v>
      </c>
      <c r="Q9" s="282">
        <v>113188.74407481938</v>
      </c>
      <c r="R9" s="284">
        <v>20.115166719366094</v>
      </c>
      <c r="S9" s="282">
        <v>2276810.457820653</v>
      </c>
      <c r="T9" s="284">
        <v>34.509546563012897</v>
      </c>
      <c r="U9" s="284">
        <v>7.8172306564728284</v>
      </c>
      <c r="V9" s="289"/>
      <c r="W9" s="273"/>
      <c r="X9" s="272">
        <v>6.1380827963782334</v>
      </c>
      <c r="Y9" s="287">
        <v>0.29855269002117857</v>
      </c>
      <c r="Z9" s="288">
        <v>2696278.0786708733</v>
      </c>
      <c r="AA9" s="65">
        <v>419467.62085022032</v>
      </c>
      <c r="AB9" s="35">
        <v>0.3</v>
      </c>
    </row>
    <row r="10" spans="1:28" x14ac:dyDescent="0.25">
      <c r="B10" s="281">
        <v>2022</v>
      </c>
      <c r="C10" s="282">
        <v>30759.917537674573</v>
      </c>
      <c r="D10" s="282">
        <v>240</v>
      </c>
      <c r="E10" s="282">
        <v>33752.383219356852</v>
      </c>
      <c r="F10" s="282">
        <v>17088.149789944691</v>
      </c>
      <c r="G10" s="283">
        <v>0.30150427477770436</v>
      </c>
      <c r="H10" s="284">
        <v>1.9751923780079468</v>
      </c>
      <c r="I10" s="282">
        <v>33992.383219356852</v>
      </c>
      <c r="J10" s="282">
        <v>29927.004418650686</v>
      </c>
      <c r="K10" s="283">
        <v>9.0997569761640001E-2</v>
      </c>
      <c r="L10" s="282">
        <v>5133.8735087424111</v>
      </c>
      <c r="M10" s="282">
        <v>31669.217270708541</v>
      </c>
      <c r="N10" s="282">
        <v>75887.789556690652</v>
      </c>
      <c r="O10" s="283">
        <v>0.22793072535752404</v>
      </c>
      <c r="P10" s="285">
        <v>1.78003860080581</v>
      </c>
      <c r="Q10" s="282">
        <v>135083.19474073738</v>
      </c>
      <c r="R10" s="284">
        <v>21.897961607341092</v>
      </c>
      <c r="S10" s="282">
        <v>2958046.6122296471</v>
      </c>
      <c r="T10" s="284">
        <v>38.979216940030781</v>
      </c>
      <c r="U10" s="284">
        <v>8.884561191009503</v>
      </c>
      <c r="V10" s="289"/>
      <c r="W10" s="273"/>
      <c r="X10" s="272">
        <v>6.168678915984084</v>
      </c>
      <c r="Y10" s="287">
        <v>0.29920635337430257</v>
      </c>
      <c r="Z10" s="288">
        <v>3308770.2414658391</v>
      </c>
      <c r="AA10" s="65">
        <v>350723.62923619198</v>
      </c>
      <c r="AB10" s="35">
        <v>0.3</v>
      </c>
    </row>
    <row r="11" spans="1:28" x14ac:dyDescent="0.25">
      <c r="D11" s="270"/>
    </row>
    <row r="14" spans="1:28" ht="38.25" x14ac:dyDescent="0.25">
      <c r="B14" s="274">
        <v>2016</v>
      </c>
      <c r="C14" s="275" t="s">
        <v>209</v>
      </c>
      <c r="D14" s="275" t="s">
        <v>210</v>
      </c>
      <c r="E14" s="275" t="s">
        <v>211</v>
      </c>
      <c r="F14" s="275" t="s">
        <v>198</v>
      </c>
      <c r="G14" s="276" t="s">
        <v>197</v>
      </c>
      <c r="H14" s="277" t="s">
        <v>212</v>
      </c>
      <c r="I14" s="275" t="s">
        <v>213</v>
      </c>
      <c r="J14" s="275" t="s">
        <v>214</v>
      </c>
      <c r="K14" s="276" t="s">
        <v>215</v>
      </c>
      <c r="L14" s="275" t="s">
        <v>216</v>
      </c>
      <c r="M14" s="275" t="s">
        <v>92</v>
      </c>
      <c r="N14" s="275" t="s">
        <v>217</v>
      </c>
      <c r="O14" s="276" t="s">
        <v>11</v>
      </c>
      <c r="P14" s="278" t="s">
        <v>218</v>
      </c>
      <c r="Q14" s="275" t="s">
        <v>219</v>
      </c>
      <c r="R14" s="277" t="s">
        <v>14</v>
      </c>
      <c r="S14" s="275" t="s">
        <v>0</v>
      </c>
      <c r="T14" s="277" t="s">
        <v>206</v>
      </c>
      <c r="U14" s="277" t="s">
        <v>220</v>
      </c>
      <c r="V14" s="279"/>
      <c r="W14" s="279"/>
      <c r="X14" s="280"/>
    </row>
    <row r="15" spans="1:28" x14ac:dyDescent="0.25">
      <c r="A15" s="291">
        <v>1</v>
      </c>
      <c r="B15" s="281">
        <v>1</v>
      </c>
      <c r="C15" s="282">
        <v>4117</v>
      </c>
      <c r="D15" s="282">
        <v>14</v>
      </c>
      <c r="E15" s="282">
        <v>192</v>
      </c>
      <c r="F15" s="282">
        <v>145</v>
      </c>
      <c r="G15" s="283">
        <v>0.14471057884231536</v>
      </c>
      <c r="H15" s="284">
        <v>1.3241379310344827</v>
      </c>
      <c r="I15" s="282">
        <v>205</v>
      </c>
      <c r="J15" s="282">
        <v>166</v>
      </c>
      <c r="K15" s="283">
        <v>4.0320621811999031E-2</v>
      </c>
      <c r="L15" s="282">
        <v>1002</v>
      </c>
      <c r="M15" s="282">
        <v>4156</v>
      </c>
      <c r="N15" s="282">
        <v>635</v>
      </c>
      <c r="O15" s="283">
        <v>0.15279114533205004</v>
      </c>
      <c r="P15" s="285">
        <v>1.2598425196850394</v>
      </c>
      <c r="Q15" s="282">
        <v>800</v>
      </c>
      <c r="R15" s="284">
        <v>16.047856249999999</v>
      </c>
      <c r="S15" s="282">
        <v>12838.284999999998</v>
      </c>
      <c r="T15" s="284">
        <v>20.217771653543306</v>
      </c>
      <c r="U15" s="284">
        <v>3.0890964870067368</v>
      </c>
      <c r="V15" s="273"/>
      <c r="W15" s="273"/>
    </row>
    <row r="16" spans="1:28" x14ac:dyDescent="0.25">
      <c r="A16" s="291">
        <v>2</v>
      </c>
      <c r="B16" s="281">
        <v>2</v>
      </c>
      <c r="C16" s="282">
        <v>4156</v>
      </c>
      <c r="D16" s="282">
        <v>10</v>
      </c>
      <c r="E16" s="282">
        <v>186</v>
      </c>
      <c r="F16" s="282">
        <v>123</v>
      </c>
      <c r="G16" s="283">
        <v>0.12386706948640483</v>
      </c>
      <c r="H16" s="284">
        <v>1.5121951219512195</v>
      </c>
      <c r="I16" s="282">
        <v>196</v>
      </c>
      <c r="J16" s="282">
        <v>285</v>
      </c>
      <c r="K16" s="283">
        <v>6.8575553416746871E-2</v>
      </c>
      <c r="L16" s="282">
        <v>993</v>
      </c>
      <c r="M16" s="282">
        <v>4067</v>
      </c>
      <c r="N16" s="282">
        <v>620</v>
      </c>
      <c r="O16" s="283">
        <v>0.15244652077698551</v>
      </c>
      <c r="P16" s="285">
        <v>1.2983870967741935</v>
      </c>
      <c r="Q16" s="282">
        <v>805</v>
      </c>
      <c r="R16" s="284">
        <v>17.109705590062077</v>
      </c>
      <c r="S16" s="282">
        <v>13773.312999999971</v>
      </c>
      <c r="T16" s="284">
        <v>22.215020967741889</v>
      </c>
      <c r="U16" s="284">
        <v>3.3866026555200324</v>
      </c>
      <c r="V16" s="273"/>
      <c r="W16" s="273"/>
    </row>
    <row r="17" spans="1:24" x14ac:dyDescent="0.25">
      <c r="A17" s="291">
        <v>3</v>
      </c>
      <c r="B17" s="281">
        <v>3</v>
      </c>
      <c r="C17" s="282">
        <v>4067</v>
      </c>
      <c r="D17" s="282">
        <v>65</v>
      </c>
      <c r="E17" s="282">
        <v>620</v>
      </c>
      <c r="F17" s="282">
        <v>338</v>
      </c>
      <c r="G17" s="283">
        <v>0.32344497607655504</v>
      </c>
      <c r="H17" s="284">
        <v>1.834319526627219</v>
      </c>
      <c r="I17" s="282">
        <v>683</v>
      </c>
      <c r="J17" s="282">
        <v>424</v>
      </c>
      <c r="K17" s="283">
        <v>0.10425374969264814</v>
      </c>
      <c r="L17" s="282">
        <v>1045</v>
      </c>
      <c r="M17" s="282">
        <v>4326</v>
      </c>
      <c r="N17" s="282">
        <v>1116</v>
      </c>
      <c r="O17" s="283">
        <v>0.2579750346740638</v>
      </c>
      <c r="P17" s="285">
        <v>1.7114695340501793</v>
      </c>
      <c r="Q17" s="282">
        <v>1910</v>
      </c>
      <c r="R17" s="284">
        <v>17.897929842931934</v>
      </c>
      <c r="S17" s="282">
        <v>34185.045999999995</v>
      </c>
      <c r="T17" s="284">
        <v>30.631761648745513</v>
      </c>
      <c r="U17" s="284">
        <v>7.902229773462782</v>
      </c>
      <c r="V17" s="273"/>
      <c r="W17" s="273"/>
    </row>
    <row r="18" spans="1:24" x14ac:dyDescent="0.25">
      <c r="A18" s="291">
        <v>4</v>
      </c>
      <c r="B18" s="281">
        <v>4</v>
      </c>
      <c r="C18" s="282">
        <v>4326</v>
      </c>
      <c r="D18" s="282">
        <v>74</v>
      </c>
      <c r="E18" s="282">
        <v>471</v>
      </c>
      <c r="F18" s="282">
        <v>266</v>
      </c>
      <c r="G18" s="283">
        <v>0.23560673162090345</v>
      </c>
      <c r="H18" s="284">
        <v>1.7706766917293233</v>
      </c>
      <c r="I18" s="282">
        <v>545</v>
      </c>
      <c r="J18" s="282">
        <v>366</v>
      </c>
      <c r="K18" s="283">
        <v>8.4604715672676842E-2</v>
      </c>
      <c r="L18" s="282">
        <v>1129</v>
      </c>
      <c r="M18" s="282">
        <v>4505</v>
      </c>
      <c r="N18" s="282">
        <v>979</v>
      </c>
      <c r="O18" s="283">
        <v>0.21731409544950056</v>
      </c>
      <c r="P18" s="285">
        <v>1.5117466802860062</v>
      </c>
      <c r="Q18" s="282">
        <v>1480</v>
      </c>
      <c r="R18" s="284">
        <v>20.842603378378385</v>
      </c>
      <c r="S18" s="282">
        <v>30847.053000000011</v>
      </c>
      <c r="T18" s="284">
        <v>31.508736465781421</v>
      </c>
      <c r="U18" s="284">
        <v>6.847292563817982</v>
      </c>
      <c r="V18" s="273"/>
      <c r="W18" s="273"/>
    </row>
    <row r="19" spans="1:24" x14ac:dyDescent="0.25">
      <c r="A19" s="291">
        <v>5</v>
      </c>
      <c r="B19" s="281">
        <v>5</v>
      </c>
      <c r="C19" s="282">
        <v>4505</v>
      </c>
      <c r="D19" s="282">
        <v>130</v>
      </c>
      <c r="E19" s="282">
        <v>619</v>
      </c>
      <c r="F19" s="282">
        <v>333</v>
      </c>
      <c r="G19" s="283">
        <v>0.27475247524752477</v>
      </c>
      <c r="H19" s="284">
        <v>1.8588588588588588</v>
      </c>
      <c r="I19" s="282">
        <v>748</v>
      </c>
      <c r="J19" s="282">
        <v>323</v>
      </c>
      <c r="K19" s="283">
        <v>7.1698113207547168E-2</v>
      </c>
      <c r="L19" s="282">
        <v>1212</v>
      </c>
      <c r="M19" s="282">
        <v>4930</v>
      </c>
      <c r="N19" s="282">
        <v>1088</v>
      </c>
      <c r="O19" s="283">
        <v>0.22068965517241379</v>
      </c>
      <c r="P19" s="285">
        <v>1.4751838235294117</v>
      </c>
      <c r="Q19" s="282">
        <v>1605</v>
      </c>
      <c r="R19" s="284">
        <v>17.541184423676011</v>
      </c>
      <c r="S19" s="282">
        <v>28153.600999999995</v>
      </c>
      <c r="T19" s="284">
        <v>25.876471507352935</v>
      </c>
      <c r="U19" s="284">
        <v>5.7106695740365101</v>
      </c>
      <c r="V19" s="273"/>
      <c r="W19" s="273"/>
    </row>
    <row r="20" spans="1:24" x14ac:dyDescent="0.25">
      <c r="A20" s="291">
        <v>6</v>
      </c>
      <c r="B20" s="281">
        <v>6</v>
      </c>
      <c r="C20" s="282">
        <v>4930</v>
      </c>
      <c r="D20" s="282">
        <v>180</v>
      </c>
      <c r="E20" s="282">
        <v>1120</v>
      </c>
      <c r="F20" s="282">
        <v>493</v>
      </c>
      <c r="G20" s="283">
        <v>0.37519025875190259</v>
      </c>
      <c r="H20" s="284">
        <v>2.2718052738336714</v>
      </c>
      <c r="I20" s="282">
        <v>1300</v>
      </c>
      <c r="J20" s="282">
        <v>411</v>
      </c>
      <c r="K20" s="283">
        <v>8.3367139959432054E-2</v>
      </c>
      <c r="L20" s="282">
        <v>1314</v>
      </c>
      <c r="M20" s="282">
        <v>5819</v>
      </c>
      <c r="N20" s="282">
        <v>1647</v>
      </c>
      <c r="O20" s="283">
        <v>0.28303832273586527</v>
      </c>
      <c r="P20" s="285">
        <v>1.6721311475409837</v>
      </c>
      <c r="Q20" s="282">
        <v>2754</v>
      </c>
      <c r="R20" s="284">
        <v>15.312570806100243</v>
      </c>
      <c r="S20" s="282">
        <v>42170.820000000072</v>
      </c>
      <c r="T20" s="284">
        <v>25.604626593806966</v>
      </c>
      <c r="U20" s="284">
        <v>7.2470905653892546</v>
      </c>
      <c r="V20" s="273"/>
      <c r="W20" s="273"/>
    </row>
    <row r="21" spans="1:24" x14ac:dyDescent="0.25">
      <c r="A21" s="291">
        <v>7</v>
      </c>
      <c r="B21" s="281">
        <v>7</v>
      </c>
      <c r="C21" s="282">
        <v>5819</v>
      </c>
      <c r="D21" s="282">
        <v>103</v>
      </c>
      <c r="E21" s="282">
        <v>1070.1598550491449</v>
      </c>
      <c r="F21" s="282">
        <v>476.46800000000007</v>
      </c>
      <c r="G21" s="283">
        <v>0.35971794407199381</v>
      </c>
      <c r="H21" s="284">
        <v>2.2460267112358956</v>
      </c>
      <c r="I21" s="282">
        <v>926</v>
      </c>
      <c r="J21" s="282">
        <v>410</v>
      </c>
      <c r="K21" s="283">
        <v>7.0458841725382373E-2</v>
      </c>
      <c r="L21" s="282">
        <v>1324.56</v>
      </c>
      <c r="M21" s="282">
        <v>6335</v>
      </c>
      <c r="N21" s="282">
        <v>1310</v>
      </c>
      <c r="O21" s="283">
        <v>0.20678768745067089</v>
      </c>
      <c r="P21" s="285">
        <v>1.3503816793893131</v>
      </c>
      <c r="Q21" s="282">
        <v>1769</v>
      </c>
      <c r="R21" s="284">
        <v>16.966228377614478</v>
      </c>
      <c r="S21" s="282">
        <v>30013.258000000013</v>
      </c>
      <c r="T21" s="284">
        <v>22.910883969465658</v>
      </c>
      <c r="U21" s="284">
        <v>4.7376887134964507</v>
      </c>
      <c r="V21" s="273"/>
      <c r="W21" s="273"/>
    </row>
    <row r="22" spans="1:24" x14ac:dyDescent="0.25">
      <c r="A22" s="291">
        <v>8</v>
      </c>
      <c r="B22" s="281">
        <v>8</v>
      </c>
      <c r="C22" s="282">
        <v>6335</v>
      </c>
      <c r="D22" s="282">
        <v>95</v>
      </c>
      <c r="E22" s="282">
        <v>962.92517599999996</v>
      </c>
      <c r="F22" s="282">
        <v>516.09331999999995</v>
      </c>
      <c r="G22" s="283">
        <v>0.35906280403502483</v>
      </c>
      <c r="H22" s="284">
        <v>1.8657966276331577</v>
      </c>
      <c r="I22" s="282">
        <v>1052</v>
      </c>
      <c r="J22" s="282">
        <v>417</v>
      </c>
      <c r="K22" s="283">
        <v>6.5824782951854774E-2</v>
      </c>
      <c r="L22" s="282">
        <v>1437.3344</v>
      </c>
      <c r="M22" s="282">
        <v>6970</v>
      </c>
      <c r="N22" s="282">
        <v>1420</v>
      </c>
      <c r="O22" s="283">
        <v>0.20373027259684362</v>
      </c>
      <c r="P22" s="285">
        <v>1.4003521126760563</v>
      </c>
      <c r="Q22" s="282">
        <v>1988.5</v>
      </c>
      <c r="R22" s="284">
        <v>16.020025647472984</v>
      </c>
      <c r="S22" s="282">
        <v>31855.821000000029</v>
      </c>
      <c r="T22" s="284">
        <v>22.433676760563401</v>
      </c>
      <c r="U22" s="284">
        <v>4.5704190817790575</v>
      </c>
      <c r="V22" s="273"/>
      <c r="W22" s="273"/>
    </row>
    <row r="23" spans="1:24" x14ac:dyDescent="0.25">
      <c r="A23" s="291">
        <v>9</v>
      </c>
      <c r="B23" s="281">
        <v>9</v>
      </c>
      <c r="C23" s="282">
        <v>6970</v>
      </c>
      <c r="D23" s="282">
        <v>95</v>
      </c>
      <c r="E23" s="282">
        <v>1156.0592182400001</v>
      </c>
      <c r="F23" s="282">
        <v>560.73003679999999</v>
      </c>
      <c r="G23" s="283">
        <v>0.35866498103454059</v>
      </c>
      <c r="H23" s="284">
        <v>2.0617037475599704</v>
      </c>
      <c r="I23" s="282">
        <v>1251.0592182400001</v>
      </c>
      <c r="J23" s="282">
        <v>496.29999999999836</v>
      </c>
      <c r="K23" s="283">
        <v>7.120516499282617E-2</v>
      </c>
      <c r="L23" s="282">
        <v>1563.3810559999999</v>
      </c>
      <c r="M23" s="282">
        <v>7724.7592182400012</v>
      </c>
      <c r="N23" s="282">
        <v>1988.8982776287999</v>
      </c>
      <c r="O23" s="283">
        <v>0.25747058535268463</v>
      </c>
      <c r="P23" s="285">
        <v>1.6226000650266286</v>
      </c>
      <c r="Q23" s="282">
        <v>3227.1864746118404</v>
      </c>
      <c r="R23" s="284">
        <v>16.948043921416051</v>
      </c>
      <c r="S23" s="282">
        <v>54694.498114321294</v>
      </c>
      <c r="T23" s="284">
        <v>27.499897168963841</v>
      </c>
      <c r="U23" s="284">
        <v>7.080414621231756</v>
      </c>
      <c r="V23" s="273"/>
      <c r="W23" s="273"/>
    </row>
    <row r="24" spans="1:24" x14ac:dyDescent="0.25">
      <c r="A24" s="291">
        <v>10</v>
      </c>
      <c r="B24" s="281">
        <v>10</v>
      </c>
      <c r="C24" s="282">
        <v>7724.7592182400003</v>
      </c>
      <c r="D24" s="282">
        <v>100</v>
      </c>
      <c r="E24" s="282">
        <v>1269.9197429120002</v>
      </c>
      <c r="F24" s="282">
        <v>596.914922176</v>
      </c>
      <c r="G24" s="283">
        <v>0.36675037956154766</v>
      </c>
      <c r="H24" s="284">
        <v>2.1274719323193017</v>
      </c>
      <c r="I24" s="282">
        <v>1369.9197429120002</v>
      </c>
      <c r="J24" s="282">
        <v>655.69000000000233</v>
      </c>
      <c r="K24" s="283">
        <v>8.4881610089769757E-2</v>
      </c>
      <c r="L24" s="282">
        <v>1627.5781987999999</v>
      </c>
      <c r="M24" s="282">
        <v>8438.9889611519993</v>
      </c>
      <c r="N24" s="282">
        <v>2040.7345535187198</v>
      </c>
      <c r="O24" s="283">
        <v>0.24182216174390408</v>
      </c>
      <c r="P24" s="285">
        <v>1.4681316059252292</v>
      </c>
      <c r="Q24" s="282">
        <v>2996.0668973245438</v>
      </c>
      <c r="R24" s="284">
        <v>16.897775013619928</v>
      </c>
      <c r="S24" s="282">
        <v>50626.864356744452</v>
      </c>
      <c r="T24" s="284">
        <v>24.808157567309035</v>
      </c>
      <c r="U24" s="284">
        <v>5.9991622918100633</v>
      </c>
      <c r="V24" s="273"/>
      <c r="W24" s="273"/>
    </row>
    <row r="25" spans="1:24" x14ac:dyDescent="0.25">
      <c r="A25" s="291">
        <v>11</v>
      </c>
      <c r="B25" s="281">
        <v>11</v>
      </c>
      <c r="C25" s="282">
        <v>8438.9889611520011</v>
      </c>
      <c r="D25" s="282">
        <v>100</v>
      </c>
      <c r="E25" s="282">
        <v>1292.70876190848</v>
      </c>
      <c r="F25" s="282">
        <v>646.35438095424001</v>
      </c>
      <c r="G25" s="283">
        <v>0.3664311198593268</v>
      </c>
      <c r="H25" s="284">
        <v>2</v>
      </c>
      <c r="I25" s="282">
        <v>1392.70876190848</v>
      </c>
      <c r="J25" s="282">
        <v>619.02296091199969</v>
      </c>
      <c r="K25" s="283">
        <v>7.3352739737142306E-2</v>
      </c>
      <c r="L25" s="282">
        <v>1763.917816812</v>
      </c>
      <c r="M25" s="282">
        <v>9212.6747621484792</v>
      </c>
      <c r="N25" s="282">
        <v>2401.5950068477828</v>
      </c>
      <c r="O25" s="283">
        <v>0.26068379367033129</v>
      </c>
      <c r="P25" s="285">
        <v>1.5077366598159954</v>
      </c>
      <c r="Q25" s="282">
        <v>3620.9728338554487</v>
      </c>
      <c r="R25" s="284">
        <v>17.120619588742265</v>
      </c>
      <c r="S25" s="282">
        <v>61993.298429609182</v>
      </c>
      <c r="T25" s="284">
        <v>25.813385792710562</v>
      </c>
      <c r="U25" s="284">
        <v>6.7291313359196216</v>
      </c>
      <c r="V25" s="273"/>
      <c r="W25" s="273"/>
    </row>
    <row r="26" spans="1:24" x14ac:dyDescent="0.25">
      <c r="A26" s="291">
        <v>12</v>
      </c>
      <c r="B26" s="281">
        <v>12</v>
      </c>
      <c r="C26" s="282">
        <v>9212.6747621484792</v>
      </c>
      <c r="D26" s="282">
        <v>95</v>
      </c>
      <c r="E26" s="282">
        <v>1361.14380671812</v>
      </c>
      <c r="F26" s="282">
        <v>680.57190335906</v>
      </c>
      <c r="G26" s="283">
        <v>0.35777674205133647</v>
      </c>
      <c r="H26" s="284">
        <v>2</v>
      </c>
      <c r="I26" s="282">
        <v>1456.14380671812</v>
      </c>
      <c r="J26" s="282">
        <v>423.89486988160024</v>
      </c>
      <c r="K26" s="283">
        <v>4.601213880069116E-2</v>
      </c>
      <c r="L26" s="282">
        <v>1902.2251123898</v>
      </c>
      <c r="M26" s="282">
        <v>10244.923698985</v>
      </c>
      <c r="N26" s="282">
        <v>2845.445308250813</v>
      </c>
      <c r="O26" s="283">
        <v>0.27774197171743908</v>
      </c>
      <c r="P26" s="285">
        <v>1.6662971271207649</v>
      </c>
      <c r="Q26" s="282">
        <v>4741.3573425175891</v>
      </c>
      <c r="R26" s="284">
        <v>16.941420754104872</v>
      </c>
      <c r="S26" s="282">
        <v>80325.329685155011</v>
      </c>
      <c r="T26" s="284">
        <v>28.229440731909055</v>
      </c>
      <c r="U26" s="284">
        <v>7.8405005293610062</v>
      </c>
      <c r="V26" s="273"/>
      <c r="W26" s="273"/>
    </row>
    <row r="27" spans="1:24" s="1" customFormat="1" ht="30" x14ac:dyDescent="0.25">
      <c r="B27" s="292" t="s">
        <v>221</v>
      </c>
      <c r="C27" s="293">
        <v>9212.6747621484792</v>
      </c>
      <c r="D27" s="293">
        <v>1061</v>
      </c>
      <c r="E27" s="293">
        <v>10320.916560827747</v>
      </c>
      <c r="F27" s="293">
        <v>5175.1325632893004</v>
      </c>
      <c r="G27" s="294">
        <v>0.31722040253240313</v>
      </c>
      <c r="H27" s="295">
        <v>1.99432892483585</v>
      </c>
      <c r="I27" s="293">
        <v>11124.831529778599</v>
      </c>
      <c r="J27" s="293">
        <v>4996.9078307936006</v>
      </c>
      <c r="K27" s="294">
        <v>7.0776304819396479E-2</v>
      </c>
      <c r="L27" s="293">
        <v>1902.2251123898</v>
      </c>
      <c r="M27" s="293">
        <v>10244.923698985</v>
      </c>
      <c r="N27" s="293">
        <v>18091.673146246114</v>
      </c>
      <c r="O27" s="294">
        <v>0.23578557538102102</v>
      </c>
      <c r="P27" s="296">
        <v>1.5309299103746168</v>
      </c>
      <c r="Q27" s="293">
        <v>27697.083548309423</v>
      </c>
      <c r="R27" s="295">
        <v>17.022629359639133</v>
      </c>
      <c r="S27" s="293">
        <v>471477.18758582999</v>
      </c>
      <c r="T27" s="295">
        <v>26.060452439892657</v>
      </c>
      <c r="U27" s="295">
        <v>6.1446787732298231</v>
      </c>
      <c r="V27" s="297"/>
      <c r="W27" s="297"/>
      <c r="X27" s="298"/>
    </row>
    <row r="29" spans="1:24" ht="38.25" x14ac:dyDescent="0.25">
      <c r="B29" s="274">
        <v>2017</v>
      </c>
      <c r="C29" s="275" t="s">
        <v>209</v>
      </c>
      <c r="D29" s="275" t="s">
        <v>210</v>
      </c>
      <c r="E29" s="275" t="s">
        <v>211</v>
      </c>
      <c r="F29" s="275" t="s">
        <v>198</v>
      </c>
      <c r="G29" s="276" t="s">
        <v>197</v>
      </c>
      <c r="H29" s="277" t="s">
        <v>212</v>
      </c>
      <c r="I29" s="275" t="s">
        <v>213</v>
      </c>
      <c r="J29" s="275" t="s">
        <v>214</v>
      </c>
      <c r="K29" s="276" t="s">
        <v>215</v>
      </c>
      <c r="L29" s="275" t="s">
        <v>216</v>
      </c>
      <c r="M29" s="275" t="s">
        <v>92</v>
      </c>
      <c r="N29" s="275" t="s">
        <v>217</v>
      </c>
      <c r="O29" s="276" t="s">
        <v>11</v>
      </c>
      <c r="P29" s="278" t="s">
        <v>218</v>
      </c>
      <c r="Q29" s="275" t="s">
        <v>219</v>
      </c>
      <c r="R29" s="277" t="s">
        <v>14</v>
      </c>
      <c r="S29" s="275" t="s">
        <v>0</v>
      </c>
      <c r="T29" s="277" t="s">
        <v>206</v>
      </c>
      <c r="U29" s="277" t="s">
        <v>220</v>
      </c>
      <c r="V29" s="279"/>
      <c r="W29" s="279"/>
      <c r="X29" s="280"/>
    </row>
    <row r="30" spans="1:24" x14ac:dyDescent="0.25">
      <c r="A30" s="291">
        <v>13</v>
      </c>
      <c r="B30" s="281">
        <v>1</v>
      </c>
      <c r="C30" s="282">
        <v>10244.923698985</v>
      </c>
      <c r="D30" s="282">
        <v>20</v>
      </c>
      <c r="E30" s="282">
        <v>403.78313333889719</v>
      </c>
      <c r="F30" s="282">
        <v>269.18875555926479</v>
      </c>
      <c r="G30" s="283">
        <v>0.15</v>
      </c>
      <c r="H30" s="284">
        <v>1.5</v>
      </c>
      <c r="I30" s="282">
        <v>423.78313333889719</v>
      </c>
      <c r="J30" s="282">
        <v>696.92932135622323</v>
      </c>
      <c r="K30" s="283">
        <v>6.8026794716418482E-2</v>
      </c>
      <c r="L30" s="282">
        <v>1794.5917037284321</v>
      </c>
      <c r="M30" s="282">
        <v>9971.7775109676732</v>
      </c>
      <c r="N30" s="282">
        <v>1150.1355645758795</v>
      </c>
      <c r="O30" s="283">
        <v>0.11533907202711635</v>
      </c>
      <c r="P30" s="285">
        <v>1.21040602743353</v>
      </c>
      <c r="Q30" s="282">
        <v>1392.1310197283105</v>
      </c>
      <c r="R30" s="284">
        <v>15.199335108774019</v>
      </c>
      <c r="S30" s="282">
        <v>21159.465884169887</v>
      </c>
      <c r="T30" s="284">
        <v>18.397366828642141</v>
      </c>
      <c r="U30" s="284">
        <v>2.1219352177580371</v>
      </c>
      <c r="V30" s="273"/>
      <c r="W30" s="273"/>
    </row>
    <row r="31" spans="1:24" x14ac:dyDescent="0.25">
      <c r="A31" s="291">
        <v>14</v>
      </c>
      <c r="B31" s="281">
        <v>2</v>
      </c>
      <c r="C31" s="282">
        <v>9971.7775109676732</v>
      </c>
      <c r="D31" s="282">
        <v>20</v>
      </c>
      <c r="E31" s="282">
        <v>421.15685631665389</v>
      </c>
      <c r="F31" s="282">
        <v>280.77123754443591</v>
      </c>
      <c r="G31" s="283">
        <v>0.15</v>
      </c>
      <c r="H31" s="284">
        <v>1.5</v>
      </c>
      <c r="I31" s="282">
        <v>441.15685631665389</v>
      </c>
      <c r="J31" s="282">
        <v>648.41140073737915</v>
      </c>
      <c r="K31" s="283">
        <v>6.5024655837357975E-2</v>
      </c>
      <c r="L31" s="282">
        <v>1871.8082502962395</v>
      </c>
      <c r="M31" s="282">
        <v>9764.5229665469487</v>
      </c>
      <c r="N31" s="282">
        <v>1079.8660284651169</v>
      </c>
      <c r="O31" s="283">
        <v>0.11059076128600601</v>
      </c>
      <c r="P31" s="285">
        <v>1.2486383741794347</v>
      </c>
      <c r="Q31" s="282">
        <v>1348.3621621142865</v>
      </c>
      <c r="R31" s="284">
        <v>15.476289027211017</v>
      </c>
      <c r="S31" s="282">
        <v>20867.642534235856</v>
      </c>
      <c r="T31" s="284">
        <v>19.324288369267787</v>
      </c>
      <c r="U31" s="284">
        <v>2.1370877620676363</v>
      </c>
      <c r="V31" s="273"/>
      <c r="W31" s="273"/>
    </row>
    <row r="32" spans="1:24" x14ac:dyDescent="0.25">
      <c r="A32" s="291">
        <v>15</v>
      </c>
      <c r="B32" s="281">
        <v>3</v>
      </c>
      <c r="C32" s="282">
        <v>9764.5229665469487</v>
      </c>
      <c r="D32" s="282">
        <v>40</v>
      </c>
      <c r="E32" s="282">
        <v>1100.7202601023207</v>
      </c>
      <c r="F32" s="282">
        <v>550.36013005116035</v>
      </c>
      <c r="G32" s="283">
        <v>0.2788060944524488</v>
      </c>
      <c r="H32" s="284">
        <v>2</v>
      </c>
      <c r="I32" s="282">
        <v>1140.7202601023207</v>
      </c>
      <c r="J32" s="282">
        <v>830.90093950071059</v>
      </c>
      <c r="K32" s="283">
        <v>8.5093858895857979E-2</v>
      </c>
      <c r="L32" s="282">
        <v>1973.9888797338535</v>
      </c>
      <c r="M32" s="282">
        <v>10074.342287148558</v>
      </c>
      <c r="N32" s="282">
        <v>2170.5155976737065</v>
      </c>
      <c r="O32" s="283">
        <v>0.21544985625935578</v>
      </c>
      <c r="P32" s="285">
        <v>1.4030166582032118</v>
      </c>
      <c r="Q32" s="282">
        <v>3045.2695404261103</v>
      </c>
      <c r="R32" s="284">
        <v>16.313350967586789</v>
      </c>
      <c r="S32" s="282">
        <v>49678.550803872859</v>
      </c>
      <c r="T32" s="284">
        <v>22.887903158639745</v>
      </c>
      <c r="U32" s="284">
        <v>4.9311954456069884</v>
      </c>
      <c r="V32" s="273"/>
      <c r="W32" s="273"/>
    </row>
    <row r="33" spans="1:24" x14ac:dyDescent="0.25">
      <c r="A33" s="291">
        <v>16</v>
      </c>
      <c r="B33" s="281">
        <v>4</v>
      </c>
      <c r="C33" s="282">
        <v>10074.342287148558</v>
      </c>
      <c r="D33" s="282">
        <v>50</v>
      </c>
      <c r="E33" s="282">
        <v>1065.7614684765738</v>
      </c>
      <c r="F33" s="282">
        <v>554.93451383054878</v>
      </c>
      <c r="G33" s="283">
        <v>0.29171908919543016</v>
      </c>
      <c r="H33" s="284">
        <v>1.9205175420067815</v>
      </c>
      <c r="I33" s="282">
        <v>1115.7614684765738</v>
      </c>
      <c r="J33" s="282">
        <v>875.03447645052802</v>
      </c>
      <c r="K33" s="283">
        <v>8.6857727433658383E-2</v>
      </c>
      <c r="L33" s="282">
        <v>1902.2907117976904</v>
      </c>
      <c r="M33" s="282">
        <v>10315.069279174604</v>
      </c>
      <c r="N33" s="282">
        <v>2188.9250875271819</v>
      </c>
      <c r="O33" s="283">
        <v>0.21220653281955817</v>
      </c>
      <c r="P33" s="285">
        <v>1.390978153373595</v>
      </c>
      <c r="Q33" s="282">
        <v>3044.7469761216944</v>
      </c>
      <c r="R33" s="284">
        <v>16.19390962652837</v>
      </c>
      <c r="S33" s="282">
        <v>49306.357366960248</v>
      </c>
      <c r="T33" s="284">
        <v>22.525374508207314</v>
      </c>
      <c r="U33" s="284">
        <v>4.7800316248487347</v>
      </c>
      <c r="V33" s="273"/>
      <c r="W33" s="273"/>
    </row>
    <row r="34" spans="1:24" x14ac:dyDescent="0.25">
      <c r="A34" s="291">
        <v>17</v>
      </c>
      <c r="B34" s="281">
        <v>5</v>
      </c>
      <c r="C34" s="282">
        <v>10315.069279174604</v>
      </c>
      <c r="D34" s="282">
        <v>55</v>
      </c>
      <c r="E34" s="282">
        <v>1300.9996124012082</v>
      </c>
      <c r="F34" s="282">
        <v>663.12793083715314</v>
      </c>
      <c r="G34" s="283">
        <v>0.32910896317907534</v>
      </c>
      <c r="H34" s="284">
        <v>1.9619134587782876</v>
      </c>
      <c r="I34" s="282">
        <v>1355.9996124012082</v>
      </c>
      <c r="J34" s="282">
        <v>937.82873930100504</v>
      </c>
      <c r="K34" s="283">
        <v>9.0918317067866419E-2</v>
      </c>
      <c r="L34" s="282">
        <v>2014.9190846447134</v>
      </c>
      <c r="M34" s="282">
        <v>10733.240152274808</v>
      </c>
      <c r="N34" s="282">
        <v>2344.8083926775471</v>
      </c>
      <c r="O34" s="283">
        <v>0.21846230582855145</v>
      </c>
      <c r="P34" s="285">
        <v>1.5075684340395079</v>
      </c>
      <c r="Q34" s="282">
        <v>3534.9591166715854</v>
      </c>
      <c r="R34" s="284">
        <v>16.328100376653708</v>
      </c>
      <c r="S34" s="282">
        <v>57719.167284380776</v>
      </c>
      <c r="T34" s="284">
        <v>24.615728715671732</v>
      </c>
      <c r="U34" s="284">
        <v>5.3776088548757341</v>
      </c>
      <c r="V34" s="273"/>
      <c r="W34" s="273"/>
    </row>
    <row r="35" spans="1:24" x14ac:dyDescent="0.25">
      <c r="A35" s="291">
        <v>18</v>
      </c>
      <c r="B35" s="281">
        <v>6</v>
      </c>
      <c r="C35" s="282">
        <v>10733.240152274808</v>
      </c>
      <c r="D35" s="282">
        <v>55</v>
      </c>
      <c r="E35" s="282">
        <v>1670.6740965621302</v>
      </c>
      <c r="F35" s="282">
        <v>786.04845103554942</v>
      </c>
      <c r="G35" s="283">
        <v>0.36588512164957299</v>
      </c>
      <c r="H35" s="284">
        <v>2.1254085474771491</v>
      </c>
      <c r="I35" s="282">
        <v>1725.6740965621302</v>
      </c>
      <c r="J35" s="282">
        <v>922.37734417534557</v>
      </c>
      <c r="K35" s="283">
        <v>8.5936523462568429E-2</v>
      </c>
      <c r="L35" s="282">
        <v>2148.3476767016191</v>
      </c>
      <c r="M35" s="282">
        <v>11536.536904661592</v>
      </c>
      <c r="N35" s="282">
        <v>2592.8144150335875</v>
      </c>
      <c r="O35" s="283">
        <v>0.22474807097317945</v>
      </c>
      <c r="P35" s="285">
        <v>1.555378745008112</v>
      </c>
      <c r="Q35" s="282">
        <v>4032.8084308938833</v>
      </c>
      <c r="R35" s="284">
        <v>16.114414828249785</v>
      </c>
      <c r="S35" s="282">
        <v>64986.347978287136</v>
      </c>
      <c r="T35" s="284">
        <v>25.064018312103258</v>
      </c>
      <c r="U35" s="284">
        <v>5.6330897664816524</v>
      </c>
      <c r="V35" s="273"/>
      <c r="W35" s="273"/>
    </row>
    <row r="36" spans="1:24" x14ac:dyDescent="0.25">
      <c r="A36" s="291">
        <v>19</v>
      </c>
      <c r="B36" s="281">
        <v>7</v>
      </c>
      <c r="C36" s="282">
        <v>11536.536904661592</v>
      </c>
      <c r="D36" s="282">
        <v>55</v>
      </c>
      <c r="E36" s="282">
        <v>1160.8254547148047</v>
      </c>
      <c r="F36" s="282">
        <v>604.43248303043788</v>
      </c>
      <c r="G36" s="283">
        <v>0.29171946935387283</v>
      </c>
      <c r="H36" s="284">
        <v>1.920521294445964</v>
      </c>
      <c r="I36" s="282">
        <v>1215.8254547148047</v>
      </c>
      <c r="J36" s="282">
        <v>1148.429447399385</v>
      </c>
      <c r="K36" s="283">
        <v>9.9547156732566491E-2</v>
      </c>
      <c r="L36" s="282">
        <v>2071.9648378944012</v>
      </c>
      <c r="M36" s="282">
        <v>11603.932911977012</v>
      </c>
      <c r="N36" s="282">
        <v>2582.5965452385622</v>
      </c>
      <c r="O36" s="283">
        <v>0.22256217480996743</v>
      </c>
      <c r="P36" s="285">
        <v>1.4408486282416026</v>
      </c>
      <c r="Q36" s="282">
        <v>3721.1306895084845</v>
      </c>
      <c r="R36" s="284">
        <v>16.095081640269612</v>
      </c>
      <c r="S36" s="282">
        <v>59891.902241751806</v>
      </c>
      <c r="T36" s="284">
        <v>23.190576302819075</v>
      </c>
      <c r="U36" s="284">
        <v>5.1613450970519068</v>
      </c>
      <c r="V36" s="273"/>
      <c r="W36" s="273"/>
    </row>
    <row r="37" spans="1:24" x14ac:dyDescent="0.25">
      <c r="A37" s="291">
        <v>20</v>
      </c>
      <c r="B37" s="281">
        <v>8</v>
      </c>
      <c r="C37" s="282">
        <v>11603.932911977012</v>
      </c>
      <c r="D37" s="282">
        <v>55</v>
      </c>
      <c r="E37" s="282">
        <v>1413.2698134488169</v>
      </c>
      <c r="F37" s="282">
        <v>720.29014693459794</v>
      </c>
      <c r="G37" s="283">
        <v>0.32919697678498916</v>
      </c>
      <c r="H37" s="284">
        <v>1.9620840566310582</v>
      </c>
      <c r="I37" s="282">
        <v>1468.2698134488169</v>
      </c>
      <c r="J37" s="282">
        <v>1029.4093431104357</v>
      </c>
      <c r="K37" s="283">
        <v>8.8712107431087414E-2</v>
      </c>
      <c r="L37" s="282">
        <v>2188.0217551482751</v>
      </c>
      <c r="M37" s="282">
        <v>12042.793382315393</v>
      </c>
      <c r="N37" s="282">
        <v>2717.1197833764895</v>
      </c>
      <c r="O37" s="283">
        <v>0.22562205437872304</v>
      </c>
      <c r="P37" s="285">
        <v>1.5241608204866186</v>
      </c>
      <c r="Q37" s="282">
        <v>4141.3275183915339</v>
      </c>
      <c r="R37" s="284">
        <v>16.070777184894332</v>
      </c>
      <c r="S37" s="282">
        <v>66554.351797741721</v>
      </c>
      <c r="T37" s="284">
        <v>24.494448939986174</v>
      </c>
      <c r="U37" s="284">
        <v>5.5264878907144164</v>
      </c>
      <c r="V37" s="273"/>
      <c r="W37" s="273"/>
    </row>
    <row r="38" spans="1:24" x14ac:dyDescent="0.25">
      <c r="A38" s="291">
        <v>21</v>
      </c>
      <c r="B38" s="281">
        <v>9</v>
      </c>
      <c r="C38" s="282">
        <v>12042.793382315393</v>
      </c>
      <c r="D38" s="282">
        <v>55</v>
      </c>
      <c r="E38" s="282">
        <v>1666.9132116041837</v>
      </c>
      <c r="F38" s="282">
        <v>786.34602710255399</v>
      </c>
      <c r="G38" s="283">
        <v>0.33732219276996012</v>
      </c>
      <c r="H38" s="284">
        <v>2.1198214960737478</v>
      </c>
      <c r="I38" s="282">
        <v>1721.9132116041837</v>
      </c>
      <c r="J38" s="282">
        <v>908.23483527129974</v>
      </c>
      <c r="K38" s="283">
        <v>7.5417289530602172E-2</v>
      </c>
      <c r="L38" s="282">
        <v>2331.1422846074338</v>
      </c>
      <c r="M38" s="282">
        <v>12856.471758648277</v>
      </c>
      <c r="N38" s="282">
        <v>2947.4328884488855</v>
      </c>
      <c r="O38" s="283">
        <v>0.22925674662383244</v>
      </c>
      <c r="P38" s="285">
        <v>1.5812574378218431</v>
      </c>
      <c r="Q38" s="282">
        <v>4660.6501773405189</v>
      </c>
      <c r="R38" s="284">
        <v>15.953615369207728</v>
      </c>
      <c r="S38" s="282">
        <v>74354.220299720429</v>
      </c>
      <c r="T38" s="284">
        <v>25.226772962708591</v>
      </c>
      <c r="U38" s="284">
        <v>5.7834078972486305</v>
      </c>
      <c r="V38" s="273"/>
      <c r="W38" s="273"/>
    </row>
    <row r="39" spans="1:24" x14ac:dyDescent="0.25">
      <c r="A39" s="291">
        <v>22</v>
      </c>
      <c r="B39" s="281">
        <v>10</v>
      </c>
      <c r="C39" s="282">
        <v>12856.471758648278</v>
      </c>
      <c r="D39" s="282">
        <v>55</v>
      </c>
      <c r="E39" s="282">
        <v>1293.7400579646248</v>
      </c>
      <c r="F39" s="282">
        <v>659.77161116243224</v>
      </c>
      <c r="G39" s="283">
        <v>0.2918471990714987</v>
      </c>
      <c r="H39" s="284">
        <v>1.9608907629190384</v>
      </c>
      <c r="I39" s="282">
        <v>1348.7400579646246</v>
      </c>
      <c r="J39" s="282">
        <v>1030.5824988376535</v>
      </c>
      <c r="K39" s="283">
        <v>8.0160600683029715E-2</v>
      </c>
      <c r="L39" s="282">
        <v>2260.6748094943919</v>
      </c>
      <c r="M39" s="282">
        <v>13174.629317775247</v>
      </c>
      <c r="N39" s="282">
        <v>3001.7602851599686</v>
      </c>
      <c r="O39" s="283">
        <v>0.22784400325480014</v>
      </c>
      <c r="P39" s="285">
        <v>1.4617330421115176</v>
      </c>
      <c r="Q39" s="282">
        <v>4387.7721933164175</v>
      </c>
      <c r="R39" s="284">
        <v>16.032963006433</v>
      </c>
      <c r="S39" s="282">
        <v>70348.989256097513</v>
      </c>
      <c r="T39" s="284">
        <v>23.435911789454735</v>
      </c>
      <c r="U39" s="284">
        <v>5.3397319620357333</v>
      </c>
      <c r="V39" s="273"/>
      <c r="W39" s="273"/>
    </row>
    <row r="40" spans="1:24" x14ac:dyDescent="0.25">
      <c r="A40" s="291">
        <v>23</v>
      </c>
      <c r="B40" s="281">
        <v>11</v>
      </c>
      <c r="C40" s="282">
        <v>13174.629317775245</v>
      </c>
      <c r="D40" s="282">
        <v>45</v>
      </c>
      <c r="E40" s="282">
        <v>1539.0841279619865</v>
      </c>
      <c r="F40" s="282">
        <v>784.23233302683741</v>
      </c>
      <c r="G40" s="283">
        <v>0.32943032963412705</v>
      </c>
      <c r="H40" s="284">
        <v>1.9625359260841866</v>
      </c>
      <c r="I40" s="282">
        <v>1584.0841279619865</v>
      </c>
      <c r="J40" s="282">
        <v>986.59264978515421</v>
      </c>
      <c r="K40" s="283">
        <v>7.4885799515743548E-2</v>
      </c>
      <c r="L40" s="282">
        <v>2380.5711328942421</v>
      </c>
      <c r="M40" s="282">
        <v>13772.12079595208</v>
      </c>
      <c r="N40" s="282">
        <v>3174.6181719923029</v>
      </c>
      <c r="O40" s="283">
        <v>0.23051047976034242</v>
      </c>
      <c r="P40" s="285">
        <v>1.5267788353612097</v>
      </c>
      <c r="Q40" s="282">
        <v>4846.9398353509405</v>
      </c>
      <c r="R40" s="284">
        <v>16.089004853403338</v>
      </c>
      <c r="S40" s="282">
        <v>77982.43853511526</v>
      </c>
      <c r="T40" s="284">
        <v>24.564352092199996</v>
      </c>
      <c r="U40" s="284">
        <v>5.6623405857749924</v>
      </c>
      <c r="V40" s="273"/>
      <c r="W40" s="273"/>
    </row>
    <row r="41" spans="1:24" x14ac:dyDescent="0.25">
      <c r="A41" s="291">
        <v>24</v>
      </c>
      <c r="B41" s="281">
        <v>12</v>
      </c>
      <c r="C41" s="282">
        <v>13772.12079595208</v>
      </c>
      <c r="D41" s="282">
        <v>45</v>
      </c>
      <c r="E41" s="282">
        <v>1796.0022303166488</v>
      </c>
      <c r="F41" s="282">
        <v>846.68432047839724</v>
      </c>
      <c r="G41" s="283">
        <v>0.3375351813234837</v>
      </c>
      <c r="H41" s="284">
        <v>2.1212182473178007</v>
      </c>
      <c r="I41" s="282">
        <v>1841.0022303166488</v>
      </c>
      <c r="J41" s="282">
        <v>871.45225724515694</v>
      </c>
      <c r="K41" s="283">
        <v>6.3276547610684283E-2</v>
      </c>
      <c r="L41" s="282">
        <v>2508.4328014594726</v>
      </c>
      <c r="M41" s="282">
        <v>14741.670769023571</v>
      </c>
      <c r="N41" s="282">
        <v>3445.3602368077322</v>
      </c>
      <c r="O41" s="283">
        <v>0.2337157226470836</v>
      </c>
      <c r="P41" s="285">
        <v>1.5853491003332512</v>
      </c>
      <c r="Q41" s="282">
        <v>5462.0987517470958</v>
      </c>
      <c r="R41" s="284">
        <v>15.984195138035355</v>
      </c>
      <c r="S41" s="282">
        <v>87307.252311144912</v>
      </c>
      <c r="T41" s="284">
        <v>25.340529381635481</v>
      </c>
      <c r="U41" s="284">
        <v>5.9224801366885904</v>
      </c>
      <c r="V41" s="273"/>
      <c r="W41" s="273"/>
    </row>
    <row r="42" spans="1:24" s="1" customFormat="1" ht="30" x14ac:dyDescent="0.25">
      <c r="B42" s="292" t="s">
        <v>221</v>
      </c>
      <c r="C42" s="293">
        <v>13772.12079595208</v>
      </c>
      <c r="D42" s="293">
        <v>550</v>
      </c>
      <c r="E42" s="293">
        <v>14832.93032320885</v>
      </c>
      <c r="F42" s="293">
        <v>7506.1879405933696</v>
      </c>
      <c r="G42" s="294">
        <v>0.29497624576059656</v>
      </c>
      <c r="H42" s="295">
        <v>1.9760936497463046</v>
      </c>
      <c r="I42" s="293">
        <v>15382.93032320885</v>
      </c>
      <c r="J42" s="293">
        <v>10886.183253170277</v>
      </c>
      <c r="K42" s="294">
        <v>7.9992316692111987E-2</v>
      </c>
      <c r="L42" s="293">
        <v>2508.4328014594726</v>
      </c>
      <c r="M42" s="293">
        <v>14741.670769023571</v>
      </c>
      <c r="N42" s="293">
        <v>29395.952996976965</v>
      </c>
      <c r="O42" s="294">
        <v>0.20909422924719515</v>
      </c>
      <c r="P42" s="296">
        <v>1.4838163748627737</v>
      </c>
      <c r="Q42" s="293">
        <v>43618.19641161085</v>
      </c>
      <c r="R42" s="295">
        <v>16.051940334403685</v>
      </c>
      <c r="S42" s="293">
        <v>700156.68629347836</v>
      </c>
      <c r="T42" s="295">
        <v>23.81813191650842</v>
      </c>
      <c r="U42" s="295">
        <v>4.9802339351903466</v>
      </c>
      <c r="V42" s="297"/>
      <c r="W42" s="297"/>
      <c r="X42" s="298"/>
    </row>
    <row r="44" spans="1:24" ht="38.25" x14ac:dyDescent="0.25">
      <c r="B44" s="274">
        <v>2018</v>
      </c>
      <c r="C44" s="275" t="s">
        <v>209</v>
      </c>
      <c r="D44" s="275" t="s">
        <v>210</v>
      </c>
      <c r="E44" s="275" t="s">
        <v>211</v>
      </c>
      <c r="F44" s="275" t="s">
        <v>198</v>
      </c>
      <c r="G44" s="276" t="s">
        <v>197</v>
      </c>
      <c r="H44" s="277" t="s">
        <v>212</v>
      </c>
      <c r="I44" s="275" t="s">
        <v>213</v>
      </c>
      <c r="J44" s="275" t="s">
        <v>214</v>
      </c>
      <c r="K44" s="276" t="s">
        <v>215</v>
      </c>
      <c r="L44" s="275" t="s">
        <v>216</v>
      </c>
      <c r="M44" s="275" t="s">
        <v>92</v>
      </c>
      <c r="N44" s="275" t="s">
        <v>217</v>
      </c>
      <c r="O44" s="276" t="s">
        <v>11</v>
      </c>
      <c r="P44" s="278" t="s">
        <v>218</v>
      </c>
      <c r="Q44" s="275" t="s">
        <v>219</v>
      </c>
      <c r="R44" s="277" t="s">
        <v>14</v>
      </c>
      <c r="S44" s="275" t="s">
        <v>0</v>
      </c>
      <c r="T44" s="277" t="s">
        <v>206</v>
      </c>
      <c r="U44" s="277" t="s">
        <v>220</v>
      </c>
      <c r="V44" s="279"/>
      <c r="W44" s="279"/>
      <c r="X44" s="280"/>
    </row>
    <row r="45" spans="1:24" x14ac:dyDescent="0.25">
      <c r="A45" s="291">
        <v>25</v>
      </c>
      <c r="B45" s="281">
        <v>1</v>
      </c>
      <c r="C45" s="282">
        <v>14741.670769023571</v>
      </c>
      <c r="D45" s="282">
        <v>20</v>
      </c>
      <c r="E45" s="282">
        <v>515.05978658248364</v>
      </c>
      <c r="F45" s="282">
        <v>343.37319105498904</v>
      </c>
      <c r="G45" s="283">
        <v>0.15</v>
      </c>
      <c r="H45" s="284">
        <v>1.5000000000000002</v>
      </c>
      <c r="I45" s="282">
        <v>535.05978658248364</v>
      </c>
      <c r="J45" s="282">
        <v>1671.7429730438544</v>
      </c>
      <c r="K45" s="283">
        <v>0.11340254434094812</v>
      </c>
      <c r="L45" s="282">
        <v>2289.1546070332602</v>
      </c>
      <c r="M45" s="282">
        <v>13604.9875825622</v>
      </c>
      <c r="N45" s="282">
        <v>1582.9374466831032</v>
      </c>
      <c r="O45" s="283">
        <v>0.116349789889701</v>
      </c>
      <c r="P45" s="285">
        <v>1.2778620962690843</v>
      </c>
      <c r="Q45" s="282">
        <v>2022.7757638813021</v>
      </c>
      <c r="R45" s="284">
        <v>16.967425855815126</v>
      </c>
      <c r="S45" s="282">
        <v>34321.297796595798</v>
      </c>
      <c r="T45" s="284">
        <v>21.682030372402178</v>
      </c>
      <c r="U45" s="284">
        <v>2.5226996782111093</v>
      </c>
      <c r="V45" s="273"/>
      <c r="W45" s="273"/>
    </row>
    <row r="46" spans="1:24" x14ac:dyDescent="0.25">
      <c r="A46" s="291">
        <v>26</v>
      </c>
      <c r="B46" s="281">
        <v>2</v>
      </c>
      <c r="C46" s="282">
        <v>13604.987582562198</v>
      </c>
      <c r="D46" s="282">
        <v>20</v>
      </c>
      <c r="E46" s="282">
        <v>537.01642889980712</v>
      </c>
      <c r="F46" s="282">
        <v>358.01095259987142</v>
      </c>
      <c r="G46" s="283">
        <v>0.15000000000000002</v>
      </c>
      <c r="H46" s="284">
        <v>1.5</v>
      </c>
      <c r="I46" s="282">
        <v>557.01642889980712</v>
      </c>
      <c r="J46" s="282">
        <v>1273.3133735574138</v>
      </c>
      <c r="K46" s="283">
        <v>9.3591660104816746E-2</v>
      </c>
      <c r="L46" s="282">
        <v>2386.7396839991425</v>
      </c>
      <c r="M46" s="282">
        <v>12888.690637904594</v>
      </c>
      <c r="N46" s="282">
        <v>1449.3709552794019</v>
      </c>
      <c r="O46" s="283">
        <v>0.11245292450552885</v>
      </c>
      <c r="P46" s="285">
        <v>1.2868391818636229</v>
      </c>
      <c r="Q46" s="282">
        <v>1865.107334308643</v>
      </c>
      <c r="R46" s="284">
        <v>17.291727596242325</v>
      </c>
      <c r="S46" s="282">
        <v>32250.92796261872</v>
      </c>
      <c r="T46" s="284">
        <v>22.251672592957103</v>
      </c>
      <c r="U46" s="284">
        <v>2.5022656582175506</v>
      </c>
      <c r="V46" s="273"/>
      <c r="W46" s="273"/>
    </row>
    <row r="47" spans="1:24" x14ac:dyDescent="0.25">
      <c r="A47" s="291">
        <v>27</v>
      </c>
      <c r="B47" s="281">
        <v>3</v>
      </c>
      <c r="C47" s="282">
        <v>12888.690637904592</v>
      </c>
      <c r="D47" s="282">
        <v>60</v>
      </c>
      <c r="E47" s="282">
        <v>1664.5412856817002</v>
      </c>
      <c r="F47" s="282">
        <v>832.27064284085009</v>
      </c>
      <c r="G47" s="283">
        <v>0.32918257180423233</v>
      </c>
      <c r="H47" s="284">
        <v>2</v>
      </c>
      <c r="I47" s="282">
        <v>1724.5412856817002</v>
      </c>
      <c r="J47" s="282">
        <v>1281.0984178641611</v>
      </c>
      <c r="K47" s="283">
        <v>9.9397095783845937E-2</v>
      </c>
      <c r="L47" s="282">
        <v>2528.2949770980235</v>
      </c>
      <c r="M47" s="282">
        <v>13332.133505722133</v>
      </c>
      <c r="N47" s="282">
        <v>2921.5791679013128</v>
      </c>
      <c r="O47" s="283">
        <v>0.21913815719347357</v>
      </c>
      <c r="P47" s="285">
        <v>1.4362270487018023</v>
      </c>
      <c r="Q47" s="282">
        <v>4196.0510258635695</v>
      </c>
      <c r="R47" s="284">
        <v>16.845463532862691</v>
      </c>
      <c r="S47" s="282">
        <v>70684.424538215841</v>
      </c>
      <c r="T47" s="284">
        <v>24.193910373817214</v>
      </c>
      <c r="U47" s="284">
        <v>5.3018089346223682</v>
      </c>
      <c r="V47" s="273"/>
      <c r="W47" s="273"/>
    </row>
    <row r="48" spans="1:24" x14ac:dyDescent="0.25">
      <c r="A48" s="291">
        <v>28</v>
      </c>
      <c r="B48" s="281">
        <v>4</v>
      </c>
      <c r="C48" s="282">
        <v>13332.133505722135</v>
      </c>
      <c r="D48" s="282">
        <v>60</v>
      </c>
      <c r="E48" s="282">
        <v>1494.0072459593921</v>
      </c>
      <c r="F48" s="282">
        <v>747.00362297969605</v>
      </c>
      <c r="G48" s="283">
        <v>0.30835345119331553</v>
      </c>
      <c r="H48" s="284">
        <v>2</v>
      </c>
      <c r="I48" s="282">
        <v>1554.0072459593921</v>
      </c>
      <c r="J48" s="282">
        <v>1292.5559098714639</v>
      </c>
      <c r="K48" s="283">
        <v>9.6950417524449523E-2</v>
      </c>
      <c r="L48" s="282">
        <v>2422.5563880956151</v>
      </c>
      <c r="M48" s="282">
        <v>13593.584841810061</v>
      </c>
      <c r="N48" s="282">
        <v>2952.1925253690551</v>
      </c>
      <c r="O48" s="283">
        <v>0.21717542206298204</v>
      </c>
      <c r="P48" s="285">
        <v>1.4338160443113994</v>
      </c>
      <c r="Q48" s="282">
        <v>4232.9010087703391</v>
      </c>
      <c r="R48" s="284">
        <v>16.631898843533289</v>
      </c>
      <c r="S48" s="282">
        <v>70401.181392558297</v>
      </c>
      <c r="T48" s="284">
        <v>23.84708340922224</v>
      </c>
      <c r="U48" s="284">
        <v>5.1790004043689768</v>
      </c>
      <c r="V48" s="273"/>
      <c r="W48" s="273"/>
    </row>
    <row r="49" spans="1:24" x14ac:dyDescent="0.25">
      <c r="A49" s="291">
        <v>29</v>
      </c>
      <c r="B49" s="281">
        <v>5</v>
      </c>
      <c r="C49" s="282">
        <v>13593.584841810061</v>
      </c>
      <c r="D49" s="282">
        <v>55</v>
      </c>
      <c r="E49" s="282">
        <v>1717.062062433153</v>
      </c>
      <c r="F49" s="282">
        <v>858.53103121657648</v>
      </c>
      <c r="G49" s="283">
        <v>0.33741061672598316</v>
      </c>
      <c r="H49" s="284">
        <v>2</v>
      </c>
      <c r="I49" s="282">
        <v>1772.062062433153</v>
      </c>
      <c r="J49" s="282">
        <v>1287.3934305154908</v>
      </c>
      <c r="K49" s="283">
        <v>9.470595472033462E-2</v>
      </c>
      <c r="L49" s="282">
        <v>2544.4695236540347</v>
      </c>
      <c r="M49" s="282">
        <v>14078.253473727724</v>
      </c>
      <c r="N49" s="282">
        <v>3116.1239692344175</v>
      </c>
      <c r="O49" s="283">
        <v>0.22134307888756258</v>
      </c>
      <c r="P49" s="285">
        <v>1.5615250801310403</v>
      </c>
      <c r="Q49" s="282">
        <v>4865.9057307570292</v>
      </c>
      <c r="R49" s="284">
        <v>16.725604269828892</v>
      </c>
      <c r="S49" s="282">
        <v>81385.213666934636</v>
      </c>
      <c r="T49" s="284">
        <v>26.11745054768463</v>
      </c>
      <c r="U49" s="284">
        <v>5.7809169169181729</v>
      </c>
      <c r="V49" s="273"/>
      <c r="W49" s="273"/>
    </row>
    <row r="50" spans="1:24" x14ac:dyDescent="0.25">
      <c r="A50" s="291">
        <v>30</v>
      </c>
      <c r="B50" s="281">
        <v>6</v>
      </c>
      <c r="C50" s="282">
        <v>14078.253473727724</v>
      </c>
      <c r="D50" s="282">
        <v>55</v>
      </c>
      <c r="E50" s="282">
        <v>1868.8874177449056</v>
      </c>
      <c r="F50" s="282">
        <v>934.44370887245282</v>
      </c>
      <c r="G50" s="283">
        <v>0.35</v>
      </c>
      <c r="H50" s="284">
        <v>2</v>
      </c>
      <c r="I50" s="282">
        <v>1923.8874177449056</v>
      </c>
      <c r="J50" s="282">
        <v>1248.4505486817543</v>
      </c>
      <c r="K50" s="283">
        <v>8.8679362891964056E-2</v>
      </c>
      <c r="L50" s="282">
        <v>2669.8391682070082</v>
      </c>
      <c r="M50" s="282">
        <v>14753.690342790875</v>
      </c>
      <c r="N50" s="282">
        <v>3307.6829308667025</v>
      </c>
      <c r="O50" s="283">
        <v>0.22419359861940863</v>
      </c>
      <c r="P50" s="285">
        <v>1.606036560162319</v>
      </c>
      <c r="Q50" s="282">
        <v>5312.2597163967766</v>
      </c>
      <c r="R50" s="284">
        <v>16.601186445848253</v>
      </c>
      <c r="S50" s="282">
        <v>88189.814000671846</v>
      </c>
      <c r="T50" s="284">
        <v>26.66211237410344</v>
      </c>
      <c r="U50" s="284">
        <v>5.9774749199453145</v>
      </c>
      <c r="V50" s="273"/>
      <c r="W50" s="273"/>
    </row>
    <row r="51" spans="1:24" x14ac:dyDescent="0.25">
      <c r="A51" s="291">
        <v>31</v>
      </c>
      <c r="B51" s="281">
        <v>7</v>
      </c>
      <c r="C51" s="282">
        <v>14753.690342790876</v>
      </c>
      <c r="D51" s="282">
        <v>55</v>
      </c>
      <c r="E51" s="282">
        <v>1567.4039450284586</v>
      </c>
      <c r="F51" s="282">
        <v>783.70197251422928</v>
      </c>
      <c r="G51" s="283">
        <v>0.30846930575453257</v>
      </c>
      <c r="H51" s="284">
        <v>2</v>
      </c>
      <c r="I51" s="282">
        <v>1622.4039450284586</v>
      </c>
      <c r="J51" s="282">
        <v>1579.7976812074448</v>
      </c>
      <c r="K51" s="283">
        <v>0.10707813736780672</v>
      </c>
      <c r="L51" s="282">
        <v>2540.6157367821475</v>
      </c>
      <c r="M51" s="282">
        <v>14796.296606611888</v>
      </c>
      <c r="N51" s="282">
        <v>3302.3978226137633</v>
      </c>
      <c r="O51" s="283">
        <v>0.22319083689752817</v>
      </c>
      <c r="P51" s="285">
        <v>1.5171172136656466</v>
      </c>
      <c r="Q51" s="282">
        <v>5010.1245830592907</v>
      </c>
      <c r="R51" s="284">
        <v>16.559040241693904</v>
      </c>
      <c r="S51" s="282">
        <v>82962.854586778689</v>
      </c>
      <c r="T51" s="284">
        <v>25.12200499245597</v>
      </c>
      <c r="U51" s="284">
        <v>5.6070013188101289</v>
      </c>
      <c r="V51" s="273"/>
      <c r="W51" s="273"/>
    </row>
    <row r="52" spans="1:24" x14ac:dyDescent="0.25">
      <c r="A52" s="291">
        <v>32</v>
      </c>
      <c r="B52" s="281">
        <v>8</v>
      </c>
      <c r="C52" s="282">
        <v>14796.29660661189</v>
      </c>
      <c r="D52" s="282">
        <v>55</v>
      </c>
      <c r="E52" s="282">
        <v>1801.178550273597</v>
      </c>
      <c r="F52" s="282">
        <v>900.58927513679851</v>
      </c>
      <c r="G52" s="283">
        <v>0.3372601614285351</v>
      </c>
      <c r="H52" s="284">
        <v>2</v>
      </c>
      <c r="I52" s="282">
        <v>1856.178550273597</v>
      </c>
      <c r="J52" s="282">
        <v>1336.129840887621</v>
      </c>
      <c r="K52" s="283">
        <v>9.0301639417701085E-2</v>
      </c>
      <c r="L52" s="282">
        <v>2670.3102771527078</v>
      </c>
      <c r="M52" s="282">
        <v>15316.345315997864</v>
      </c>
      <c r="N52" s="282">
        <v>3462.9022979037791</v>
      </c>
      <c r="O52" s="283">
        <v>0.22609194468126748</v>
      </c>
      <c r="P52" s="285">
        <v>1.6098272004459329</v>
      </c>
      <c r="Q52" s="282">
        <v>5574.6743116522284</v>
      </c>
      <c r="R52" s="284">
        <v>16.533135813475212</v>
      </c>
      <c r="S52" s="282">
        <v>92166.847510437743</v>
      </c>
      <c r="T52" s="284">
        <v>26.615491741199193</v>
      </c>
      <c r="U52" s="284">
        <v>6.0175482864159395</v>
      </c>
      <c r="V52" s="273"/>
      <c r="W52" s="273"/>
    </row>
    <row r="53" spans="1:24" x14ac:dyDescent="0.25">
      <c r="A53" s="291">
        <v>33</v>
      </c>
      <c r="B53" s="281">
        <v>9</v>
      </c>
      <c r="C53" s="282">
        <v>15316.34531599786</v>
      </c>
      <c r="D53" s="282">
        <v>55</v>
      </c>
      <c r="E53" s="282">
        <v>1964.5569719716245</v>
      </c>
      <c r="F53" s="282">
        <v>982.27848598581227</v>
      </c>
      <c r="G53" s="283">
        <v>0.35000000000000003</v>
      </c>
      <c r="H53" s="284">
        <v>2</v>
      </c>
      <c r="I53" s="282">
        <v>2019.5569719716245</v>
      </c>
      <c r="J53" s="282">
        <v>1128.6044601189315</v>
      </c>
      <c r="K53" s="283">
        <v>7.3686276773879525E-2</v>
      </c>
      <c r="L53" s="282">
        <v>2806.5099599594632</v>
      </c>
      <c r="M53" s="282">
        <v>16207.297827850558</v>
      </c>
      <c r="N53" s="282">
        <v>3703.3292317989958</v>
      </c>
      <c r="O53" s="283">
        <v>0.22849763551794608</v>
      </c>
      <c r="P53" s="285">
        <v>1.6713498758352998</v>
      </c>
      <c r="Q53" s="282">
        <v>6189.5588517444876</v>
      </c>
      <c r="R53" s="284">
        <v>16.462340833431231</v>
      </c>
      <c r="S53" s="282">
        <v>101894.627425999</v>
      </c>
      <c r="T53" s="284">
        <v>27.514331307913672</v>
      </c>
      <c r="U53" s="284">
        <v>6.2869596467156708</v>
      </c>
      <c r="V53" s="273"/>
      <c r="W53" s="273"/>
    </row>
    <row r="54" spans="1:24" x14ac:dyDescent="0.25">
      <c r="A54" s="291">
        <v>34</v>
      </c>
      <c r="B54" s="281">
        <v>10</v>
      </c>
      <c r="C54" s="282">
        <v>16207.297827850558</v>
      </c>
      <c r="D54" s="282">
        <v>55</v>
      </c>
      <c r="E54" s="282">
        <v>1652.6227240874277</v>
      </c>
      <c r="F54" s="282">
        <v>826.31136204371387</v>
      </c>
      <c r="G54" s="283">
        <v>0.30854824333035091</v>
      </c>
      <c r="H54" s="284">
        <v>2</v>
      </c>
      <c r="I54" s="282">
        <v>1707.6227240874277</v>
      </c>
      <c r="J54" s="282">
        <v>1517.5984353667372</v>
      </c>
      <c r="K54" s="283">
        <v>9.3636733987753462E-2</v>
      </c>
      <c r="L54" s="282">
        <v>2678.062118017031</v>
      </c>
      <c r="M54" s="282">
        <v>16397.322116571249</v>
      </c>
      <c r="N54" s="282">
        <v>3727.5015617027479</v>
      </c>
      <c r="O54" s="283">
        <v>0.22732379928889174</v>
      </c>
      <c r="P54" s="285">
        <v>1.5614482016642299</v>
      </c>
      <c r="Q54" s="282">
        <v>5820.300610221364</v>
      </c>
      <c r="R54" s="284">
        <v>16.496645766654265</v>
      </c>
      <c r="S54" s="282">
        <v>96015.437422263494</v>
      </c>
      <c r="T54" s="284">
        <v>25.758657865834131</v>
      </c>
      <c r="U54" s="284">
        <v>5.8555559706441098</v>
      </c>
      <c r="V54" s="273"/>
      <c r="W54" s="273"/>
    </row>
    <row r="55" spans="1:24" x14ac:dyDescent="0.25">
      <c r="A55" s="291">
        <v>35</v>
      </c>
      <c r="B55" s="281">
        <v>11</v>
      </c>
      <c r="C55" s="282">
        <v>16397.322116571246</v>
      </c>
      <c r="D55" s="282">
        <v>55</v>
      </c>
      <c r="E55" s="282">
        <v>1901.051439190926</v>
      </c>
      <c r="F55" s="282">
        <v>950.52571959546299</v>
      </c>
      <c r="G55" s="283">
        <v>0.33714338773019614</v>
      </c>
      <c r="H55" s="284">
        <v>2</v>
      </c>
      <c r="I55" s="282">
        <v>1956.051439190926</v>
      </c>
      <c r="J55" s="282">
        <v>1464.1188603082737</v>
      </c>
      <c r="K55" s="283">
        <v>8.9290120051287225E-2</v>
      </c>
      <c r="L55" s="282">
        <v>2819.3515109248856</v>
      </c>
      <c r="M55" s="282">
        <v>16889.254695453903</v>
      </c>
      <c r="N55" s="282">
        <v>3890.1994358491356</v>
      </c>
      <c r="O55" s="283">
        <v>0.23033576708960782</v>
      </c>
      <c r="P55" s="285">
        <v>1.6298711441915084</v>
      </c>
      <c r="Q55" s="282">
        <v>6340.5238056405906</v>
      </c>
      <c r="R55" s="284">
        <v>16.53312703482883</v>
      </c>
      <c r="S55" s="282">
        <v>104828.68554601222</v>
      </c>
      <c r="T55" s="284">
        <v>26.946866677320021</v>
      </c>
      <c r="U55" s="284">
        <v>6.2068272067818988</v>
      </c>
      <c r="V55" s="273"/>
      <c r="W55" s="273"/>
    </row>
    <row r="56" spans="1:24" x14ac:dyDescent="0.25">
      <c r="A56" s="291">
        <v>36</v>
      </c>
      <c r="B56" s="281">
        <v>12</v>
      </c>
      <c r="C56" s="282">
        <v>16889.254695453907</v>
      </c>
      <c r="D56" s="282">
        <v>55</v>
      </c>
      <c r="E56" s="282">
        <v>1998.8250716883831</v>
      </c>
      <c r="F56" s="282">
        <v>999.41253584419155</v>
      </c>
      <c r="G56" s="283">
        <v>0.33710455974236486</v>
      </c>
      <c r="H56" s="284">
        <v>2</v>
      </c>
      <c r="I56" s="282">
        <v>2053.8250716883831</v>
      </c>
      <c r="J56" s="282">
        <v>1457.1624382273258</v>
      </c>
      <c r="K56" s="283">
        <v>8.6277486159264991E-2</v>
      </c>
      <c r="L56" s="282">
        <v>2964.6959881171629</v>
      </c>
      <c r="M56" s="282">
        <v>17485.917328914958</v>
      </c>
      <c r="N56" s="282">
        <v>4070.4153048549383</v>
      </c>
      <c r="O56" s="283">
        <v>0.23278248594507778</v>
      </c>
      <c r="P56" s="285">
        <v>1.6887114722142216</v>
      </c>
      <c r="Q56" s="282">
        <v>6873.7570219848822</v>
      </c>
      <c r="R56" s="284">
        <v>16.41681669002093</v>
      </c>
      <c r="S56" s="282">
        <v>112845.20900166998</v>
      </c>
      <c r="T56" s="284">
        <v>27.723266681676247</v>
      </c>
      <c r="U56" s="284">
        <v>6.4534909366789446</v>
      </c>
      <c r="V56" s="273"/>
      <c r="W56" s="273"/>
    </row>
    <row r="57" spans="1:24" s="1" customFormat="1" ht="30" x14ac:dyDescent="0.25">
      <c r="B57" s="292" t="s">
        <v>221</v>
      </c>
      <c r="C57" s="293">
        <v>16889.254695453907</v>
      </c>
      <c r="D57" s="293">
        <v>600</v>
      </c>
      <c r="E57" s="293">
        <v>18682.212929541856</v>
      </c>
      <c r="F57" s="293">
        <v>9516.4525006846452</v>
      </c>
      <c r="G57" s="294">
        <v>0.30384004518452984</v>
      </c>
      <c r="H57" s="295">
        <v>1.9631488654199447</v>
      </c>
      <c r="I57" s="293">
        <v>19282.212929541856</v>
      </c>
      <c r="J57" s="293">
        <v>16537.966369650472</v>
      </c>
      <c r="K57" s="294">
        <v>9.3646719125113659E-2</v>
      </c>
      <c r="L57" s="293">
        <v>2964.6959881171629</v>
      </c>
      <c r="M57" s="293">
        <v>17485.917328914958</v>
      </c>
      <c r="N57" s="293">
        <v>37486.632650057356</v>
      </c>
      <c r="O57" s="294">
        <v>0.20902109817531037</v>
      </c>
      <c r="P57" s="296">
        <v>1.555326142749482</v>
      </c>
      <c r="Q57" s="293">
        <v>58303.939764280498</v>
      </c>
      <c r="R57" s="295">
        <v>16.601734372738939</v>
      </c>
      <c r="S57" s="293">
        <v>967946.52085075621</v>
      </c>
      <c r="T57" s="295">
        <v>25.821111484903543</v>
      </c>
      <c r="U57" s="295">
        <v>5.3971570786816576</v>
      </c>
      <c r="V57" s="297"/>
      <c r="W57" s="297"/>
      <c r="X57" s="298"/>
    </row>
    <row r="59" spans="1:24" ht="38.25" x14ac:dyDescent="0.25">
      <c r="B59" s="274">
        <v>2019</v>
      </c>
      <c r="C59" s="275" t="s">
        <v>209</v>
      </c>
      <c r="D59" s="275" t="s">
        <v>210</v>
      </c>
      <c r="E59" s="275" t="s">
        <v>211</v>
      </c>
      <c r="F59" s="275" t="s">
        <v>198</v>
      </c>
      <c r="G59" s="276" t="s">
        <v>197</v>
      </c>
      <c r="H59" s="277" t="s">
        <v>212</v>
      </c>
      <c r="I59" s="275" t="s">
        <v>213</v>
      </c>
      <c r="J59" s="275" t="s">
        <v>214</v>
      </c>
      <c r="K59" s="276" t="s">
        <v>215</v>
      </c>
      <c r="L59" s="275" t="s">
        <v>216</v>
      </c>
      <c r="M59" s="275" t="s">
        <v>92</v>
      </c>
      <c r="N59" s="275" t="s">
        <v>217</v>
      </c>
      <c r="O59" s="276" t="s">
        <v>11</v>
      </c>
      <c r="P59" s="278" t="s">
        <v>218</v>
      </c>
      <c r="Q59" s="275" t="s">
        <v>219</v>
      </c>
      <c r="R59" s="277" t="s">
        <v>14</v>
      </c>
      <c r="S59" s="275" t="s">
        <v>0</v>
      </c>
      <c r="T59" s="277" t="s">
        <v>206</v>
      </c>
      <c r="U59" s="277" t="s">
        <v>220</v>
      </c>
      <c r="V59" s="279"/>
      <c r="W59" s="279"/>
      <c r="X59" s="280"/>
    </row>
    <row r="60" spans="1:24" x14ac:dyDescent="0.25">
      <c r="A60" s="291">
        <v>37</v>
      </c>
      <c r="B60" s="281">
        <v>1</v>
      </c>
      <c r="C60" s="282">
        <v>17485.917328914955</v>
      </c>
      <c r="D60" s="282">
        <v>20</v>
      </c>
      <c r="E60" s="282">
        <v>587.72851606931636</v>
      </c>
      <c r="F60" s="282">
        <v>428.38567542555575</v>
      </c>
      <c r="G60" s="283">
        <v>0.15</v>
      </c>
      <c r="H60" s="284">
        <v>1.3719611784065151</v>
      </c>
      <c r="I60" s="282">
        <v>607.72851606931636</v>
      </c>
      <c r="J60" s="282">
        <v>1684.3762618474357</v>
      </c>
      <c r="K60" s="283">
        <v>9.6327589234459429E-2</v>
      </c>
      <c r="L60" s="282">
        <v>2855.9045028370383</v>
      </c>
      <c r="M60" s="282">
        <v>16409.26958313684</v>
      </c>
      <c r="N60" s="282">
        <v>1942.9918208160716</v>
      </c>
      <c r="O60" s="283">
        <v>0.118408184530822</v>
      </c>
      <c r="P60" s="285">
        <v>1.3476028598994685</v>
      </c>
      <c r="Q60" s="282">
        <v>2618.3813344930136</v>
      </c>
      <c r="R60" s="284">
        <v>18.050702450121442</v>
      </c>
      <c r="S60" s="282">
        <v>47263.622369885292</v>
      </c>
      <c r="T60" s="284">
        <v>24.325178244977998</v>
      </c>
      <c r="U60" s="284">
        <v>2.8803001943764914</v>
      </c>
      <c r="V60" s="273"/>
      <c r="W60" s="273"/>
    </row>
    <row r="61" spans="1:24" x14ac:dyDescent="0.25">
      <c r="A61" s="291">
        <v>38</v>
      </c>
      <c r="B61" s="281">
        <v>2</v>
      </c>
      <c r="C61" s="282">
        <v>16409.26958313684</v>
      </c>
      <c r="D61" s="282">
        <v>20</v>
      </c>
      <c r="E61" s="282">
        <v>610.82689540963383</v>
      </c>
      <c r="F61" s="282">
        <v>445.37360254128782</v>
      </c>
      <c r="G61" s="283">
        <v>0.15</v>
      </c>
      <c r="H61" s="284">
        <v>1.3714932630139611</v>
      </c>
      <c r="I61" s="282">
        <v>630.82689540963383</v>
      </c>
      <c r="J61" s="282">
        <v>1669.2180023051442</v>
      </c>
      <c r="K61" s="283">
        <v>0.10172408917094845</v>
      </c>
      <c r="L61" s="282">
        <v>2969.1573502752522</v>
      </c>
      <c r="M61" s="282">
        <v>15370.878476241331</v>
      </c>
      <c r="N61" s="282">
        <v>1762.6060019973129</v>
      </c>
      <c r="O61" s="283">
        <v>0.11467178045300155</v>
      </c>
      <c r="P61" s="285">
        <v>1.3535072902797447</v>
      </c>
      <c r="Q61" s="282">
        <v>2385.7000735941974</v>
      </c>
      <c r="R61" s="284">
        <v>18.394112717350023</v>
      </c>
      <c r="S61" s="282">
        <v>43882.836063481911</v>
      </c>
      <c r="T61" s="284">
        <v>24.896565661160622</v>
      </c>
      <c r="U61" s="284">
        <v>2.8549335115303482</v>
      </c>
      <c r="V61" s="273"/>
      <c r="W61" s="273"/>
    </row>
    <row r="62" spans="1:24" x14ac:dyDescent="0.25">
      <c r="A62" s="291">
        <v>39</v>
      </c>
      <c r="B62" s="281">
        <v>3</v>
      </c>
      <c r="C62" s="282">
        <v>15370.878476241329</v>
      </c>
      <c r="D62" s="282">
        <v>60</v>
      </c>
      <c r="E62" s="282">
        <v>2074.51625937775</v>
      </c>
      <c r="F62" s="282">
        <v>1026.3197778336285</v>
      </c>
      <c r="G62" s="283">
        <v>0.32846261845106273</v>
      </c>
      <c r="H62" s="284">
        <v>2.0213156797549696</v>
      </c>
      <c r="I62" s="282">
        <v>2134.51625937775</v>
      </c>
      <c r="J62" s="282">
        <v>1647.6187218101095</v>
      </c>
      <c r="K62" s="283">
        <v>0.1071909275944653</v>
      </c>
      <c r="L62" s="282">
        <v>3124.6166844600571</v>
      </c>
      <c r="M62" s="282">
        <v>15857.776013808971</v>
      </c>
      <c r="N62" s="282">
        <v>3719.7711130023681</v>
      </c>
      <c r="O62" s="283">
        <v>0.23457079414939314</v>
      </c>
      <c r="P62" s="285">
        <v>1.5134030700451422</v>
      </c>
      <c r="Q62" s="282">
        <v>5629.5130222830194</v>
      </c>
      <c r="R62" s="284">
        <v>17.787791706137508</v>
      </c>
      <c r="S62" s="282">
        <v>100136.60504735899</v>
      </c>
      <c r="T62" s="284">
        <v>26.920098577392022</v>
      </c>
      <c r="U62" s="284">
        <v>6.3146689018787949</v>
      </c>
      <c r="V62" s="273"/>
      <c r="W62" s="273"/>
    </row>
    <row r="63" spans="1:24" x14ac:dyDescent="0.25">
      <c r="A63" s="291">
        <v>40</v>
      </c>
      <c r="B63" s="281">
        <v>4</v>
      </c>
      <c r="C63" s="282">
        <v>15857.776013808971</v>
      </c>
      <c r="D63" s="282">
        <v>40</v>
      </c>
      <c r="E63" s="282">
        <v>2001.7210455926961</v>
      </c>
      <c r="F63" s="282">
        <v>990.03149454799245</v>
      </c>
      <c r="G63" s="283">
        <v>0.32860664718486005</v>
      </c>
      <c r="H63" s="284">
        <v>2.0218761288059826</v>
      </c>
      <c r="I63" s="282">
        <v>2041.7210455926961</v>
      </c>
      <c r="J63" s="282">
        <v>1660.192771631293</v>
      </c>
      <c r="K63" s="283">
        <v>0.10469266120202449</v>
      </c>
      <c r="L63" s="282">
        <v>3012.8163962278068</v>
      </c>
      <c r="M63" s="282">
        <v>16239.304287770374</v>
      </c>
      <c r="N63" s="282">
        <v>3742.7462945712377</v>
      </c>
      <c r="O63" s="283">
        <v>0.23047454670763545</v>
      </c>
      <c r="P63" s="285">
        <v>1.5032211958654094</v>
      </c>
      <c r="Q63" s="282">
        <v>5626.1755607462055</v>
      </c>
      <c r="R63" s="284">
        <v>17.465714546970723</v>
      </c>
      <c r="S63" s="282">
        <v>98265.176335136173</v>
      </c>
      <c r="T63" s="284">
        <v>26.254832307941207</v>
      </c>
      <c r="U63" s="284">
        <v>6.0510705750577323</v>
      </c>
      <c r="V63" s="273"/>
      <c r="W63" s="273"/>
    </row>
    <row r="64" spans="1:24" x14ac:dyDescent="0.25">
      <c r="A64" s="291">
        <v>41</v>
      </c>
      <c r="B64" s="281">
        <v>5</v>
      </c>
      <c r="C64" s="282">
        <v>16239.304287770374</v>
      </c>
      <c r="D64" s="282">
        <v>40</v>
      </c>
      <c r="E64" s="282">
        <v>2078.9882747621577</v>
      </c>
      <c r="F64" s="282">
        <v>1028.4405847876906</v>
      </c>
      <c r="G64" s="283">
        <v>0.32850888146333285</v>
      </c>
      <c r="H64" s="284">
        <v>2.0214957533899156</v>
      </c>
      <c r="I64" s="282">
        <v>2118.9882747621577</v>
      </c>
      <c r="J64" s="282">
        <v>1375.3648229832979</v>
      </c>
      <c r="K64" s="283">
        <v>8.469358037825972E-2</v>
      </c>
      <c r="L64" s="282">
        <v>3130.632511993384</v>
      </c>
      <c r="M64" s="282">
        <v>16982.927739549232</v>
      </c>
      <c r="N64" s="282">
        <v>3948.5093516301986</v>
      </c>
      <c r="O64" s="283">
        <v>0.23249874298381731</v>
      </c>
      <c r="P64" s="285">
        <v>1.636535409185349</v>
      </c>
      <c r="Q64" s="282">
        <v>6461.8753674423042</v>
      </c>
      <c r="R64" s="284">
        <v>17.557107498523596</v>
      </c>
      <c r="S64" s="282">
        <v>113451.8404682462</v>
      </c>
      <c r="T64" s="284">
        <v>28.732828104207474</v>
      </c>
      <c r="U64" s="284">
        <v>6.6803464165983364</v>
      </c>
      <c r="V64" s="273"/>
      <c r="W64" s="273"/>
    </row>
    <row r="65" spans="1:24" x14ac:dyDescent="0.25">
      <c r="A65" s="291">
        <v>42</v>
      </c>
      <c r="B65" s="281">
        <v>6</v>
      </c>
      <c r="C65" s="282">
        <v>16982.927739549232</v>
      </c>
      <c r="D65" s="282">
        <v>40</v>
      </c>
      <c r="E65" s="282">
        <v>2201.8411554123531</v>
      </c>
      <c r="F65" s="282">
        <v>1068.5566325632933</v>
      </c>
      <c r="G65" s="283">
        <v>0.32842009963888213</v>
      </c>
      <c r="H65" s="284">
        <v>2.060575067631647</v>
      </c>
      <c r="I65" s="282">
        <v>2241.8411554123531</v>
      </c>
      <c r="J65" s="282">
        <v>1494.1838690385375</v>
      </c>
      <c r="K65" s="283">
        <v>8.7981524266804473E-2</v>
      </c>
      <c r="L65" s="282">
        <v>3253.6273928978044</v>
      </c>
      <c r="M65" s="282">
        <v>17730.585025923046</v>
      </c>
      <c r="N65" s="282">
        <v>4151.5693515245002</v>
      </c>
      <c r="O65" s="283">
        <v>0.23414734175181967</v>
      </c>
      <c r="P65" s="285">
        <v>1.6806628506483996</v>
      </c>
      <c r="Q65" s="282">
        <v>6977.3883809976942</v>
      </c>
      <c r="R65" s="284">
        <v>17.432483590170357</v>
      </c>
      <c r="S65" s="282">
        <v>121633.20845398761</v>
      </c>
      <c r="T65" s="284">
        <v>29.298127564537157</v>
      </c>
      <c r="U65" s="284">
        <v>6.8600786875420905</v>
      </c>
      <c r="V65" s="273"/>
      <c r="W65" s="273"/>
    </row>
    <row r="66" spans="1:24" x14ac:dyDescent="0.25">
      <c r="A66" s="291">
        <v>43</v>
      </c>
      <c r="B66" s="281">
        <v>7</v>
      </c>
      <c r="C66" s="282">
        <v>17730.585025923046</v>
      </c>
      <c r="D66" s="282">
        <v>40</v>
      </c>
      <c r="E66" s="282">
        <v>2079.9280137590727</v>
      </c>
      <c r="F66" s="282">
        <v>1028.7446507183308</v>
      </c>
      <c r="G66" s="283">
        <v>0.32859009397487726</v>
      </c>
      <c r="H66" s="284">
        <v>2.0218117414333507</v>
      </c>
      <c r="I66" s="282">
        <v>2119.9280137590727</v>
      </c>
      <c r="J66" s="282">
        <v>1853.2704058801028</v>
      </c>
      <c r="K66" s="283">
        <v>0.1045239287463174</v>
      </c>
      <c r="L66" s="282">
        <v>3130.7841276462359</v>
      </c>
      <c r="M66" s="282">
        <v>17997.242633802016</v>
      </c>
      <c r="N66" s="282">
        <v>4222.7560328632881</v>
      </c>
      <c r="O66" s="283">
        <v>0.23463350018586751</v>
      </c>
      <c r="P66" s="285">
        <v>1.5788131219779378</v>
      </c>
      <c r="Q66" s="282">
        <v>6666.9426355960586</v>
      </c>
      <c r="R66" s="284">
        <v>17.350632730187648</v>
      </c>
      <c r="S66" s="282">
        <v>115675.67310345649</v>
      </c>
      <c r="T66" s="284">
        <v>27.39340662904015</v>
      </c>
      <c r="U66" s="284">
        <v>6.4274108793864366</v>
      </c>
      <c r="V66" s="273"/>
      <c r="W66" s="273"/>
    </row>
    <row r="67" spans="1:24" x14ac:dyDescent="0.25">
      <c r="A67" s="291">
        <v>44</v>
      </c>
      <c r="B67" s="281">
        <v>8</v>
      </c>
      <c r="C67" s="282">
        <v>17997.242633802016</v>
      </c>
      <c r="D67" s="282">
        <v>40</v>
      </c>
      <c r="E67" s="282">
        <v>2166.3732581976051</v>
      </c>
      <c r="F67" s="282">
        <v>1071.6296809590795</v>
      </c>
      <c r="G67" s="283">
        <v>0.32852768288119155</v>
      </c>
      <c r="H67" s="284">
        <v>2.0215689213262178</v>
      </c>
      <c r="I67" s="282">
        <v>2206.3732581976051</v>
      </c>
      <c r="J67" s="282">
        <v>1503.6015481030518</v>
      </c>
      <c r="K67" s="283">
        <v>8.3546217534402806E-2</v>
      </c>
      <c r="L67" s="282">
        <v>3261.9159261127552</v>
      </c>
      <c r="M67" s="282">
        <v>18700.014343896568</v>
      </c>
      <c r="N67" s="282">
        <v>4420.9910227419959</v>
      </c>
      <c r="O67" s="283">
        <v>0.23641645088817526</v>
      </c>
      <c r="P67" s="285">
        <v>1.6757944779504261</v>
      </c>
      <c r="Q67" s="282">
        <v>7408.6723429794438</v>
      </c>
      <c r="R67" s="284">
        <v>17.311234685909529</v>
      </c>
      <c r="S67" s="282">
        <v>128253.26564032436</v>
      </c>
      <c r="T67" s="284">
        <v>29.010071493151067</v>
      </c>
      <c r="U67" s="284">
        <v>6.8584581424230029</v>
      </c>
      <c r="V67" s="273"/>
      <c r="W67" s="273"/>
    </row>
    <row r="68" spans="1:24" x14ac:dyDescent="0.25">
      <c r="A68" s="291">
        <v>45</v>
      </c>
      <c r="B68" s="281">
        <v>9</v>
      </c>
      <c r="C68" s="282">
        <v>18700.014343896568</v>
      </c>
      <c r="D68" s="282">
        <v>40</v>
      </c>
      <c r="E68" s="282">
        <v>2302.1969823206609</v>
      </c>
      <c r="F68" s="282">
        <v>1117.2179992950421</v>
      </c>
      <c r="G68" s="283">
        <v>0.32845937803300385</v>
      </c>
      <c r="H68" s="284">
        <v>2.0606515324433849</v>
      </c>
      <c r="I68" s="282">
        <v>2342.1969823206609</v>
      </c>
      <c r="J68" s="282">
        <v>1270.5215025749785</v>
      </c>
      <c r="K68" s="283">
        <v>6.7942274225562801E-2</v>
      </c>
      <c r="L68" s="282">
        <v>3401.3886465521564</v>
      </c>
      <c r="M68" s="282">
        <v>19771.689823642249</v>
      </c>
      <c r="N68" s="282">
        <v>4708.4056257352595</v>
      </c>
      <c r="O68" s="283">
        <v>0.23813875635986984</v>
      </c>
      <c r="P68" s="285">
        <v>1.7420000770921842</v>
      </c>
      <c r="Q68" s="282">
        <v>8202.0429630120962</v>
      </c>
      <c r="R68" s="284">
        <v>17.263278582389567</v>
      </c>
      <c r="S68" s="282">
        <v>141594.15261520579</v>
      </c>
      <c r="T68" s="284">
        <v>30.072632621386482</v>
      </c>
      <c r="U68" s="284">
        <v>7.1614593329242293</v>
      </c>
      <c r="V68" s="273"/>
      <c r="W68" s="273"/>
    </row>
    <row r="69" spans="1:24" x14ac:dyDescent="0.25">
      <c r="A69" s="291">
        <v>46</v>
      </c>
      <c r="B69" s="281">
        <v>10</v>
      </c>
      <c r="C69" s="282">
        <v>19771.689823642246</v>
      </c>
      <c r="D69" s="282">
        <v>40</v>
      </c>
      <c r="E69" s="282">
        <v>2187.9758598054932</v>
      </c>
      <c r="F69" s="282">
        <v>1082.1096771774469</v>
      </c>
      <c r="G69" s="283">
        <v>0.32862663816332072</v>
      </c>
      <c r="H69" s="284">
        <v>2.0219538794926644</v>
      </c>
      <c r="I69" s="282">
        <v>2227.9758598054932</v>
      </c>
      <c r="J69" s="282">
        <v>1741.806680747115</v>
      </c>
      <c r="K69" s="283">
        <v>8.809599464100068E-2</v>
      </c>
      <c r="L69" s="282">
        <v>3292.8239878097179</v>
      </c>
      <c r="M69" s="282">
        <v>20257.859002700628</v>
      </c>
      <c r="N69" s="282">
        <v>4828.4846871865229</v>
      </c>
      <c r="O69" s="283">
        <v>0.23835118442392283</v>
      </c>
      <c r="P69" s="285">
        <v>1.6208803750127943</v>
      </c>
      <c r="Q69" s="282">
        <v>7826.3960705104255</v>
      </c>
      <c r="R69" s="284">
        <v>17.271022707686768</v>
      </c>
      <c r="S69" s="282">
        <v>135169.86425313604</v>
      </c>
      <c r="T69" s="284">
        <v>27.99426176328981</v>
      </c>
      <c r="U69" s="284">
        <v>6.6724654483534609</v>
      </c>
      <c r="V69" s="273"/>
      <c r="W69" s="273"/>
    </row>
    <row r="70" spans="1:24" x14ac:dyDescent="0.25">
      <c r="A70" s="291">
        <v>47</v>
      </c>
      <c r="B70" s="281">
        <v>11</v>
      </c>
      <c r="C70" s="282">
        <v>20257.859002700628</v>
      </c>
      <c r="D70" s="282">
        <v>40</v>
      </c>
      <c r="E70" s="282">
        <v>2285.3663096643254</v>
      </c>
      <c r="F70" s="282">
        <v>1130.4443514806148</v>
      </c>
      <c r="G70" s="283">
        <v>0.32854931224244149</v>
      </c>
      <c r="H70" s="284">
        <v>2.0216530841797171</v>
      </c>
      <c r="I70" s="282">
        <v>2325.3663096643254</v>
      </c>
      <c r="J70" s="282">
        <v>1722.9302738756087</v>
      </c>
      <c r="K70" s="283">
        <v>8.5049968688493696E-2</v>
      </c>
      <c r="L70" s="282">
        <v>3440.7144052897693</v>
      </c>
      <c r="M70" s="282">
        <v>20860.295038489345</v>
      </c>
      <c r="N70" s="282">
        <v>5016.4059839766633</v>
      </c>
      <c r="O70" s="283">
        <v>0.24047627201441252</v>
      </c>
      <c r="P70" s="285">
        <v>1.6926407763576139</v>
      </c>
      <c r="Q70" s="282">
        <v>8490.9733192432395</v>
      </c>
      <c r="R70" s="284">
        <v>17.290875933577336</v>
      </c>
      <c r="S70" s="282">
        <v>146816.36621835019</v>
      </c>
      <c r="T70" s="284">
        <v>29.267241664113524</v>
      </c>
      <c r="U70" s="284">
        <v>7.0380771675309104</v>
      </c>
      <c r="V70" s="273"/>
      <c r="W70" s="273"/>
    </row>
    <row r="71" spans="1:24" x14ac:dyDescent="0.25">
      <c r="A71" s="291">
        <v>48</v>
      </c>
      <c r="B71" s="281">
        <v>12</v>
      </c>
      <c r="C71" s="282">
        <v>20860.295038489341</v>
      </c>
      <c r="D71" s="282">
        <v>40</v>
      </c>
      <c r="E71" s="282">
        <v>2431.875087600758</v>
      </c>
      <c r="F71" s="282">
        <v>1180.1371939851383</v>
      </c>
      <c r="G71" s="283">
        <v>0.32846963905501797</v>
      </c>
      <c r="H71" s="284">
        <v>2.06067150497028</v>
      </c>
      <c r="I71" s="282">
        <v>2471.875087600758</v>
      </c>
      <c r="J71" s="282">
        <v>1765.584376594401</v>
      </c>
      <c r="K71" s="283">
        <v>8.463851414070224E-2</v>
      </c>
      <c r="L71" s="282">
        <v>3592.8349340910254</v>
      </c>
      <c r="M71" s="282">
        <v>21566.585749495702</v>
      </c>
      <c r="N71" s="282">
        <v>5242.4974603369392</v>
      </c>
      <c r="O71" s="283">
        <v>0.24308425641548412</v>
      </c>
      <c r="P71" s="285">
        <v>1.7589758740366537</v>
      </c>
      <c r="Q71" s="282">
        <v>9221.4265524311049</v>
      </c>
      <c r="R71" s="284">
        <v>17.190307468358551</v>
      </c>
      <c r="S71" s="282">
        <v>158519.15773317625</v>
      </c>
      <c r="T71" s="284">
        <v>30.237336104114796</v>
      </c>
      <c r="U71" s="284">
        <v>7.3502203628538165</v>
      </c>
      <c r="V71" s="273"/>
      <c r="W71" s="273"/>
    </row>
    <row r="72" spans="1:24" s="1" customFormat="1" ht="30" x14ac:dyDescent="0.25">
      <c r="B72" s="292" t="s">
        <v>221</v>
      </c>
      <c r="C72" s="293">
        <v>20860.295038489341</v>
      </c>
      <c r="D72" s="293">
        <v>460</v>
      </c>
      <c r="E72" s="293">
        <v>23009.337657971824</v>
      </c>
      <c r="F72" s="293">
        <v>11597.391321315099</v>
      </c>
      <c r="G72" s="294">
        <v>0.30148766316149822</v>
      </c>
      <c r="H72" s="295">
        <v>1.9840097674105779</v>
      </c>
      <c r="I72" s="293">
        <v>23469.337657971824</v>
      </c>
      <c r="J72" s="293">
        <v>19388.669237391077</v>
      </c>
      <c r="K72" s="294">
        <v>9.0743836489185367E-2</v>
      </c>
      <c r="L72" s="293">
        <v>3592.8349340910254</v>
      </c>
      <c r="M72" s="293">
        <v>21566.585749495702</v>
      </c>
      <c r="N72" s="293">
        <v>47707.734746382368</v>
      </c>
      <c r="O72" s="294">
        <v>0.21909968143050945</v>
      </c>
      <c r="P72" s="296">
        <v>1.6247991659089773</v>
      </c>
      <c r="Q72" s="293">
        <v>77515.487623328809</v>
      </c>
      <c r="R72" s="295">
        <v>17.424411684862505</v>
      </c>
      <c r="S72" s="293">
        <v>1350661.7683017454</v>
      </c>
      <c r="T72" s="295">
        <v>28.311169572019239</v>
      </c>
      <c r="U72" s="295">
        <v>6.2029682341545476</v>
      </c>
      <c r="V72" s="297"/>
      <c r="W72" s="297"/>
      <c r="X72" s="298"/>
    </row>
    <row r="74" spans="1:24" ht="38.25" x14ac:dyDescent="0.25">
      <c r="B74" s="274">
        <v>2020</v>
      </c>
      <c r="C74" s="275" t="s">
        <v>209</v>
      </c>
      <c r="D74" s="275" t="s">
        <v>210</v>
      </c>
      <c r="E74" s="275" t="s">
        <v>211</v>
      </c>
      <c r="F74" s="275" t="s">
        <v>198</v>
      </c>
      <c r="G74" s="276" t="s">
        <v>197</v>
      </c>
      <c r="H74" s="277" t="s">
        <v>212</v>
      </c>
      <c r="I74" s="275" t="s">
        <v>213</v>
      </c>
      <c r="J74" s="275" t="s">
        <v>214</v>
      </c>
      <c r="K74" s="276" t="s">
        <v>215</v>
      </c>
      <c r="L74" s="275" t="s">
        <v>216</v>
      </c>
      <c r="M74" s="275" t="s">
        <v>92</v>
      </c>
      <c r="N74" s="275" t="s">
        <v>217</v>
      </c>
      <c r="O74" s="276" t="s">
        <v>11</v>
      </c>
      <c r="P74" s="278" t="s">
        <v>218</v>
      </c>
      <c r="Q74" s="275" t="s">
        <v>219</v>
      </c>
      <c r="R74" s="277" t="s">
        <v>14</v>
      </c>
      <c r="S74" s="275" t="s">
        <v>0</v>
      </c>
      <c r="T74" s="277" t="s">
        <v>206</v>
      </c>
      <c r="U74" s="277" t="s">
        <v>220</v>
      </c>
      <c r="V74" s="279"/>
      <c r="W74" s="279"/>
      <c r="X74" s="280"/>
    </row>
    <row r="75" spans="1:24" x14ac:dyDescent="0.25">
      <c r="A75" s="291">
        <v>49</v>
      </c>
      <c r="B75" s="281">
        <v>1</v>
      </c>
      <c r="C75" s="282">
        <v>21566.585749495702</v>
      </c>
      <c r="D75" s="282">
        <v>20</v>
      </c>
      <c r="E75" s="282">
        <v>701.46034919526846</v>
      </c>
      <c r="F75" s="282">
        <v>511.26976679751078</v>
      </c>
      <c r="G75" s="283">
        <v>0.14999999999999997</v>
      </c>
      <c r="H75" s="284">
        <v>1.3719965363668432</v>
      </c>
      <c r="I75" s="282">
        <v>721.46034919526846</v>
      </c>
      <c r="J75" s="282">
        <v>1892.879153787715</v>
      </c>
      <c r="K75" s="283">
        <v>8.7769069048492146E-2</v>
      </c>
      <c r="L75" s="282">
        <v>3408.4651119834061</v>
      </c>
      <c r="M75" s="282">
        <v>20395.166944903256</v>
      </c>
      <c r="N75" s="282">
        <v>2402.6097029296425</v>
      </c>
      <c r="O75" s="283">
        <v>0.11780289464755049</v>
      </c>
      <c r="P75" s="285">
        <v>1.3747386915657356</v>
      </c>
      <c r="Q75" s="282">
        <v>3302.9605193486373</v>
      </c>
      <c r="R75" s="284">
        <v>19.045343405695906</v>
      </c>
      <c r="S75" s="282">
        <v>62906.017346450491</v>
      </c>
      <c r="T75" s="284">
        <v>26.182370473966497</v>
      </c>
      <c r="U75" s="284">
        <v>3.0843590305678119</v>
      </c>
      <c r="V75" s="273"/>
      <c r="W75" s="273"/>
    </row>
    <row r="76" spans="1:24" x14ac:dyDescent="0.25">
      <c r="A76" s="291">
        <v>50</v>
      </c>
      <c r="B76" s="281">
        <v>2</v>
      </c>
      <c r="C76" s="282">
        <v>20395.166944903256</v>
      </c>
      <c r="D76" s="282">
        <v>20</v>
      </c>
      <c r="E76" s="282">
        <v>729.7710166054959</v>
      </c>
      <c r="F76" s="282">
        <v>532.0459391746424</v>
      </c>
      <c r="G76" s="283">
        <v>0.14999999999999997</v>
      </c>
      <c r="H76" s="284">
        <v>1.3716315883128107</v>
      </c>
      <c r="I76" s="282">
        <v>749.7710166054959</v>
      </c>
      <c r="J76" s="282">
        <v>2066.1785657494293</v>
      </c>
      <c r="K76" s="283">
        <v>0.10130726418328076</v>
      </c>
      <c r="L76" s="282">
        <v>3546.9729278309501</v>
      </c>
      <c r="M76" s="282">
        <v>19078.759395759324</v>
      </c>
      <c r="N76" s="282">
        <v>2179.050114812344</v>
      </c>
      <c r="O76" s="283">
        <v>0.11421340715144644</v>
      </c>
      <c r="P76" s="285">
        <v>1.3860775977177933</v>
      </c>
      <c r="Q76" s="282">
        <v>3020.3325484457755</v>
      </c>
      <c r="R76" s="284">
        <v>19.403891764112331</v>
      </c>
      <c r="S76" s="282">
        <v>58606.205861667389</v>
      </c>
      <c r="T76" s="284">
        <v>26.895299682776894</v>
      </c>
      <c r="U76" s="284">
        <v>3.0718038131291658</v>
      </c>
      <c r="V76" s="273"/>
      <c r="W76" s="273"/>
    </row>
    <row r="77" spans="1:24" x14ac:dyDescent="0.25">
      <c r="A77" s="291">
        <v>51</v>
      </c>
      <c r="B77" s="281">
        <v>3</v>
      </c>
      <c r="C77" s="282">
        <v>19078.759395759324</v>
      </c>
      <c r="D77" s="282">
        <v>20</v>
      </c>
      <c r="E77" s="282">
        <v>2449.154258912698</v>
      </c>
      <c r="F77" s="282">
        <v>1211.4572742055338</v>
      </c>
      <c r="G77" s="283">
        <v>0.32855099336494609</v>
      </c>
      <c r="H77" s="284">
        <v>2.0216596251971315</v>
      </c>
      <c r="I77" s="282">
        <v>2469.154258912698</v>
      </c>
      <c r="J77" s="282">
        <v>2066.6004346909649</v>
      </c>
      <c r="K77" s="283">
        <v>0.10831943481347706</v>
      </c>
      <c r="L77" s="282">
        <v>3687.2732046799138</v>
      </c>
      <c r="M77" s="282">
        <v>19481.313219981057</v>
      </c>
      <c r="N77" s="282">
        <v>4542.0799769881269</v>
      </c>
      <c r="O77" s="283">
        <v>0.23315060569579732</v>
      </c>
      <c r="P77" s="285">
        <v>1.5431452958571514</v>
      </c>
      <c r="Q77" s="282">
        <v>7009.0893498961868</v>
      </c>
      <c r="R77" s="284">
        <v>18.809500664270935</v>
      </c>
      <c r="S77" s="282">
        <v>131837.47078280666</v>
      </c>
      <c r="T77" s="284">
        <v>29.025792467491659</v>
      </c>
      <c r="U77" s="284">
        <v>6.7673810945961916</v>
      </c>
      <c r="V77" s="273"/>
      <c r="W77" s="273"/>
    </row>
    <row r="78" spans="1:24" x14ac:dyDescent="0.25">
      <c r="A78" s="291">
        <v>52</v>
      </c>
      <c r="B78" s="281">
        <v>4</v>
      </c>
      <c r="C78" s="282">
        <v>19481.313219981057</v>
      </c>
      <c r="D78" s="282">
        <v>20</v>
      </c>
      <c r="E78" s="282">
        <v>2319.0760685196083</v>
      </c>
      <c r="F78" s="282">
        <v>1146.6772156878694</v>
      </c>
      <c r="G78" s="283">
        <v>0.32874948377068341</v>
      </c>
      <c r="H78" s="284">
        <v>2.0224314539366159</v>
      </c>
      <c r="I78" s="282">
        <v>2339.0760685196083</v>
      </c>
      <c r="J78" s="282">
        <v>1878.503449972508</v>
      </c>
      <c r="K78" s="283">
        <v>9.642591486316314E-2</v>
      </c>
      <c r="L78" s="282">
        <v>3487.9970077389535</v>
      </c>
      <c r="M78" s="282">
        <v>19941.885838528156</v>
      </c>
      <c r="N78" s="282">
        <v>4594.7029025408183</v>
      </c>
      <c r="O78" s="283">
        <v>0.2304046337314675</v>
      </c>
      <c r="P78" s="285">
        <v>1.5357252213874319</v>
      </c>
      <c r="Q78" s="282">
        <v>7056.2011322139742</v>
      </c>
      <c r="R78" s="284">
        <v>18.554887864715923</v>
      </c>
      <c r="S78" s="282">
        <v>130927.02075911182</v>
      </c>
      <c r="T78" s="284">
        <v>28.495209273859835</v>
      </c>
      <c r="U78" s="284">
        <v>6.5654282558451911</v>
      </c>
      <c r="V78" s="273"/>
      <c r="W78" s="273"/>
    </row>
    <row r="79" spans="1:24" x14ac:dyDescent="0.25">
      <c r="A79" s="291">
        <v>53</v>
      </c>
      <c r="B79" s="281">
        <v>5</v>
      </c>
      <c r="C79" s="282">
        <v>19941.885838528156</v>
      </c>
      <c r="D79" s="282">
        <v>20</v>
      </c>
      <c r="E79" s="282">
        <v>2398.4563570928717</v>
      </c>
      <c r="F79" s="282">
        <v>1186.0911504369433</v>
      </c>
      <c r="G79" s="283">
        <v>0.32867753824734225</v>
      </c>
      <c r="H79" s="284">
        <v>2.0221518019161562</v>
      </c>
      <c r="I79" s="282">
        <v>2418.4563570928717</v>
      </c>
      <c r="J79" s="282">
        <v>1701.0933356641981</v>
      </c>
      <c r="K79" s="283">
        <v>8.5302531036340043E-2</v>
      </c>
      <c r="L79" s="282">
        <v>3608.6772365453371</v>
      </c>
      <c r="M79" s="282">
        <v>20659.248859956831</v>
      </c>
      <c r="N79" s="282">
        <v>4802.3320409755197</v>
      </c>
      <c r="O79" s="283">
        <v>0.23245433914510455</v>
      </c>
      <c r="P79" s="285">
        <v>1.6715816182448362</v>
      </c>
      <c r="Q79" s="282">
        <v>8027.4899644028865</v>
      </c>
      <c r="R79" s="284">
        <v>18.668062334238318</v>
      </c>
      <c r="S79" s="282">
        <v>149857.68304294563</v>
      </c>
      <c r="T79" s="284">
        <v>31.205189846161566</v>
      </c>
      <c r="U79" s="284">
        <v>7.2537817835870131</v>
      </c>
      <c r="V79" s="273"/>
      <c r="W79" s="273"/>
    </row>
    <row r="80" spans="1:24" x14ac:dyDescent="0.25">
      <c r="A80" s="291">
        <v>54</v>
      </c>
      <c r="B80" s="281">
        <v>6</v>
      </c>
      <c r="C80" s="282">
        <v>20659.248859956831</v>
      </c>
      <c r="D80" s="282">
        <v>20</v>
      </c>
      <c r="E80" s="282">
        <v>2480.9077736110462</v>
      </c>
      <c r="F80" s="282">
        <v>1227.0054580850856</v>
      </c>
      <c r="G80" s="283">
        <v>0.32861811502394961</v>
      </c>
      <c r="H80" s="284">
        <v>2.0219207316998014</v>
      </c>
      <c r="I80" s="282">
        <v>2500.9077736110462</v>
      </c>
      <c r="J80" s="282">
        <v>1894.3266391549187</v>
      </c>
      <c r="K80" s="283">
        <v>9.1693877739506394E-2</v>
      </c>
      <c r="L80" s="282">
        <v>3733.8339001660383</v>
      </c>
      <c r="M80" s="282">
        <v>21265.829994412958</v>
      </c>
      <c r="N80" s="282">
        <v>4979.0981848647853</v>
      </c>
      <c r="O80" s="283">
        <v>0.23413608526791163</v>
      </c>
      <c r="P80" s="285">
        <v>1.7169507705464875</v>
      </c>
      <c r="Q80" s="282">
        <v>8548.8664651302097</v>
      </c>
      <c r="R80" s="284">
        <v>18.563656074638924</v>
      </c>
      <c r="S80" s="282">
        <v>158698.2168866914</v>
      </c>
      <c r="T80" s="284">
        <v>31.87288360151128</v>
      </c>
      <c r="U80" s="284">
        <v>7.4625921926576684</v>
      </c>
      <c r="V80" s="273"/>
      <c r="W80" s="273"/>
    </row>
    <row r="81" spans="1:24" x14ac:dyDescent="0.25">
      <c r="A81" s="291">
        <v>55</v>
      </c>
      <c r="B81" s="281">
        <v>7</v>
      </c>
      <c r="C81" s="282">
        <v>21265.829994412954</v>
      </c>
      <c r="D81" s="282">
        <v>20</v>
      </c>
      <c r="E81" s="282">
        <v>2346.8146123139704</v>
      </c>
      <c r="F81" s="282">
        <v>1160.1851963656572</v>
      </c>
      <c r="G81" s="283">
        <v>0.32884257098481273</v>
      </c>
      <c r="H81" s="284">
        <v>2.0227931020543046</v>
      </c>
      <c r="I81" s="282">
        <v>2366.8146123139704</v>
      </c>
      <c r="J81" s="282">
        <v>2244.1183432999096</v>
      </c>
      <c r="K81" s="283">
        <v>0.10552695774815719</v>
      </c>
      <c r="L81" s="282">
        <v>3528.0869897445218</v>
      </c>
      <c r="M81" s="282">
        <v>21388.526263427018</v>
      </c>
      <c r="N81" s="282">
        <v>5073.2347222837334</v>
      </c>
      <c r="O81" s="283">
        <v>0.23719421617929015</v>
      </c>
      <c r="P81" s="285">
        <v>1.6134647682991619</v>
      </c>
      <c r="Q81" s="282">
        <v>8185.4854857167866</v>
      </c>
      <c r="R81" s="284">
        <v>18.499489100661947</v>
      </c>
      <c r="S81" s="282">
        <v>151427.29952664426</v>
      </c>
      <c r="T81" s="284">
        <v>29.848273895452397</v>
      </c>
      <c r="U81" s="284">
        <v>7.0798379309365993</v>
      </c>
      <c r="V81" s="273"/>
      <c r="W81" s="273"/>
    </row>
    <row r="82" spans="1:24" x14ac:dyDescent="0.25">
      <c r="A82" s="291">
        <v>56</v>
      </c>
      <c r="B82" s="281">
        <v>8</v>
      </c>
      <c r="C82" s="282">
        <v>21388.526263427018</v>
      </c>
      <c r="D82" s="282">
        <v>20</v>
      </c>
      <c r="E82" s="282">
        <v>2434.7773260979366</v>
      </c>
      <c r="F82" s="282">
        <v>1203.7269999225082</v>
      </c>
      <c r="G82" s="283">
        <v>0.3288183287111896</v>
      </c>
      <c r="H82" s="284">
        <v>2.0226989394228752</v>
      </c>
      <c r="I82" s="282">
        <v>2454.7773260979366</v>
      </c>
      <c r="J82" s="282">
        <v>1849.848477952095</v>
      </c>
      <c r="K82" s="283">
        <v>8.6487888654358344E-2</v>
      </c>
      <c r="L82" s="282">
        <v>3660.7661277293805</v>
      </c>
      <c r="M82" s="282">
        <v>21993.455111572861</v>
      </c>
      <c r="N82" s="282">
        <v>5261.5649028736952</v>
      </c>
      <c r="O82" s="283">
        <v>0.23923321170692652</v>
      </c>
      <c r="P82" s="285">
        <v>1.712417472499701</v>
      </c>
      <c r="Q82" s="282">
        <v>9009.9956723721079</v>
      </c>
      <c r="R82" s="284">
        <v>18.468463258565379</v>
      </c>
      <c r="S82" s="282">
        <v>166400.77403503735</v>
      </c>
      <c r="T82" s="284">
        <v>31.62571917418612</v>
      </c>
      <c r="U82" s="284">
        <v>7.5659223705818732</v>
      </c>
      <c r="V82" s="273"/>
      <c r="W82" s="273"/>
    </row>
    <row r="83" spans="1:24" x14ac:dyDescent="0.25">
      <c r="A83" s="291">
        <v>57</v>
      </c>
      <c r="B83" s="281">
        <v>9</v>
      </c>
      <c r="C83" s="282">
        <v>21993.455111572857</v>
      </c>
      <c r="D83" s="282">
        <v>20</v>
      </c>
      <c r="E83" s="282">
        <v>2527.7881654498087</v>
      </c>
      <c r="F83" s="282">
        <v>1249.7682486202871</v>
      </c>
      <c r="G83" s="283">
        <v>0.32879428276527545</v>
      </c>
      <c r="H83" s="284">
        <v>2.0226055256567959</v>
      </c>
      <c r="I83" s="282">
        <v>2547.7881654498087</v>
      </c>
      <c r="J83" s="282">
        <v>1599.608882999928</v>
      </c>
      <c r="K83" s="283">
        <v>7.2731131824677289E-2</v>
      </c>
      <c r="L83" s="282">
        <v>3801.0644166598545</v>
      </c>
      <c r="M83" s="282">
        <v>22941.634394022742</v>
      </c>
      <c r="N83" s="282">
        <v>5571.6725026571075</v>
      </c>
      <c r="O83" s="283">
        <v>0.24286292802699191</v>
      </c>
      <c r="P83" s="285">
        <v>1.7811314090895567</v>
      </c>
      <c r="Q83" s="282">
        <v>9923.8808956431913</v>
      </c>
      <c r="R83" s="284">
        <v>18.454173784472562</v>
      </c>
      <c r="S83" s="282">
        <v>183137.02266460669</v>
      </c>
      <c r="T83" s="284">
        <v>32.86930855632118</v>
      </c>
      <c r="U83" s="284">
        <v>7.9827365182108201</v>
      </c>
      <c r="V83" s="273"/>
      <c r="W83" s="273"/>
    </row>
    <row r="84" spans="1:24" x14ac:dyDescent="0.25">
      <c r="A84" s="291">
        <v>58</v>
      </c>
      <c r="B84" s="281">
        <v>10</v>
      </c>
      <c r="C84" s="282">
        <v>22941.634394022745</v>
      </c>
      <c r="D84" s="282">
        <v>20</v>
      </c>
      <c r="E84" s="282">
        <v>2401.0152538941174</v>
      </c>
      <c r="F84" s="282">
        <v>1186.5612601906362</v>
      </c>
      <c r="G84" s="283">
        <v>0.3290265328423812</v>
      </c>
      <c r="H84" s="284">
        <v>2.0235072005539467</v>
      </c>
      <c r="I84" s="282">
        <v>2421.0152538941174</v>
      </c>
      <c r="J84" s="282">
        <v>2106.6633356901148</v>
      </c>
      <c r="K84" s="283">
        <v>9.1827081693839074E-2</v>
      </c>
      <c r="L84" s="282">
        <v>3606.2783446071003</v>
      </c>
      <c r="M84" s="282">
        <v>23255.986312226745</v>
      </c>
      <c r="N84" s="282">
        <v>5658.7968941155341</v>
      </c>
      <c r="O84" s="283">
        <v>0.24332646305095404</v>
      </c>
      <c r="P84" s="285">
        <v>1.6575417601701272</v>
      </c>
      <c r="Q84" s="282">
        <v>9379.6921643175119</v>
      </c>
      <c r="R84" s="284">
        <v>18.475138767596505</v>
      </c>
      <c r="S84" s="282">
        <v>173291.11433310361</v>
      </c>
      <c r="T84" s="284">
        <v>30.623314032229263</v>
      </c>
      <c r="U84" s="284">
        <v>7.4514626903609962</v>
      </c>
      <c r="V84" s="273"/>
      <c r="W84" s="273"/>
    </row>
    <row r="85" spans="1:24" x14ac:dyDescent="0.25">
      <c r="A85" s="291">
        <v>59</v>
      </c>
      <c r="B85" s="281">
        <v>11</v>
      </c>
      <c r="C85" s="282">
        <v>23255.986312226749</v>
      </c>
      <c r="D85" s="282">
        <v>20</v>
      </c>
      <c r="E85" s="282">
        <v>2498.6261532107687</v>
      </c>
      <c r="F85" s="282">
        <v>1234.8892465656991</v>
      </c>
      <c r="G85" s="283">
        <v>0.32898873013750607</v>
      </c>
      <c r="H85" s="284">
        <v>2.0233605241600392</v>
      </c>
      <c r="I85" s="282">
        <v>2518.6261532107687</v>
      </c>
      <c r="J85" s="282">
        <v>2076.9949753445253</v>
      </c>
      <c r="K85" s="283">
        <v>8.9310122024476468E-2</v>
      </c>
      <c r="L85" s="282">
        <v>3753.5913344191376</v>
      </c>
      <c r="M85" s="282">
        <v>23697.617490092987</v>
      </c>
      <c r="N85" s="282">
        <v>5821.6362749095852</v>
      </c>
      <c r="O85" s="283">
        <v>0.2456633573963026</v>
      </c>
      <c r="P85" s="285">
        <v>1.7305494442418381</v>
      </c>
      <c r="Q85" s="282">
        <v>10074.629420122907</v>
      </c>
      <c r="R85" s="284">
        <v>18.49857652760997</v>
      </c>
      <c r="S85" s="282">
        <v>186366.30331545442</v>
      </c>
      <c r="T85" s="284">
        <v>32.012701329120539</v>
      </c>
      <c r="U85" s="284">
        <v>7.8643476878368306</v>
      </c>
      <c r="V85" s="273"/>
      <c r="W85" s="273"/>
    </row>
    <row r="86" spans="1:24" x14ac:dyDescent="0.25">
      <c r="A86" s="291">
        <v>60</v>
      </c>
      <c r="B86" s="281">
        <v>12</v>
      </c>
      <c r="C86" s="282">
        <v>23697.617490092987</v>
      </c>
      <c r="D86" s="282">
        <v>20</v>
      </c>
      <c r="E86" s="282">
        <v>2598.8666756078319</v>
      </c>
      <c r="F86" s="282">
        <v>1284.5449954888404</v>
      </c>
      <c r="G86" s="283">
        <v>0.32894240266459274</v>
      </c>
      <c r="H86" s="284">
        <v>2.0231807252643721</v>
      </c>
      <c r="I86" s="282">
        <v>2618.8666756078319</v>
      </c>
      <c r="J86" s="282">
        <v>1976.995261429598</v>
      </c>
      <c r="K86" s="283">
        <v>8.3425908206008453E-2</v>
      </c>
      <c r="L86" s="282">
        <v>3905.0757369174785</v>
      </c>
      <c r="M86" s="282">
        <v>24339.48890427122</v>
      </c>
      <c r="N86" s="282">
        <v>6038.1130949277394</v>
      </c>
      <c r="O86" s="283">
        <v>0.24807887785466767</v>
      </c>
      <c r="P86" s="285">
        <v>1.7981117302530287</v>
      </c>
      <c r="Q86" s="282">
        <v>10857.201984583988</v>
      </c>
      <c r="R86" s="284">
        <v>18.410779975873982</v>
      </c>
      <c r="S86" s="282">
        <v>199889.55689179816</v>
      </c>
      <c r="T86" s="284">
        <v>33.104639437726583</v>
      </c>
      <c r="U86" s="284">
        <v>8.2125618034945873</v>
      </c>
      <c r="V86" s="273"/>
      <c r="W86" s="273"/>
    </row>
    <row r="87" spans="1:24" s="1" customFormat="1" ht="30" x14ac:dyDescent="0.25">
      <c r="B87" s="292" t="s">
        <v>221</v>
      </c>
      <c r="C87" s="293">
        <v>23697.617490092987</v>
      </c>
      <c r="D87" s="293">
        <v>240</v>
      </c>
      <c r="E87" s="293">
        <v>25886.714010511419</v>
      </c>
      <c r="F87" s="293">
        <v>13134.222751541214</v>
      </c>
      <c r="G87" s="294">
        <v>0.30036127927385681</v>
      </c>
      <c r="H87" s="295">
        <v>1.9709361185818006</v>
      </c>
      <c r="I87" s="293">
        <v>26126.714010511419</v>
      </c>
      <c r="J87" s="293">
        <v>23353.810855735905</v>
      </c>
      <c r="K87" s="294">
        <v>9.1344996914584753E-2</v>
      </c>
      <c r="L87" s="293">
        <v>3905.0757369174785</v>
      </c>
      <c r="M87" s="293">
        <v>24339.48890427122</v>
      </c>
      <c r="N87" s="293">
        <v>56924.891314878638</v>
      </c>
      <c r="O87" s="294">
        <v>0.22026439715963406</v>
      </c>
      <c r="P87" s="296">
        <v>1.6582521884854549</v>
      </c>
      <c r="Q87" s="293">
        <v>94395.825602194163</v>
      </c>
      <c r="R87" s="295">
        <v>18.574387948417524</v>
      </c>
      <c r="S87" s="293">
        <v>1753344.6854463178</v>
      </c>
      <c r="T87" s="295">
        <v>30.801019465241218</v>
      </c>
      <c r="U87" s="295">
        <v>6.7843679844135112</v>
      </c>
      <c r="V87" s="297"/>
      <c r="W87" s="297"/>
      <c r="X87" s="298"/>
    </row>
    <row r="89" spans="1:24" ht="38.25" x14ac:dyDescent="0.25">
      <c r="B89" s="274">
        <v>2021</v>
      </c>
      <c r="C89" s="275" t="s">
        <v>209</v>
      </c>
      <c r="D89" s="275" t="s">
        <v>210</v>
      </c>
      <c r="E89" s="275" t="s">
        <v>211</v>
      </c>
      <c r="F89" s="275" t="s">
        <v>198</v>
      </c>
      <c r="G89" s="276" t="s">
        <v>197</v>
      </c>
      <c r="H89" s="277" t="s">
        <v>212</v>
      </c>
      <c r="I89" s="275" t="s">
        <v>213</v>
      </c>
      <c r="J89" s="275" t="s">
        <v>214</v>
      </c>
      <c r="K89" s="276" t="s">
        <v>215</v>
      </c>
      <c r="L89" s="275" t="s">
        <v>216</v>
      </c>
      <c r="M89" s="275" t="s">
        <v>92</v>
      </c>
      <c r="N89" s="275" t="s">
        <v>217</v>
      </c>
      <c r="O89" s="276" t="s">
        <v>11</v>
      </c>
      <c r="P89" s="278" t="s">
        <v>218</v>
      </c>
      <c r="Q89" s="275" t="s">
        <v>219</v>
      </c>
      <c r="R89" s="277" t="s">
        <v>14</v>
      </c>
      <c r="S89" s="275" t="s">
        <v>0</v>
      </c>
      <c r="T89" s="277" t="s">
        <v>206</v>
      </c>
      <c r="U89" s="277" t="s">
        <v>220</v>
      </c>
      <c r="V89" s="279"/>
      <c r="W89" s="279"/>
      <c r="X89" s="280"/>
    </row>
    <row r="90" spans="1:24" x14ac:dyDescent="0.25">
      <c r="A90" s="291">
        <v>61</v>
      </c>
      <c r="B90" s="281">
        <v>1</v>
      </c>
      <c r="C90" s="282">
        <v>24339.488904271224</v>
      </c>
      <c r="D90" s="282">
        <v>20</v>
      </c>
      <c r="E90" s="282">
        <v>779.31117439055322</v>
      </c>
      <c r="F90" s="282">
        <v>566.87071169309706</v>
      </c>
      <c r="G90" s="283">
        <v>0.14999999999999997</v>
      </c>
      <c r="H90" s="284">
        <v>1.3747599907974626</v>
      </c>
      <c r="I90" s="282">
        <v>799.31117439055322</v>
      </c>
      <c r="J90" s="282">
        <v>2132.1179820082107</v>
      </c>
      <c r="K90" s="283">
        <v>8.7599127097284901E-2</v>
      </c>
      <c r="L90" s="282">
        <v>3779.1380779539813</v>
      </c>
      <c r="M90" s="282">
        <v>23006.682096653563</v>
      </c>
      <c r="N90" s="282">
        <v>2753.5105805336248</v>
      </c>
      <c r="O90" s="283">
        <v>0.11968308028797149</v>
      </c>
      <c r="P90" s="285">
        <v>1.4279392553760026</v>
      </c>
      <c r="Q90" s="282">
        <v>3931.8458480371291</v>
      </c>
      <c r="R90" s="284">
        <v>20.70315095903991</v>
      </c>
      <c r="S90" s="282">
        <v>81401.598139586975</v>
      </c>
      <c r="T90" s="284">
        <v>29.562841964388426</v>
      </c>
      <c r="U90" s="284">
        <v>3.5381719883645126</v>
      </c>
      <c r="V90" s="273"/>
      <c r="W90" s="273"/>
    </row>
    <row r="91" spans="1:24" x14ac:dyDescent="0.25">
      <c r="A91" s="291">
        <v>62</v>
      </c>
      <c r="B91" s="281">
        <v>2</v>
      </c>
      <c r="C91" s="282">
        <v>23006.682096653563</v>
      </c>
      <c r="D91" s="282">
        <v>20</v>
      </c>
      <c r="E91" s="282">
        <v>811.19704302599939</v>
      </c>
      <c r="F91" s="282">
        <v>590.20764090192517</v>
      </c>
      <c r="G91" s="283">
        <v>0.15</v>
      </c>
      <c r="H91" s="284">
        <v>1.374426535356895</v>
      </c>
      <c r="I91" s="282">
        <v>831.19704302599939</v>
      </c>
      <c r="J91" s="282">
        <v>2382.3566965962127</v>
      </c>
      <c r="K91" s="283">
        <v>0.10355064179127065</v>
      </c>
      <c r="L91" s="282">
        <v>3934.7176060128345</v>
      </c>
      <c r="M91" s="282">
        <v>21455.522443083351</v>
      </c>
      <c r="N91" s="282">
        <v>2496.8050441277296</v>
      </c>
      <c r="O91" s="283">
        <v>0.11637120702845567</v>
      </c>
      <c r="P91" s="285">
        <v>1.4348436041242332</v>
      </c>
      <c r="Q91" s="282">
        <v>3582.5247483117964</v>
      </c>
      <c r="R91" s="284">
        <v>21.066227167588789</v>
      </c>
      <c r="S91" s="282">
        <v>75470.280181445152</v>
      </c>
      <c r="T91" s="284">
        <v>30.226741314442933</v>
      </c>
      <c r="U91" s="284">
        <v>3.5175223712986128</v>
      </c>
      <c r="V91" s="273"/>
      <c r="W91" s="273"/>
    </row>
    <row r="92" spans="1:24" x14ac:dyDescent="0.25">
      <c r="A92" s="291">
        <v>63</v>
      </c>
      <c r="B92" s="281">
        <v>3</v>
      </c>
      <c r="C92" s="282">
        <v>21455.522443083351</v>
      </c>
      <c r="D92" s="282">
        <v>20</v>
      </c>
      <c r="E92" s="282">
        <v>2723.7541384087622</v>
      </c>
      <c r="F92" s="282">
        <v>1346.0720053078076</v>
      </c>
      <c r="G92" s="283">
        <v>0.32902035613069702</v>
      </c>
      <c r="H92" s="284">
        <v>2.0234832369059772</v>
      </c>
      <c r="I92" s="282">
        <v>2743.7541384087622</v>
      </c>
      <c r="J92" s="282">
        <v>2286.908706561022</v>
      </c>
      <c r="K92" s="283">
        <v>0.10658834864672596</v>
      </c>
      <c r="L92" s="282">
        <v>4091.1511407309595</v>
      </c>
      <c r="M92" s="282">
        <v>21912.367874931093</v>
      </c>
      <c r="N92" s="282">
        <v>5205.8454544992474</v>
      </c>
      <c r="O92" s="283">
        <v>0.23757566887397003</v>
      </c>
      <c r="P92" s="285">
        <v>1.5957614576214072</v>
      </c>
      <c r="Q92" s="282">
        <v>8307.2875306234964</v>
      </c>
      <c r="R92" s="284">
        <v>20.395873392737034</v>
      </c>
      <c r="S92" s="282">
        <v>169434.38471165992</v>
      </c>
      <c r="T92" s="284">
        <v>32.546948654655729</v>
      </c>
      <c r="U92" s="284">
        <v>7.7323630964365933</v>
      </c>
      <c r="V92" s="273"/>
      <c r="W92" s="273"/>
    </row>
    <row r="93" spans="1:24" x14ac:dyDescent="0.25">
      <c r="A93" s="291">
        <v>64</v>
      </c>
      <c r="B93" s="281">
        <v>4</v>
      </c>
      <c r="C93" s="282">
        <v>21912.367874931093</v>
      </c>
      <c r="D93" s="282">
        <v>20</v>
      </c>
      <c r="E93" s="282">
        <v>2620.2772064978662</v>
      </c>
      <c r="F93" s="282">
        <v>1294.4996666934871</v>
      </c>
      <c r="G93" s="283">
        <v>0.32919543373212079</v>
      </c>
      <c r="H93" s="284">
        <v>2.0241621329967465</v>
      </c>
      <c r="I93" s="282">
        <v>2640.2772064978662</v>
      </c>
      <c r="J93" s="282">
        <v>2102.0344532550844</v>
      </c>
      <c r="K93" s="283">
        <v>9.5929133047274309E-2</v>
      </c>
      <c r="L93" s="282">
        <v>3932.3135561681947</v>
      </c>
      <c r="M93" s="282">
        <v>22450.610628173876</v>
      </c>
      <c r="N93" s="282">
        <v>5275.0814443983636</v>
      </c>
      <c r="O93" s="283">
        <v>0.23496382934807669</v>
      </c>
      <c r="P93" s="285">
        <v>1.5877762548958327</v>
      </c>
      <c r="Q93" s="282">
        <v>8375.6490600573343</v>
      </c>
      <c r="R93" s="284">
        <v>20.113979728305338</v>
      </c>
      <c r="S93" s="282">
        <v>168467.63540539288</v>
      </c>
      <c r="T93" s="284">
        <v>31.936499404059351</v>
      </c>
      <c r="U93" s="284">
        <v>7.5039221959503548</v>
      </c>
      <c r="V93" s="273"/>
      <c r="W93" s="273"/>
    </row>
    <row r="94" spans="1:24" x14ac:dyDescent="0.25">
      <c r="A94" s="291">
        <v>65</v>
      </c>
      <c r="B94" s="281">
        <v>5</v>
      </c>
      <c r="C94" s="282">
        <v>22450.610628173876</v>
      </c>
      <c r="D94" s="282">
        <v>20</v>
      </c>
      <c r="E94" s="282">
        <v>2707.7950192767557</v>
      </c>
      <c r="F94" s="282">
        <v>1337.9248714512419</v>
      </c>
      <c r="G94" s="283">
        <v>0.3291218107344141</v>
      </c>
      <c r="H94" s="284">
        <v>2.0238767340797104</v>
      </c>
      <c r="I94" s="282">
        <v>2727.7950192767557</v>
      </c>
      <c r="J94" s="282">
        <v>1989.2241669479263</v>
      </c>
      <c r="K94" s="283">
        <v>8.8604457130070008E-2</v>
      </c>
      <c r="L94" s="282">
        <v>4065.135848838911</v>
      </c>
      <c r="M94" s="282">
        <v>23189.181480502706</v>
      </c>
      <c r="N94" s="282">
        <v>5503.4295146250597</v>
      </c>
      <c r="O94" s="283">
        <v>0.23732745889510171</v>
      </c>
      <c r="P94" s="285">
        <v>1.728297472351696</v>
      </c>
      <c r="Q94" s="282">
        <v>9511.5633193922113</v>
      </c>
      <c r="R94" s="284">
        <v>20.269976204138018</v>
      </c>
      <c r="S94" s="282">
        <v>192799.16214823214</v>
      </c>
      <c r="T94" s="284">
        <v>35.032548638240762</v>
      </c>
      <c r="U94" s="284">
        <v>8.3141857469327345</v>
      </c>
      <c r="V94" s="273"/>
      <c r="W94" s="273"/>
    </row>
    <row r="95" spans="1:24" x14ac:dyDescent="0.25">
      <c r="A95" s="291">
        <v>66</v>
      </c>
      <c r="B95" s="281">
        <v>6</v>
      </c>
      <c r="C95" s="282">
        <v>23189.18148050271</v>
      </c>
      <c r="D95" s="282">
        <v>20</v>
      </c>
      <c r="E95" s="282">
        <v>2798.6470185547014</v>
      </c>
      <c r="F95" s="282">
        <v>1382.9889731009212</v>
      </c>
      <c r="G95" s="283">
        <v>0.32905614592091681</v>
      </c>
      <c r="H95" s="284">
        <v>2.0236220772459297</v>
      </c>
      <c r="I95" s="282">
        <v>2818.6470185547014</v>
      </c>
      <c r="J95" s="282">
        <v>2111.9072266913136</v>
      </c>
      <c r="K95" s="283">
        <v>9.1072952638151086E-2</v>
      </c>
      <c r="L95" s="282">
        <v>4202.8966492341387</v>
      </c>
      <c r="M95" s="282">
        <v>23895.921272366093</v>
      </c>
      <c r="N95" s="282">
        <v>5710.9127993231605</v>
      </c>
      <c r="O95" s="283">
        <v>0.23899111209105875</v>
      </c>
      <c r="P95" s="285">
        <v>1.7757753104029672</v>
      </c>
      <c r="Q95" s="282">
        <v>10141.297948902364</v>
      </c>
      <c r="R95" s="284">
        <v>20.140884153079568</v>
      </c>
      <c r="S95" s="282">
        <v>204254.70715070594</v>
      </c>
      <c r="T95" s="284">
        <v>35.765684808725076</v>
      </c>
      <c r="U95" s="284">
        <v>8.5476807871354907</v>
      </c>
      <c r="V95" s="273"/>
      <c r="W95" s="273"/>
    </row>
    <row r="96" spans="1:24" x14ac:dyDescent="0.25">
      <c r="A96" s="291">
        <v>67</v>
      </c>
      <c r="B96" s="281">
        <v>7</v>
      </c>
      <c r="C96" s="282">
        <v>23895.921272366097</v>
      </c>
      <c r="D96" s="282">
        <v>20</v>
      </c>
      <c r="E96" s="282">
        <v>2684.40675077181</v>
      </c>
      <c r="F96" s="282">
        <v>1326.0208994578975</v>
      </c>
      <c r="G96" s="283">
        <v>0.32925877505881607</v>
      </c>
      <c r="H96" s="284">
        <v>2.0244075729645337</v>
      </c>
      <c r="I96" s="282">
        <v>2704.40675077181</v>
      </c>
      <c r="J96" s="282">
        <v>2560.5711189320609</v>
      </c>
      <c r="K96" s="283">
        <v>0.10715515379158769</v>
      </c>
      <c r="L96" s="282">
        <v>4027.2909939029814</v>
      </c>
      <c r="M96" s="282">
        <v>24039.756904205842</v>
      </c>
      <c r="N96" s="282">
        <v>5823.7756791676902</v>
      </c>
      <c r="O96" s="283">
        <v>0.24225601375148681</v>
      </c>
      <c r="P96" s="285">
        <v>1.6692463062739122</v>
      </c>
      <c r="Q96" s="282">
        <v>9721.3160410185119</v>
      </c>
      <c r="R96" s="284">
        <v>20.058293475101728</v>
      </c>
      <c r="S96" s="282">
        <v>194993.01011496337</v>
      </c>
      <c r="T96" s="284">
        <v>33.482232293471675</v>
      </c>
      <c r="U96" s="284">
        <v>8.1112721269177488</v>
      </c>
      <c r="V96" s="273"/>
      <c r="W96" s="273"/>
    </row>
    <row r="97" spans="1:24" x14ac:dyDescent="0.25">
      <c r="A97" s="291">
        <v>68</v>
      </c>
      <c r="B97" s="281">
        <v>8</v>
      </c>
      <c r="C97" s="282">
        <v>24039.756904205846</v>
      </c>
      <c r="D97" s="282">
        <v>20</v>
      </c>
      <c r="E97" s="282">
        <v>2780.8981593764956</v>
      </c>
      <c r="F97" s="282">
        <v>1373.7567664458948</v>
      </c>
      <c r="G97" s="283">
        <v>0.32923144947444355</v>
      </c>
      <c r="H97" s="284">
        <v>2.0243017012182416</v>
      </c>
      <c r="I97" s="282">
        <v>2800.8981593764956</v>
      </c>
      <c r="J97" s="282">
        <v>2097.736764355308</v>
      </c>
      <c r="K97" s="283">
        <v>8.7261147136987113E-2</v>
      </c>
      <c r="L97" s="282">
        <v>4172.6170711784689</v>
      </c>
      <c r="M97" s="282">
        <v>24742.918299227029</v>
      </c>
      <c r="N97" s="282">
        <v>6119.1650601734573</v>
      </c>
      <c r="O97" s="283">
        <v>0.24730975490326945</v>
      </c>
      <c r="P97" s="285">
        <v>1.7701620972224661</v>
      </c>
      <c r="Q97" s="282">
        <v>10831.914056167085</v>
      </c>
      <c r="R97" s="284">
        <v>19.99392668893687</v>
      </c>
      <c r="S97" s="282">
        <v>216572.4955398695</v>
      </c>
      <c r="T97" s="284">
        <v>35.392491199400723</v>
      </c>
      <c r="U97" s="284">
        <v>8.7529083239399146</v>
      </c>
      <c r="V97" s="273"/>
      <c r="W97" s="273"/>
    </row>
    <row r="98" spans="1:24" x14ac:dyDescent="0.25">
      <c r="A98" s="291">
        <v>69</v>
      </c>
      <c r="B98" s="281">
        <v>9</v>
      </c>
      <c r="C98" s="282">
        <v>24742.918299227033</v>
      </c>
      <c r="D98" s="282">
        <v>20</v>
      </c>
      <c r="E98" s="282">
        <v>2883.1995738572937</v>
      </c>
      <c r="F98" s="282">
        <v>1424.3678484040952</v>
      </c>
      <c r="G98" s="283">
        <v>0.32920414934615067</v>
      </c>
      <c r="H98" s="284">
        <v>2.0241959105491727</v>
      </c>
      <c r="I98" s="282">
        <v>2903.1995738572937</v>
      </c>
      <c r="J98" s="282">
        <v>1791.8461837092946</v>
      </c>
      <c r="K98" s="283">
        <v>7.2418546674232517E-2</v>
      </c>
      <c r="L98" s="282">
        <v>4326.7007758957643</v>
      </c>
      <c r="M98" s="282">
        <v>25854.271689375029</v>
      </c>
      <c r="N98" s="282">
        <v>6489.6948348791866</v>
      </c>
      <c r="O98" s="283">
        <v>0.25101054529206351</v>
      </c>
      <c r="P98" s="285">
        <v>1.8413025493656525</v>
      </c>
      <c r="Q98" s="282">
        <v>11949.491644068154</v>
      </c>
      <c r="R98" s="284">
        <v>19.967692149628075</v>
      </c>
      <c r="S98" s="282">
        <v>238603.77049330593</v>
      </c>
      <c r="T98" s="284">
        <v>36.766562460058701</v>
      </c>
      <c r="U98" s="284">
        <v>9.2287948916140454</v>
      </c>
      <c r="V98" s="273"/>
      <c r="W98" s="273"/>
    </row>
    <row r="99" spans="1:24" x14ac:dyDescent="0.25">
      <c r="A99" s="291">
        <v>70</v>
      </c>
      <c r="B99" s="281">
        <v>10</v>
      </c>
      <c r="C99" s="282">
        <v>25854.271689375029</v>
      </c>
      <c r="D99" s="282">
        <v>20</v>
      </c>
      <c r="E99" s="282">
        <v>2780.7176886807033</v>
      </c>
      <c r="F99" s="282">
        <v>1373.1625214810711</v>
      </c>
      <c r="G99" s="283">
        <v>0.32942372829782884</v>
      </c>
      <c r="H99" s="284">
        <v>2.0250463038282356</v>
      </c>
      <c r="I99" s="282">
        <v>2800.7176886807033</v>
      </c>
      <c r="J99" s="282">
        <v>2376.5880101998409</v>
      </c>
      <c r="K99" s="283">
        <v>9.1922450523969482E-2</v>
      </c>
      <c r="L99" s="282">
        <v>4168.3776957305517</v>
      </c>
      <c r="M99" s="282">
        <v>26278.401367855891</v>
      </c>
      <c r="N99" s="282">
        <v>6613.403846027536</v>
      </c>
      <c r="O99" s="283">
        <v>0.25166690140128328</v>
      </c>
      <c r="P99" s="285">
        <v>1.7134690462909576</v>
      </c>
      <c r="Q99" s="282">
        <v>11331.862780789754</v>
      </c>
      <c r="R99" s="284">
        <v>19.975963546603488</v>
      </c>
      <c r="S99" s="282">
        <v>226364.87782416897</v>
      </c>
      <c r="T99" s="284">
        <v>34.228195206941621</v>
      </c>
      <c r="U99" s="284">
        <v>8.6141038282892524</v>
      </c>
      <c r="V99" s="273"/>
      <c r="W99" s="273"/>
    </row>
    <row r="100" spans="1:24" x14ac:dyDescent="0.25">
      <c r="A100" s="291">
        <v>71</v>
      </c>
      <c r="B100" s="281">
        <v>11</v>
      </c>
      <c r="C100" s="282">
        <v>26278.401367855891</v>
      </c>
      <c r="D100" s="282">
        <v>20</v>
      </c>
      <c r="E100" s="282">
        <v>2888.1648350474507</v>
      </c>
      <c r="F100" s="282">
        <v>1426.3284862439777</v>
      </c>
      <c r="G100" s="283">
        <v>0.3293845329447786</v>
      </c>
      <c r="H100" s="284">
        <v>2.0248945897820492</v>
      </c>
      <c r="I100" s="282">
        <v>2908.1648350474507</v>
      </c>
      <c r="J100" s="282">
        <v>2360.662257126758</v>
      </c>
      <c r="K100" s="283">
        <v>8.9832795537340152E-2</v>
      </c>
      <c r="L100" s="282">
        <v>4330.2837370420857</v>
      </c>
      <c r="M100" s="282">
        <v>26825.903945776583</v>
      </c>
      <c r="N100" s="282">
        <v>6857.5637603475716</v>
      </c>
      <c r="O100" s="283">
        <v>0.2556321596546689</v>
      </c>
      <c r="P100" s="285">
        <v>1.7883198417389541</v>
      </c>
      <c r="Q100" s="282">
        <v>12263.517338619557</v>
      </c>
      <c r="R100" s="284">
        <v>19.979126661910556</v>
      </c>
      <c r="S100" s="282">
        <v>245014.36622881636</v>
      </c>
      <c r="T100" s="284">
        <v>35.729068630110405</v>
      </c>
      <c r="U100" s="284">
        <v>9.1334989763650043</v>
      </c>
      <c r="V100" s="273"/>
      <c r="W100" s="273"/>
    </row>
    <row r="101" spans="1:24" x14ac:dyDescent="0.25">
      <c r="A101" s="291">
        <v>72</v>
      </c>
      <c r="B101" s="281">
        <v>12</v>
      </c>
      <c r="C101" s="282">
        <v>26825.903945776576</v>
      </c>
      <c r="D101" s="282">
        <v>20</v>
      </c>
      <c r="E101" s="282">
        <v>2998.7428793775453</v>
      </c>
      <c r="F101" s="282">
        <v>1481.0736675258281</v>
      </c>
      <c r="G101" s="283">
        <v>0.32933654530287204</v>
      </c>
      <c r="H101" s="284">
        <v>2.0247087941189466</v>
      </c>
      <c r="I101" s="282">
        <v>3018.7428793775453</v>
      </c>
      <c r="J101" s="282">
        <v>2240.808355151752</v>
      </c>
      <c r="K101" s="283">
        <v>8.3531513408872132E-2</v>
      </c>
      <c r="L101" s="282">
        <v>4497.143389184972</v>
      </c>
      <c r="M101" s="282">
        <v>27603.838470002378</v>
      </c>
      <c r="N101" s="282">
        <v>7127.0615875912154</v>
      </c>
      <c r="O101" s="283">
        <v>0.25819096120767154</v>
      </c>
      <c r="P101" s="285">
        <v>1.8577745675559638</v>
      </c>
      <c r="Q101" s="282">
        <v>13240.473758831991</v>
      </c>
      <c r="R101" s="284">
        <v>19.89612869454794</v>
      </c>
      <c r="S101" s="282">
        <v>263434.16988250619</v>
      </c>
      <c r="T101" s="284">
        <v>36.962521881551602</v>
      </c>
      <c r="U101" s="284">
        <v>9.5433890532573997</v>
      </c>
      <c r="V101" s="273"/>
      <c r="W101" s="273"/>
    </row>
    <row r="102" spans="1:24" s="1" customFormat="1" ht="30" x14ac:dyDescent="0.25">
      <c r="B102" s="292" t="s">
        <v>221</v>
      </c>
      <c r="C102" s="293">
        <v>26825.903945776576</v>
      </c>
      <c r="D102" s="293">
        <v>240</v>
      </c>
      <c r="E102" s="293">
        <v>29457.111487265938</v>
      </c>
      <c r="F102" s="293">
        <v>14923.274058707244</v>
      </c>
      <c r="G102" s="294">
        <v>0.30131126640023598</v>
      </c>
      <c r="H102" s="295">
        <v>1.9739040756997071</v>
      </c>
      <c r="I102" s="293">
        <v>29697.111487265938</v>
      </c>
      <c r="J102" s="293">
        <v>26432.761921534784</v>
      </c>
      <c r="K102" s="294">
        <v>9.1783282991395598E-2</v>
      </c>
      <c r="L102" s="293">
        <v>4497.143389184972</v>
      </c>
      <c r="M102" s="293">
        <v>27603.838470002378</v>
      </c>
      <c r="N102" s="293">
        <v>65976.24960569384</v>
      </c>
      <c r="O102" s="294">
        <v>0.22652371401632046</v>
      </c>
      <c r="P102" s="296">
        <v>1.7155983365421703</v>
      </c>
      <c r="Q102" s="293">
        <v>113188.74407481938</v>
      </c>
      <c r="R102" s="295">
        <v>20.115166719366094</v>
      </c>
      <c r="S102" s="293">
        <v>2276810.457820653</v>
      </c>
      <c r="T102" s="295">
        <v>34.509546563012897</v>
      </c>
      <c r="U102" s="295">
        <v>7.8172306564728284</v>
      </c>
      <c r="V102" s="297"/>
      <c r="W102" s="297"/>
      <c r="X102" s="298"/>
    </row>
    <row r="104" spans="1:24" ht="38.25" x14ac:dyDescent="0.25">
      <c r="B104" s="274">
        <v>2022</v>
      </c>
      <c r="C104" s="275" t="s">
        <v>209</v>
      </c>
      <c r="D104" s="275" t="s">
        <v>210</v>
      </c>
      <c r="E104" s="275" t="s">
        <v>211</v>
      </c>
      <c r="F104" s="275" t="s">
        <v>198</v>
      </c>
      <c r="G104" s="276" t="s">
        <v>197</v>
      </c>
      <c r="H104" s="277" t="s">
        <v>212</v>
      </c>
      <c r="I104" s="275" t="s">
        <v>213</v>
      </c>
      <c r="J104" s="275" t="s">
        <v>214</v>
      </c>
      <c r="K104" s="276" t="s">
        <v>215</v>
      </c>
      <c r="L104" s="275" t="s">
        <v>216</v>
      </c>
      <c r="M104" s="275" t="s">
        <v>92</v>
      </c>
      <c r="N104" s="275" t="s">
        <v>217</v>
      </c>
      <c r="O104" s="276" t="s">
        <v>11</v>
      </c>
      <c r="P104" s="278" t="s">
        <v>218</v>
      </c>
      <c r="Q104" s="275" t="s">
        <v>219</v>
      </c>
      <c r="R104" s="277" t="s">
        <v>14</v>
      </c>
      <c r="S104" s="275" t="s">
        <v>0</v>
      </c>
      <c r="T104" s="277" t="s">
        <v>206</v>
      </c>
      <c r="U104" s="277" t="s">
        <v>220</v>
      </c>
      <c r="V104" s="279"/>
      <c r="W104" s="279"/>
      <c r="X104" s="280"/>
    </row>
    <row r="105" spans="1:24" x14ac:dyDescent="0.25">
      <c r="A105" s="291">
        <v>73</v>
      </c>
      <c r="B105" s="281">
        <v>1</v>
      </c>
      <c r="C105" s="282">
        <v>27603.838470002382</v>
      </c>
      <c r="D105" s="282">
        <v>20</v>
      </c>
      <c r="E105" s="282">
        <v>897.31704402973912</v>
      </c>
      <c r="F105" s="282">
        <v>651.60609884118276</v>
      </c>
      <c r="G105" s="283">
        <v>0.15</v>
      </c>
      <c r="H105" s="284">
        <v>1.3770850911701549</v>
      </c>
      <c r="I105" s="282">
        <v>917.31704402973912</v>
      </c>
      <c r="J105" s="282">
        <v>2402.5723837041733</v>
      </c>
      <c r="K105" s="283">
        <v>8.7037619290342344E-2</v>
      </c>
      <c r="L105" s="282">
        <v>4344.0406589412187</v>
      </c>
      <c r="M105" s="282">
        <v>26118.583130327945</v>
      </c>
      <c r="N105" s="282">
        <v>3128.0923294058525</v>
      </c>
      <c r="O105" s="283">
        <v>0.11976500845383248</v>
      </c>
      <c r="P105" s="285">
        <v>1.480747674106428</v>
      </c>
      <c r="Q105" s="282">
        <v>4631.9154411578747</v>
      </c>
      <c r="R105" s="284">
        <v>22.524109140159407</v>
      </c>
      <c r="S105" s="282">
        <v>104329.76892462958</v>
      </c>
      <c r="T105" s="284">
        <v>33.352522220610382</v>
      </c>
      <c r="U105" s="284">
        <v>3.9944651057080374</v>
      </c>
      <c r="V105" s="273"/>
      <c r="W105" s="273"/>
    </row>
    <row r="106" spans="1:24" x14ac:dyDescent="0.25">
      <c r="A106" s="291">
        <v>74</v>
      </c>
      <c r="B106" s="281">
        <v>2</v>
      </c>
      <c r="C106" s="282">
        <v>26118.583130327945</v>
      </c>
      <c r="D106" s="282">
        <v>20</v>
      </c>
      <c r="E106" s="282">
        <v>932.79704260465519</v>
      </c>
      <c r="F106" s="282">
        <v>677.54372030458887</v>
      </c>
      <c r="G106" s="283">
        <v>0.15</v>
      </c>
      <c r="H106" s="284">
        <v>1.3767333600041596</v>
      </c>
      <c r="I106" s="282">
        <v>952.79704260465519</v>
      </c>
      <c r="J106" s="282">
        <v>2697.6720496775961</v>
      </c>
      <c r="K106" s="283">
        <v>0.10328554333198717</v>
      </c>
      <c r="L106" s="282">
        <v>4516.958135363926</v>
      </c>
      <c r="M106" s="282">
        <v>24373.708123255004</v>
      </c>
      <c r="N106" s="282">
        <v>2836.6352281636359</v>
      </c>
      <c r="O106" s="283">
        <v>0.11638094678984018</v>
      </c>
      <c r="P106" s="285">
        <v>1.4893641940040174</v>
      </c>
      <c r="Q106" s="282">
        <v>4224.7829402773359</v>
      </c>
      <c r="R106" s="284">
        <v>22.924601672370041</v>
      </c>
      <c r="S106" s="282">
        <v>96851.466058082238</v>
      </c>
      <c r="T106" s="284">
        <v>34.143080892632561</v>
      </c>
      <c r="U106" s="284">
        <v>3.9736040806066786</v>
      </c>
      <c r="V106" s="273"/>
      <c r="W106" s="273"/>
    </row>
    <row r="107" spans="1:24" x14ac:dyDescent="0.25">
      <c r="A107" s="291">
        <v>75</v>
      </c>
      <c r="B107" s="281">
        <v>3</v>
      </c>
      <c r="C107" s="282">
        <v>24373.708123255001</v>
      </c>
      <c r="D107" s="282">
        <v>20</v>
      </c>
      <c r="E107" s="282">
        <v>3129.2409407333953</v>
      </c>
      <c r="F107" s="282">
        <v>1545.3331985151508</v>
      </c>
      <c r="G107" s="283">
        <v>0.32940193660381251</v>
      </c>
      <c r="H107" s="284">
        <v>2.0249619588449654</v>
      </c>
      <c r="I107" s="282">
        <v>3149.2409407333953</v>
      </c>
      <c r="J107" s="282">
        <v>2595.3118692311546</v>
      </c>
      <c r="K107" s="283">
        <v>0.10647997654304241</v>
      </c>
      <c r="L107" s="282">
        <v>4691.3300342061957</v>
      </c>
      <c r="M107" s="282">
        <v>24927.637194757244</v>
      </c>
      <c r="N107" s="282">
        <v>5927.9441258836614</v>
      </c>
      <c r="O107" s="283">
        <v>0.2378060976886498</v>
      </c>
      <c r="P107" s="285">
        <v>1.6554847627740921</v>
      </c>
      <c r="Q107" s="282">
        <v>9813.6211749765862</v>
      </c>
      <c r="R107" s="284">
        <v>22.186583558955665</v>
      </c>
      <c r="S107" s="282">
        <v>217730.72621455471</v>
      </c>
      <c r="T107" s="284">
        <v>36.729551019865291</v>
      </c>
      <c r="U107" s="284">
        <v>8.7345111978903329</v>
      </c>
      <c r="V107" s="273"/>
      <c r="W107" s="273"/>
    </row>
    <row r="108" spans="1:24" x14ac:dyDescent="0.25">
      <c r="A108" s="291">
        <v>76</v>
      </c>
      <c r="B108" s="281">
        <v>4</v>
      </c>
      <c r="C108" s="282">
        <v>24927.637194757241</v>
      </c>
      <c r="D108" s="282">
        <v>20</v>
      </c>
      <c r="E108" s="282">
        <v>3007.2681256549768</v>
      </c>
      <c r="F108" s="282">
        <v>1484.6256530422702</v>
      </c>
      <c r="G108" s="283">
        <v>0.32956866706335775</v>
      </c>
      <c r="H108" s="284">
        <v>2.0256070070542922</v>
      </c>
      <c r="I108" s="282">
        <v>3027.2681256549768</v>
      </c>
      <c r="J108" s="282">
        <v>2356.3800090226287</v>
      </c>
      <c r="K108" s="283">
        <v>9.4528815170585867E-2</v>
      </c>
      <c r="L108" s="282">
        <v>4504.7536413917014</v>
      </c>
      <c r="M108" s="282">
        <v>25598.525311389592</v>
      </c>
      <c r="N108" s="282">
        <v>6019.2234798319814</v>
      </c>
      <c r="O108" s="283">
        <v>0.23513946239527472</v>
      </c>
      <c r="P108" s="285">
        <v>1.6474117291158592</v>
      </c>
      <c r="Q108" s="282">
        <v>9916.1393608447834</v>
      </c>
      <c r="R108" s="284">
        <v>21.886198641636071</v>
      </c>
      <c r="S108" s="282">
        <v>217026.59580959508</v>
      </c>
      <c r="T108" s="284">
        <v>36.055580347990848</v>
      </c>
      <c r="U108" s="284">
        <v>8.4780897793761998</v>
      </c>
      <c r="V108" s="273"/>
      <c r="W108" s="273"/>
    </row>
    <row r="109" spans="1:24" x14ac:dyDescent="0.25">
      <c r="A109" s="291">
        <v>77</v>
      </c>
      <c r="B109" s="281">
        <v>5</v>
      </c>
      <c r="C109" s="282">
        <v>25598.525311389592</v>
      </c>
      <c r="D109" s="282">
        <v>20</v>
      </c>
      <c r="E109" s="282">
        <v>3105.1564861697766</v>
      </c>
      <c r="F109" s="282">
        <v>1533.1795645356769</v>
      </c>
      <c r="G109" s="283">
        <v>0.32949062587025829</v>
      </c>
      <c r="H109" s="284">
        <v>2.0253051618974407</v>
      </c>
      <c r="I109" s="282">
        <v>3125.1564861697766</v>
      </c>
      <c r="J109" s="282">
        <v>2231.9752664930638</v>
      </c>
      <c r="K109" s="283">
        <v>8.719155651907759E-2</v>
      </c>
      <c r="L109" s="282">
        <v>4653.1811352332334</v>
      </c>
      <c r="M109" s="282">
        <v>26491.706531066306</v>
      </c>
      <c r="N109" s="282">
        <v>6289.7273056079921</v>
      </c>
      <c r="O109" s="283">
        <v>0.23742250421776914</v>
      </c>
      <c r="P109" s="285">
        <v>1.7928592426575376</v>
      </c>
      <c r="Q109" s="282">
        <v>11276.59573365478</v>
      </c>
      <c r="R109" s="284">
        <v>22.058214486859086</v>
      </c>
      <c r="S109" s="282">
        <v>248741.56737455723</v>
      </c>
      <c r="T109" s="284">
        <v>39.547273719287709</v>
      </c>
      <c r="U109" s="284">
        <v>9.3894127614188569</v>
      </c>
      <c r="V109" s="273"/>
      <c r="W109" s="273"/>
    </row>
    <row r="110" spans="1:24" x14ac:dyDescent="0.25">
      <c r="A110" s="291">
        <v>78</v>
      </c>
      <c r="B110" s="281">
        <v>6</v>
      </c>
      <c r="C110" s="282">
        <v>26491.706531066302</v>
      </c>
      <c r="D110" s="282">
        <v>20</v>
      </c>
      <c r="E110" s="282">
        <v>3207.2414932478496</v>
      </c>
      <c r="F110" s="282">
        <v>1583.7969337299385</v>
      </c>
      <c r="G110" s="283">
        <v>0.3294203621927117</v>
      </c>
      <c r="H110" s="284">
        <v>2.0250332760113383</v>
      </c>
      <c r="I110" s="282">
        <v>3227.2414932478496</v>
      </c>
      <c r="J110" s="282">
        <v>2372.6281752936557</v>
      </c>
      <c r="K110" s="283">
        <v>8.9561167851203591E-2</v>
      </c>
      <c r="L110" s="282">
        <v>4807.8294953832074</v>
      </c>
      <c r="M110" s="282">
        <v>27346.3198490205</v>
      </c>
      <c r="N110" s="282">
        <v>6535.8649223294797</v>
      </c>
      <c r="O110" s="283">
        <v>0.23900345488585309</v>
      </c>
      <c r="P110" s="285">
        <v>1.8421381625002735</v>
      </c>
      <c r="Q110" s="282">
        <v>12039.966198370021</v>
      </c>
      <c r="R110" s="284">
        <v>21.923378080287485</v>
      </c>
      <c r="S110" s="282">
        <v>263956.73104074755</v>
      </c>
      <c r="T110" s="284">
        <v>40.385891412619564</v>
      </c>
      <c r="U110" s="284">
        <v>9.6523675762609802</v>
      </c>
      <c r="V110" s="273"/>
      <c r="W110" s="273"/>
    </row>
    <row r="111" spans="1:24" x14ac:dyDescent="0.25">
      <c r="A111" s="291">
        <v>79</v>
      </c>
      <c r="B111" s="281">
        <v>7</v>
      </c>
      <c r="C111" s="282">
        <v>27346.3198490205</v>
      </c>
      <c r="D111" s="282">
        <v>20</v>
      </c>
      <c r="E111" s="282">
        <v>3075.2246716557092</v>
      </c>
      <c r="F111" s="282">
        <v>1518.0427307763798</v>
      </c>
      <c r="G111" s="283">
        <v>0.32961410384247153</v>
      </c>
      <c r="H111" s="284">
        <v>2.0257826800981631</v>
      </c>
      <c r="I111" s="282">
        <v>3095.2246716557092</v>
      </c>
      <c r="J111" s="282">
        <v>2883.0625235795742</v>
      </c>
      <c r="K111" s="283">
        <v>0.10542780672123385</v>
      </c>
      <c r="L111" s="282">
        <v>4605.5150950151074</v>
      </c>
      <c r="M111" s="282">
        <v>27558.481997096635</v>
      </c>
      <c r="N111" s="282">
        <v>6674.9741120401977</v>
      </c>
      <c r="O111" s="283">
        <v>0.24221124054450552</v>
      </c>
      <c r="P111" s="285">
        <v>1.7311889414052255</v>
      </c>
      <c r="Q111" s="282">
        <v>11555.641366930155</v>
      </c>
      <c r="R111" s="284">
        <v>21.839834947458236</v>
      </c>
      <c r="S111" s="282">
        <v>252373.30016577523</v>
      </c>
      <c r="T111" s="284">
        <v>37.808880743155065</v>
      </c>
      <c r="U111" s="284">
        <v>9.1577359083988554</v>
      </c>
      <c r="V111" s="273"/>
      <c r="W111" s="273"/>
    </row>
    <row r="112" spans="1:24" x14ac:dyDescent="0.25">
      <c r="A112" s="291">
        <v>80</v>
      </c>
      <c r="B112" s="281">
        <v>8</v>
      </c>
      <c r="C112" s="282">
        <v>27558.481997096635</v>
      </c>
      <c r="D112" s="282">
        <v>20</v>
      </c>
      <c r="E112" s="282">
        <v>3184.1068953441536</v>
      </c>
      <c r="F112" s="282">
        <v>1571.8822771245173</v>
      </c>
      <c r="G112" s="283">
        <v>0.32958366231860703</v>
      </c>
      <c r="H112" s="284">
        <v>2.025664988836771</v>
      </c>
      <c r="I112" s="282">
        <v>3204.1068953441536</v>
      </c>
      <c r="J112" s="282">
        <v>2413.7010831715852</v>
      </c>
      <c r="K112" s="283">
        <v>8.758468929550893E-2</v>
      </c>
      <c r="L112" s="282">
        <v>4769.2967123017943</v>
      </c>
      <c r="M112" s="282">
        <v>28348.887809269203</v>
      </c>
      <c r="N112" s="282">
        <v>7010.8395479904475</v>
      </c>
      <c r="O112" s="283">
        <v>0.24730562959503904</v>
      </c>
      <c r="P112" s="285">
        <v>1.8353881136860488</v>
      </c>
      <c r="Q112" s="282">
        <v>12867.611573341739</v>
      </c>
      <c r="R112" s="284">
        <v>21.772096460189655</v>
      </c>
      <c r="S112" s="282">
        <v>280154.88038704911</v>
      </c>
      <c r="T112" s="284">
        <v>39.96024705305819</v>
      </c>
      <c r="U112" s="284">
        <v>9.8823940562298596</v>
      </c>
      <c r="V112" s="273"/>
      <c r="W112" s="273"/>
    </row>
    <row r="113" spans="1:24" x14ac:dyDescent="0.25">
      <c r="A113" s="291">
        <v>81</v>
      </c>
      <c r="B113" s="281">
        <v>9</v>
      </c>
      <c r="C113" s="282">
        <v>28348.887809269203</v>
      </c>
      <c r="D113" s="282">
        <v>20</v>
      </c>
      <c r="E113" s="282">
        <v>3299.6993371831318</v>
      </c>
      <c r="F113" s="282">
        <v>1629.0410942280578</v>
      </c>
      <c r="G113" s="283">
        <v>0.32955315516622968</v>
      </c>
      <c r="H113" s="284">
        <v>2.0255470220330674</v>
      </c>
      <c r="I113" s="282">
        <v>3319.6993371831318</v>
      </c>
      <c r="J113" s="282">
        <v>2046.5315724300672</v>
      </c>
      <c r="K113" s="283">
        <v>7.2190894619891047E-2</v>
      </c>
      <c r="L113" s="282">
        <v>4943.1816042129967</v>
      </c>
      <c r="M113" s="282">
        <v>29622.055574022266</v>
      </c>
      <c r="N113" s="282">
        <v>7434.1942003068361</v>
      </c>
      <c r="O113" s="283">
        <v>0.25096820785207158</v>
      </c>
      <c r="P113" s="285">
        <v>1.9095701496440329</v>
      </c>
      <c r="Q113" s="282">
        <v>14196.115331562727</v>
      </c>
      <c r="R113" s="284">
        <v>21.746645690001447</v>
      </c>
      <c r="S113" s="282">
        <v>308717.89028989204</v>
      </c>
      <c r="T113" s="284">
        <v>41.526745464511826</v>
      </c>
      <c r="U113" s="284">
        <v>10.421892887157675</v>
      </c>
      <c r="V113" s="273"/>
      <c r="W113" s="273"/>
    </row>
    <row r="114" spans="1:24" x14ac:dyDescent="0.25">
      <c r="A114" s="291">
        <v>82</v>
      </c>
      <c r="B114" s="281">
        <v>10</v>
      </c>
      <c r="C114" s="282">
        <v>29622.055574022263</v>
      </c>
      <c r="D114" s="282">
        <v>20</v>
      </c>
      <c r="E114" s="282">
        <v>3181.8134868505822</v>
      </c>
      <c r="F114" s="282">
        <v>1570.2050094715928</v>
      </c>
      <c r="G114" s="283">
        <v>0.32976563361320432</v>
      </c>
      <c r="H114" s="284">
        <v>2.0263681924701857</v>
      </c>
      <c r="I114" s="282">
        <v>3201.8134868505822</v>
      </c>
      <c r="J114" s="282">
        <v>2696.5672034487725</v>
      </c>
      <c r="K114" s="283">
        <v>9.1032413220289432E-2</v>
      </c>
      <c r="L114" s="282">
        <v>4761.5786771563671</v>
      </c>
      <c r="M114" s="282">
        <v>30127.301857424078</v>
      </c>
      <c r="N114" s="282">
        <v>7674.3197602918481</v>
      </c>
      <c r="O114" s="283">
        <v>0.25472973970952245</v>
      </c>
      <c r="P114" s="285">
        <v>1.7754231713662736</v>
      </c>
      <c r="Q114" s="282">
        <v>13625.165126896214</v>
      </c>
      <c r="R114" s="284">
        <v>21.73908582046765</v>
      </c>
      <c r="S114" s="282">
        <v>296198.63401163981</v>
      </c>
      <c r="T114" s="284">
        <v>38.596076689978268</v>
      </c>
      <c r="U114" s="284">
        <v>9.8315685690469312</v>
      </c>
      <c r="V114" s="273"/>
      <c r="W114" s="273"/>
    </row>
    <row r="115" spans="1:24" x14ac:dyDescent="0.25">
      <c r="A115" s="291">
        <v>83</v>
      </c>
      <c r="B115" s="281">
        <v>11</v>
      </c>
      <c r="C115" s="282">
        <v>30127.301857424081</v>
      </c>
      <c r="D115" s="282">
        <v>20</v>
      </c>
      <c r="E115" s="282">
        <v>3303.5331513807787</v>
      </c>
      <c r="F115" s="282">
        <v>1630.4052008377867</v>
      </c>
      <c r="G115" s="283">
        <v>0.32972306515122762</v>
      </c>
      <c r="H115" s="284">
        <v>2.0262037619134508</v>
      </c>
      <c r="I115" s="282">
        <v>3323.5331513807787</v>
      </c>
      <c r="J115" s="282">
        <v>2690.9174711302803</v>
      </c>
      <c r="K115" s="283">
        <v>8.9318236457579567E-2</v>
      </c>
      <c r="L115" s="282">
        <v>4944.7714556759947</v>
      </c>
      <c r="M115" s="282">
        <v>30759.917537674573</v>
      </c>
      <c r="N115" s="282">
        <v>8018.6266382330241</v>
      </c>
      <c r="O115" s="283">
        <v>0.26068426966398256</v>
      </c>
      <c r="P115" s="285">
        <v>1.854533273849218</v>
      </c>
      <c r="Q115" s="282">
        <v>14870.809911176839</v>
      </c>
      <c r="R115" s="284">
        <v>21.766356600742725</v>
      </c>
      <c r="S115" s="282">
        <v>323683.35146853433</v>
      </c>
      <c r="T115" s="284">
        <v>40.366432566544944</v>
      </c>
      <c r="U115" s="284">
        <v>10.522893992550168</v>
      </c>
      <c r="V115" s="273"/>
      <c r="W115" s="273"/>
    </row>
    <row r="116" spans="1:24" x14ac:dyDescent="0.25">
      <c r="A116" s="291">
        <v>84</v>
      </c>
      <c r="B116" s="281">
        <v>12</v>
      </c>
      <c r="C116" s="282">
        <v>30759.917537674573</v>
      </c>
      <c r="D116" s="282">
        <v>20</v>
      </c>
      <c r="E116" s="282">
        <v>3428.9845445021006</v>
      </c>
      <c r="F116" s="282">
        <v>1692.4883085375495</v>
      </c>
      <c r="G116" s="283">
        <v>0.32967082372704193</v>
      </c>
      <c r="H116" s="284">
        <v>2.0260019092628343</v>
      </c>
      <c r="I116" s="282">
        <v>3448.9845445021006</v>
      </c>
      <c r="J116" s="282">
        <v>2539.6848114681343</v>
      </c>
      <c r="K116" s="283">
        <v>8.2564747072469968E-2</v>
      </c>
      <c r="L116" s="282">
        <v>5133.8735087424111</v>
      </c>
      <c r="M116" s="282">
        <v>31669.217270708541</v>
      </c>
      <c r="N116" s="282">
        <v>8337.3479066056861</v>
      </c>
      <c r="O116" s="283">
        <v>0.26326346607615897</v>
      </c>
      <c r="P116" s="285">
        <v>1.9268514114446551</v>
      </c>
      <c r="Q116" s="282">
        <v>16064.830581548307</v>
      </c>
      <c r="R116" s="284">
        <v>21.679761807424121</v>
      </c>
      <c r="S116" s="282">
        <v>348281.70048459002</v>
      </c>
      <c r="T116" s="284">
        <v>41.773679638419097</v>
      </c>
      <c r="U116" s="284">
        <v>10.997483692365279</v>
      </c>
      <c r="V116" s="273"/>
      <c r="W116" s="273"/>
    </row>
    <row r="117" spans="1:24" s="1" customFormat="1" ht="30" x14ac:dyDescent="0.25">
      <c r="B117" s="292" t="s">
        <v>221</v>
      </c>
      <c r="C117" s="293">
        <v>30759.917537674573</v>
      </c>
      <c r="D117" s="293">
        <v>240</v>
      </c>
      <c r="E117" s="293">
        <v>33752.383219356852</v>
      </c>
      <c r="F117" s="293">
        <v>17088.149789944691</v>
      </c>
      <c r="G117" s="294">
        <v>0.30150427477770436</v>
      </c>
      <c r="H117" s="295">
        <v>1.9751923780079468</v>
      </c>
      <c r="I117" s="293">
        <v>33992.383219356852</v>
      </c>
      <c r="J117" s="293">
        <v>29927.004418650686</v>
      </c>
      <c r="K117" s="294">
        <v>9.0997569761640001E-2</v>
      </c>
      <c r="L117" s="293">
        <v>5133.8735087424111</v>
      </c>
      <c r="M117" s="293">
        <v>31669.217270708541</v>
      </c>
      <c r="N117" s="293">
        <v>75887.789556690652</v>
      </c>
      <c r="O117" s="294">
        <v>0.22793072535752404</v>
      </c>
      <c r="P117" s="296">
        <v>1.78003860080581</v>
      </c>
      <c r="Q117" s="293">
        <v>135083.19474073738</v>
      </c>
      <c r="R117" s="295">
        <v>21.897961607341092</v>
      </c>
      <c r="S117" s="293">
        <v>2958046.6122296471</v>
      </c>
      <c r="T117" s="295">
        <v>38.979216940030781</v>
      </c>
      <c r="U117" s="295">
        <v>8.884561191009503</v>
      </c>
      <c r="V117" s="297"/>
      <c r="W117" s="297"/>
      <c r="X117" s="29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U121"/>
  <sheetViews>
    <sheetView topLeftCell="N37" zoomScale="70" zoomScaleNormal="70" workbookViewId="0">
      <selection activeCell="A66" sqref="A66:XFD66"/>
    </sheetView>
  </sheetViews>
  <sheetFormatPr defaultColWidth="8.625" defaultRowHeight="15" x14ac:dyDescent="0.25"/>
  <cols>
    <col min="1" max="1" width="22.25" style="72" customWidth="1" collapsed="1"/>
    <col min="2" max="12" width="9" style="72" hidden="1" customWidth="1" collapsed="1"/>
    <col min="13" max="13" width="9" style="214" hidden="1" customWidth="1" collapsed="1"/>
    <col min="14" max="16" width="9.125" style="192" customWidth="1" collapsed="1"/>
    <col min="17" max="17" width="10" style="192" bestFit="1" customWidth="1" collapsed="1"/>
    <col min="18" max="19" width="9.125" style="192" customWidth="1" collapsed="1"/>
    <col min="20" max="21" width="10" style="192" bestFit="1" customWidth="1" collapsed="1"/>
    <col min="22" max="24" width="9.125" style="72" customWidth="1" collapsed="1"/>
    <col min="25" max="25" width="9.125" style="214" customWidth="1" collapsed="1"/>
    <col min="26" max="36" width="9.125" style="72" customWidth="1" collapsed="1"/>
    <col min="37" max="37" width="9.125" style="214" customWidth="1" collapsed="1"/>
    <col min="38" max="48" width="9.125" style="72" customWidth="1" collapsed="1"/>
    <col min="49" max="49" width="9.125" style="214" customWidth="1" collapsed="1"/>
    <col min="50" max="60" width="9.125" style="72" customWidth="1" collapsed="1"/>
    <col min="61" max="61" width="9.125" style="214" customWidth="1" collapsed="1"/>
    <col min="62" max="72" width="9.125" style="72" customWidth="1" collapsed="1"/>
    <col min="73" max="73" width="9.125" style="214" customWidth="1" collapsed="1"/>
    <col min="74" max="74" width="9.125" style="72" customWidth="1" collapsed="1"/>
    <col min="75" max="80" width="9.25" style="72" bestFit="1" customWidth="1" collapsed="1"/>
    <col min="81" max="84" width="9.125" style="72" customWidth="1" collapsed="1"/>
    <col min="85" max="85" width="9.125" style="214" customWidth="1" collapsed="1"/>
    <col min="86" max="96" width="9.125" style="72" customWidth="1" collapsed="1"/>
    <col min="97" max="97" width="9.125" style="214" customWidth="1" collapsed="1"/>
    <col min="98" max="16384" width="8.625" style="72" collapsed="1"/>
  </cols>
  <sheetData>
    <row r="3" spans="1:98" s="187" customFormat="1" ht="15.75" x14ac:dyDescent="0.25">
      <c r="A3" s="187" t="s">
        <v>189</v>
      </c>
      <c r="B3" s="187">
        <v>0</v>
      </c>
      <c r="C3" s="187">
        <v>0</v>
      </c>
      <c r="D3" s="187">
        <v>0</v>
      </c>
      <c r="E3" s="187">
        <v>0</v>
      </c>
      <c r="F3" s="187">
        <v>0</v>
      </c>
      <c r="G3" s="187">
        <v>0</v>
      </c>
      <c r="H3" s="187">
        <v>0</v>
      </c>
      <c r="I3" s="187">
        <v>0</v>
      </c>
      <c r="J3" s="187">
        <v>0</v>
      </c>
      <c r="K3" s="187">
        <v>0</v>
      </c>
      <c r="L3" s="187">
        <v>0</v>
      </c>
      <c r="M3" s="188">
        <v>0</v>
      </c>
      <c r="N3" s="189">
        <v>0</v>
      </c>
      <c r="O3" s="189">
        <v>0</v>
      </c>
      <c r="P3" s="189">
        <v>0</v>
      </c>
      <c r="Q3" s="189">
        <v>0</v>
      </c>
      <c r="R3" s="189">
        <v>0</v>
      </c>
      <c r="S3" s="189">
        <v>0</v>
      </c>
      <c r="T3" s="189">
        <v>1</v>
      </c>
      <c r="U3" s="189">
        <v>6</v>
      </c>
      <c r="V3" s="187">
        <v>1</v>
      </c>
      <c r="W3" s="187">
        <v>2</v>
      </c>
      <c r="X3" s="187">
        <v>2</v>
      </c>
      <c r="Y3" s="188">
        <v>2</v>
      </c>
      <c r="Z3" s="187">
        <v>0</v>
      </c>
      <c r="AA3" s="187">
        <v>0</v>
      </c>
      <c r="AB3" s="187">
        <v>3</v>
      </c>
      <c r="AC3" s="187">
        <v>3</v>
      </c>
      <c r="AD3" s="187">
        <v>3</v>
      </c>
      <c r="AE3" s="187">
        <v>4</v>
      </c>
      <c r="AF3" s="187">
        <v>2</v>
      </c>
      <c r="AG3" s="187">
        <v>2</v>
      </c>
      <c r="AH3" s="187">
        <v>3</v>
      </c>
      <c r="AI3" s="187">
        <v>2</v>
      </c>
      <c r="AJ3" s="187">
        <v>2</v>
      </c>
      <c r="AK3" s="188">
        <v>2</v>
      </c>
      <c r="AL3" s="187">
        <v>0</v>
      </c>
      <c r="AM3" s="187">
        <v>0</v>
      </c>
      <c r="AN3" s="187">
        <v>4</v>
      </c>
      <c r="AO3" s="187">
        <v>2</v>
      </c>
      <c r="AP3" s="187">
        <v>4</v>
      </c>
      <c r="AQ3" s="187">
        <v>4</v>
      </c>
      <c r="AR3" s="187">
        <v>2</v>
      </c>
      <c r="AS3" s="187">
        <v>2</v>
      </c>
      <c r="AT3" s="187">
        <v>4</v>
      </c>
      <c r="AU3" s="187">
        <v>2</v>
      </c>
      <c r="AV3" s="187">
        <v>2</v>
      </c>
      <c r="AW3" s="188">
        <v>2</v>
      </c>
      <c r="AX3" s="187">
        <v>0</v>
      </c>
      <c r="AY3" s="187">
        <v>0</v>
      </c>
      <c r="AZ3" s="187">
        <v>2</v>
      </c>
      <c r="BA3" s="187">
        <v>1</v>
      </c>
      <c r="BB3" s="187">
        <v>2</v>
      </c>
      <c r="BC3" s="187">
        <v>1</v>
      </c>
      <c r="BD3" s="187">
        <v>2</v>
      </c>
      <c r="BE3" s="187">
        <v>1</v>
      </c>
      <c r="BF3" s="187">
        <v>2</v>
      </c>
      <c r="BG3" s="187">
        <v>1</v>
      </c>
      <c r="BH3" s="187">
        <v>0</v>
      </c>
      <c r="BI3" s="188">
        <v>0</v>
      </c>
      <c r="BJ3" s="187">
        <v>0</v>
      </c>
      <c r="BK3" s="187">
        <v>0</v>
      </c>
      <c r="BL3" s="187">
        <v>3</v>
      </c>
      <c r="BM3" s="187">
        <v>0</v>
      </c>
      <c r="BN3" s="187">
        <v>0</v>
      </c>
      <c r="BO3" s="187">
        <v>3</v>
      </c>
      <c r="BP3" s="187">
        <v>0</v>
      </c>
      <c r="BQ3" s="187">
        <v>0</v>
      </c>
      <c r="BR3" s="187">
        <v>2</v>
      </c>
      <c r="BS3" s="187">
        <v>0</v>
      </c>
      <c r="BT3" s="187">
        <v>0</v>
      </c>
      <c r="BU3" s="188">
        <v>0</v>
      </c>
      <c r="BV3" s="187">
        <v>0</v>
      </c>
      <c r="BW3" s="187">
        <v>0</v>
      </c>
      <c r="BX3" s="187">
        <v>2</v>
      </c>
      <c r="BY3" s="187">
        <v>0</v>
      </c>
      <c r="BZ3" s="187">
        <v>0</v>
      </c>
      <c r="CA3" s="187">
        <v>2</v>
      </c>
      <c r="CB3" s="187">
        <v>0</v>
      </c>
      <c r="CC3" s="187">
        <v>0</v>
      </c>
      <c r="CD3" s="187">
        <v>2</v>
      </c>
      <c r="CE3" s="187">
        <v>0</v>
      </c>
      <c r="CF3" s="187">
        <v>0</v>
      </c>
      <c r="CG3" s="188">
        <v>0</v>
      </c>
      <c r="CH3" s="187">
        <v>0</v>
      </c>
      <c r="CI3" s="187">
        <v>0</v>
      </c>
      <c r="CJ3" s="187">
        <v>2</v>
      </c>
      <c r="CK3" s="187">
        <v>0</v>
      </c>
      <c r="CL3" s="187">
        <v>0</v>
      </c>
      <c r="CM3" s="187">
        <v>2</v>
      </c>
      <c r="CN3" s="187">
        <v>0</v>
      </c>
      <c r="CO3" s="187">
        <v>0</v>
      </c>
      <c r="CP3" s="187">
        <v>2</v>
      </c>
      <c r="CQ3" s="187">
        <v>0</v>
      </c>
      <c r="CR3" s="187">
        <v>0</v>
      </c>
      <c r="CS3" s="188">
        <v>0</v>
      </c>
    </row>
    <row r="4" spans="1:98" s="187" customFormat="1" ht="15.75" x14ac:dyDescent="0.25">
      <c r="A4" s="187" t="s">
        <v>190</v>
      </c>
      <c r="B4" s="187">
        <v>0</v>
      </c>
      <c r="C4" s="187">
        <v>0</v>
      </c>
      <c r="D4" s="187">
        <v>0</v>
      </c>
      <c r="E4" s="187">
        <v>0</v>
      </c>
      <c r="F4" s="187">
        <v>0</v>
      </c>
      <c r="G4" s="187">
        <v>0</v>
      </c>
      <c r="H4" s="187">
        <v>0</v>
      </c>
      <c r="I4" s="187">
        <v>0</v>
      </c>
      <c r="J4" s="187">
        <v>0</v>
      </c>
      <c r="K4" s="187">
        <v>0</v>
      </c>
      <c r="L4" s="187">
        <v>0</v>
      </c>
      <c r="M4" s="188">
        <v>0</v>
      </c>
      <c r="N4" s="189">
        <v>0</v>
      </c>
      <c r="O4" s="189">
        <v>0</v>
      </c>
      <c r="P4" s="189">
        <v>0</v>
      </c>
      <c r="Q4" s="189">
        <v>0</v>
      </c>
      <c r="R4" s="189">
        <v>0</v>
      </c>
      <c r="S4" s="189">
        <v>0</v>
      </c>
      <c r="T4" s="189">
        <v>1</v>
      </c>
      <c r="U4" s="189">
        <v>7</v>
      </c>
      <c r="V4" s="187">
        <v>8</v>
      </c>
      <c r="W4" s="187">
        <v>10</v>
      </c>
      <c r="X4" s="187">
        <v>12</v>
      </c>
      <c r="Y4" s="188">
        <v>14</v>
      </c>
      <c r="Z4" s="187">
        <v>14</v>
      </c>
      <c r="AA4" s="187">
        <v>14</v>
      </c>
      <c r="AB4" s="187">
        <v>17</v>
      </c>
      <c r="AC4" s="187">
        <v>20</v>
      </c>
      <c r="AD4" s="187">
        <v>23</v>
      </c>
      <c r="AE4" s="187">
        <v>27</v>
      </c>
      <c r="AF4" s="187">
        <v>29</v>
      </c>
      <c r="AG4" s="187">
        <v>31</v>
      </c>
      <c r="AH4" s="187">
        <v>34</v>
      </c>
      <c r="AI4" s="187">
        <v>36</v>
      </c>
      <c r="AJ4" s="187">
        <v>38</v>
      </c>
      <c r="AK4" s="188">
        <v>40</v>
      </c>
      <c r="AL4" s="187">
        <v>40</v>
      </c>
      <c r="AM4" s="187">
        <v>40</v>
      </c>
      <c r="AN4" s="187">
        <v>44</v>
      </c>
      <c r="AO4" s="187">
        <v>46</v>
      </c>
      <c r="AP4" s="187">
        <v>50</v>
      </c>
      <c r="AQ4" s="187">
        <v>54</v>
      </c>
      <c r="AR4" s="187">
        <v>56</v>
      </c>
      <c r="AS4" s="187">
        <v>58</v>
      </c>
      <c r="AT4" s="187">
        <v>62</v>
      </c>
      <c r="AU4" s="187">
        <v>64</v>
      </c>
      <c r="AV4" s="187">
        <v>66</v>
      </c>
      <c r="AW4" s="188">
        <v>68</v>
      </c>
      <c r="AX4" s="187">
        <v>68</v>
      </c>
      <c r="AY4" s="187">
        <v>68</v>
      </c>
      <c r="AZ4" s="187">
        <v>70</v>
      </c>
      <c r="BA4" s="187">
        <v>71</v>
      </c>
      <c r="BB4" s="187">
        <v>73</v>
      </c>
      <c r="BC4" s="187">
        <v>74</v>
      </c>
      <c r="BD4" s="187">
        <v>76</v>
      </c>
      <c r="BE4" s="187">
        <v>77</v>
      </c>
      <c r="BF4" s="187">
        <v>79</v>
      </c>
      <c r="BG4" s="187">
        <v>80</v>
      </c>
      <c r="BH4" s="187">
        <v>80</v>
      </c>
      <c r="BI4" s="188">
        <v>80</v>
      </c>
      <c r="BJ4" s="187">
        <v>80</v>
      </c>
      <c r="BK4" s="187">
        <v>80</v>
      </c>
      <c r="BL4" s="187">
        <v>83</v>
      </c>
      <c r="BM4" s="187">
        <v>83</v>
      </c>
      <c r="BN4" s="187">
        <v>83</v>
      </c>
      <c r="BO4" s="187">
        <v>86</v>
      </c>
      <c r="BP4" s="187">
        <v>86</v>
      </c>
      <c r="BQ4" s="187">
        <v>86</v>
      </c>
      <c r="BR4" s="187">
        <v>88</v>
      </c>
      <c r="BS4" s="187">
        <v>88</v>
      </c>
      <c r="BT4" s="187">
        <v>88</v>
      </c>
      <c r="BU4" s="188">
        <v>88</v>
      </c>
      <c r="BV4" s="187">
        <v>88</v>
      </c>
      <c r="BW4" s="187">
        <v>88</v>
      </c>
      <c r="BX4" s="187">
        <v>90</v>
      </c>
      <c r="BY4" s="187">
        <v>90</v>
      </c>
      <c r="BZ4" s="187">
        <v>90</v>
      </c>
      <c r="CA4" s="187">
        <v>92</v>
      </c>
      <c r="CB4" s="187">
        <v>92</v>
      </c>
      <c r="CC4" s="187">
        <v>92</v>
      </c>
      <c r="CD4" s="187">
        <v>94</v>
      </c>
      <c r="CE4" s="187">
        <v>94</v>
      </c>
      <c r="CF4" s="187">
        <v>94</v>
      </c>
      <c r="CG4" s="188">
        <v>94</v>
      </c>
      <c r="CH4" s="187">
        <v>94</v>
      </c>
      <c r="CI4" s="187">
        <v>94</v>
      </c>
      <c r="CJ4" s="187">
        <v>96</v>
      </c>
      <c r="CK4" s="187">
        <v>96</v>
      </c>
      <c r="CL4" s="187">
        <v>96</v>
      </c>
      <c r="CM4" s="187">
        <v>98</v>
      </c>
      <c r="CN4" s="187">
        <v>98</v>
      </c>
      <c r="CO4" s="187">
        <v>98</v>
      </c>
      <c r="CP4" s="187">
        <v>100</v>
      </c>
      <c r="CQ4" s="187">
        <v>100</v>
      </c>
      <c r="CR4" s="187">
        <v>100</v>
      </c>
      <c r="CS4" s="188">
        <v>100</v>
      </c>
    </row>
    <row r="5" spans="1:98" s="194" customFormat="1" x14ac:dyDescent="0.25">
      <c r="A5" s="72"/>
      <c r="B5" s="72">
        <v>1</v>
      </c>
      <c r="C5" s="190">
        <v>2</v>
      </c>
      <c r="D5" s="72">
        <v>3</v>
      </c>
      <c r="E5" s="190">
        <v>4</v>
      </c>
      <c r="F5" s="72">
        <v>5</v>
      </c>
      <c r="G5" s="72">
        <v>6</v>
      </c>
      <c r="H5" s="190">
        <v>7</v>
      </c>
      <c r="I5" s="72">
        <v>8</v>
      </c>
      <c r="J5" s="190">
        <v>9</v>
      </c>
      <c r="K5" s="72">
        <v>10</v>
      </c>
      <c r="L5" s="72">
        <v>11</v>
      </c>
      <c r="M5" s="191">
        <v>12</v>
      </c>
      <c r="N5" s="192">
        <v>1</v>
      </c>
      <c r="O5" s="193">
        <v>2</v>
      </c>
      <c r="P5" s="192">
        <v>3</v>
      </c>
      <c r="Q5" s="193">
        <v>4</v>
      </c>
      <c r="R5" s="192">
        <v>5</v>
      </c>
      <c r="S5" s="193">
        <v>6</v>
      </c>
      <c r="T5" s="192">
        <v>7</v>
      </c>
      <c r="U5" s="193">
        <v>8</v>
      </c>
      <c r="V5" s="72">
        <v>9</v>
      </c>
      <c r="W5" s="190">
        <v>10</v>
      </c>
      <c r="X5" s="72">
        <v>11</v>
      </c>
      <c r="Y5" s="191">
        <v>12</v>
      </c>
      <c r="Z5" s="72">
        <v>13</v>
      </c>
      <c r="AA5" s="190">
        <v>14</v>
      </c>
      <c r="AB5" s="72">
        <v>15</v>
      </c>
      <c r="AC5" s="190">
        <v>16</v>
      </c>
      <c r="AD5" s="72">
        <v>17</v>
      </c>
      <c r="AE5" s="190">
        <v>18</v>
      </c>
      <c r="AF5" s="72">
        <v>19</v>
      </c>
      <c r="AG5" s="190">
        <v>20</v>
      </c>
      <c r="AH5" s="72">
        <v>21</v>
      </c>
      <c r="AI5" s="190">
        <v>22</v>
      </c>
      <c r="AJ5" s="72">
        <v>23</v>
      </c>
      <c r="AK5" s="191">
        <v>24</v>
      </c>
      <c r="AL5" s="72">
        <v>25</v>
      </c>
      <c r="AM5" s="190">
        <v>26</v>
      </c>
      <c r="AN5" s="72">
        <v>27</v>
      </c>
      <c r="AO5" s="190">
        <v>28</v>
      </c>
      <c r="AP5" s="72">
        <v>29</v>
      </c>
      <c r="AQ5" s="190">
        <v>30</v>
      </c>
      <c r="AR5" s="72">
        <v>31</v>
      </c>
      <c r="AS5" s="190">
        <v>32</v>
      </c>
      <c r="AT5" s="72">
        <v>33</v>
      </c>
      <c r="AU5" s="190">
        <v>34</v>
      </c>
      <c r="AV5" s="72">
        <v>35</v>
      </c>
      <c r="AW5" s="191">
        <v>36</v>
      </c>
      <c r="AX5" s="72">
        <v>37</v>
      </c>
      <c r="AY5" s="190">
        <v>38</v>
      </c>
      <c r="AZ5" s="72">
        <v>39</v>
      </c>
      <c r="BA5" s="190">
        <v>40</v>
      </c>
      <c r="BB5" s="72">
        <v>41</v>
      </c>
      <c r="BC5" s="190">
        <v>42</v>
      </c>
      <c r="BD5" s="72">
        <v>43</v>
      </c>
      <c r="BE5" s="190">
        <v>44</v>
      </c>
      <c r="BF5" s="72">
        <v>45</v>
      </c>
      <c r="BG5" s="190">
        <v>46</v>
      </c>
      <c r="BH5" s="72">
        <v>47</v>
      </c>
      <c r="BI5" s="191">
        <v>48</v>
      </c>
      <c r="BJ5" s="72">
        <v>49</v>
      </c>
      <c r="BK5" s="190">
        <v>50</v>
      </c>
      <c r="BL5" s="72">
        <v>51</v>
      </c>
      <c r="BM5" s="190">
        <v>52</v>
      </c>
      <c r="BN5" s="72">
        <v>53</v>
      </c>
      <c r="BO5" s="190">
        <v>54</v>
      </c>
      <c r="BP5" s="72">
        <v>55</v>
      </c>
      <c r="BQ5" s="190">
        <v>56</v>
      </c>
      <c r="BR5" s="72">
        <v>57</v>
      </c>
      <c r="BS5" s="190">
        <v>58</v>
      </c>
      <c r="BT5" s="72">
        <v>59</v>
      </c>
      <c r="BU5" s="191">
        <v>60</v>
      </c>
      <c r="BV5" s="72">
        <v>61</v>
      </c>
      <c r="BW5" s="190">
        <v>62</v>
      </c>
      <c r="BX5" s="72">
        <v>63</v>
      </c>
      <c r="BY5" s="190">
        <v>64</v>
      </c>
      <c r="BZ5" s="72">
        <v>65</v>
      </c>
      <c r="CA5" s="190">
        <v>66</v>
      </c>
      <c r="CB5" s="72">
        <v>67</v>
      </c>
      <c r="CC5" s="190">
        <v>68</v>
      </c>
      <c r="CD5" s="72">
        <v>69</v>
      </c>
      <c r="CE5" s="190">
        <v>70</v>
      </c>
      <c r="CF5" s="72">
        <v>71</v>
      </c>
      <c r="CG5" s="191">
        <v>72</v>
      </c>
      <c r="CH5" s="72">
        <v>73</v>
      </c>
      <c r="CI5" s="190">
        <v>74</v>
      </c>
      <c r="CJ5" s="72">
        <v>75</v>
      </c>
      <c r="CK5" s="190">
        <v>76</v>
      </c>
      <c r="CL5" s="72">
        <v>77</v>
      </c>
      <c r="CM5" s="190">
        <v>78</v>
      </c>
      <c r="CN5" s="72">
        <v>79</v>
      </c>
      <c r="CO5" s="190">
        <v>80</v>
      </c>
      <c r="CP5" s="72">
        <v>81</v>
      </c>
      <c r="CQ5" s="190">
        <v>82</v>
      </c>
      <c r="CR5" s="72">
        <v>83</v>
      </c>
      <c r="CS5" s="191">
        <v>84</v>
      </c>
      <c r="CT5" s="190"/>
    </row>
    <row r="6" spans="1:98" s="195" customFormat="1" x14ac:dyDescent="0.25">
      <c r="A6" s="195" t="s">
        <v>191</v>
      </c>
      <c r="B6" s="195">
        <v>42005</v>
      </c>
      <c r="C6" s="195">
        <v>42036</v>
      </c>
      <c r="D6" s="195">
        <v>42064</v>
      </c>
      <c r="E6" s="195">
        <v>42095</v>
      </c>
      <c r="F6" s="195">
        <v>42125</v>
      </c>
      <c r="G6" s="195">
        <v>42156</v>
      </c>
      <c r="H6" s="195">
        <v>42186</v>
      </c>
      <c r="I6" s="195">
        <v>42217</v>
      </c>
      <c r="J6" s="195">
        <v>42248</v>
      </c>
      <c r="K6" s="195">
        <v>42278</v>
      </c>
      <c r="L6" s="195">
        <v>42309</v>
      </c>
      <c r="M6" s="196">
        <v>42339</v>
      </c>
      <c r="N6" s="197">
        <v>42370</v>
      </c>
      <c r="O6" s="197">
        <v>42401</v>
      </c>
      <c r="P6" s="197">
        <v>42430</v>
      </c>
      <c r="Q6" s="197">
        <v>42461</v>
      </c>
      <c r="R6" s="197">
        <v>42491</v>
      </c>
      <c r="S6" s="197">
        <v>42522</v>
      </c>
      <c r="T6" s="197">
        <v>42552</v>
      </c>
      <c r="U6" s="197">
        <v>42583</v>
      </c>
      <c r="V6" s="195">
        <v>42614</v>
      </c>
      <c r="W6" s="195">
        <v>42644</v>
      </c>
      <c r="X6" s="195">
        <v>42675</v>
      </c>
      <c r="Y6" s="196">
        <v>42705</v>
      </c>
      <c r="Z6" s="195">
        <v>42752</v>
      </c>
      <c r="AA6" s="195">
        <v>42783</v>
      </c>
      <c r="AB6" s="195">
        <v>42811</v>
      </c>
      <c r="AC6" s="195">
        <v>42842</v>
      </c>
      <c r="AD6" s="195">
        <v>42872</v>
      </c>
      <c r="AE6" s="195">
        <v>42903</v>
      </c>
      <c r="AF6" s="195">
        <v>42933</v>
      </c>
      <c r="AG6" s="195">
        <v>42964</v>
      </c>
      <c r="AH6" s="195">
        <v>42995</v>
      </c>
      <c r="AI6" s="195">
        <v>43025</v>
      </c>
      <c r="AJ6" s="195">
        <v>43056</v>
      </c>
      <c r="AK6" s="196">
        <v>43086</v>
      </c>
      <c r="AL6" s="195">
        <v>43118</v>
      </c>
      <c r="AM6" s="195">
        <v>43149</v>
      </c>
      <c r="AN6" s="195">
        <v>43177</v>
      </c>
      <c r="AO6" s="195">
        <v>43208</v>
      </c>
      <c r="AP6" s="195">
        <v>43238</v>
      </c>
      <c r="AQ6" s="195">
        <v>43269</v>
      </c>
      <c r="AR6" s="195">
        <v>43299</v>
      </c>
      <c r="AS6" s="195">
        <v>43330</v>
      </c>
      <c r="AT6" s="195">
        <v>43361</v>
      </c>
      <c r="AU6" s="195">
        <v>43391</v>
      </c>
      <c r="AV6" s="195">
        <v>43422</v>
      </c>
      <c r="AW6" s="196">
        <v>43452</v>
      </c>
      <c r="AX6" s="195">
        <v>43483</v>
      </c>
      <c r="AY6" s="195">
        <v>43514</v>
      </c>
      <c r="AZ6" s="195">
        <v>43542</v>
      </c>
      <c r="BA6" s="195">
        <v>43573</v>
      </c>
      <c r="BB6" s="195">
        <v>43603</v>
      </c>
      <c r="BC6" s="195">
        <v>43634</v>
      </c>
      <c r="BD6" s="195">
        <v>43664</v>
      </c>
      <c r="BE6" s="195">
        <v>43695</v>
      </c>
      <c r="BF6" s="195">
        <v>43726</v>
      </c>
      <c r="BG6" s="195">
        <v>43756</v>
      </c>
      <c r="BH6" s="195">
        <v>43787</v>
      </c>
      <c r="BI6" s="196">
        <v>43817</v>
      </c>
      <c r="BJ6" s="195">
        <v>43848</v>
      </c>
      <c r="BK6" s="195">
        <v>43879</v>
      </c>
      <c r="BL6" s="195">
        <v>43908</v>
      </c>
      <c r="BM6" s="195">
        <v>43939</v>
      </c>
      <c r="BN6" s="195">
        <v>43969</v>
      </c>
      <c r="BO6" s="195">
        <v>44000</v>
      </c>
      <c r="BP6" s="195">
        <v>44030</v>
      </c>
      <c r="BQ6" s="195">
        <v>44061</v>
      </c>
      <c r="BR6" s="195">
        <v>44092</v>
      </c>
      <c r="BS6" s="195">
        <v>44122</v>
      </c>
      <c r="BT6" s="195">
        <v>44153</v>
      </c>
      <c r="BU6" s="196">
        <v>44183</v>
      </c>
      <c r="BV6" s="195">
        <v>44214</v>
      </c>
      <c r="BW6" s="195">
        <v>44245</v>
      </c>
      <c r="BX6" s="195">
        <v>44273</v>
      </c>
      <c r="BY6" s="195">
        <v>44304</v>
      </c>
      <c r="BZ6" s="195">
        <v>44334</v>
      </c>
      <c r="CA6" s="195">
        <v>44365</v>
      </c>
      <c r="CB6" s="195">
        <v>44395</v>
      </c>
      <c r="CC6" s="195">
        <v>44426</v>
      </c>
      <c r="CD6" s="195">
        <v>44457</v>
      </c>
      <c r="CE6" s="195">
        <v>44487</v>
      </c>
      <c r="CF6" s="195">
        <v>44518</v>
      </c>
      <c r="CG6" s="196">
        <v>44548</v>
      </c>
      <c r="CH6" s="195">
        <v>44579</v>
      </c>
      <c r="CI6" s="195">
        <v>44610</v>
      </c>
      <c r="CJ6" s="195">
        <v>44638</v>
      </c>
      <c r="CK6" s="195">
        <v>44669</v>
      </c>
      <c r="CL6" s="195">
        <v>44699</v>
      </c>
      <c r="CM6" s="195">
        <v>44730</v>
      </c>
      <c r="CN6" s="195">
        <v>44760</v>
      </c>
      <c r="CO6" s="195">
        <v>44791</v>
      </c>
      <c r="CP6" s="195">
        <v>44822</v>
      </c>
      <c r="CQ6" s="195">
        <v>44852</v>
      </c>
      <c r="CR6" s="195">
        <v>44883</v>
      </c>
      <c r="CS6" s="196">
        <v>44913</v>
      </c>
    </row>
    <row r="7" spans="1:98" s="198" customFormat="1" x14ac:dyDescent="0.25">
      <c r="A7" s="198" t="s">
        <v>192</v>
      </c>
      <c r="B7" s="198">
        <v>0</v>
      </c>
      <c r="C7" s="198">
        <v>0</v>
      </c>
      <c r="D7" s="198">
        <v>0</v>
      </c>
      <c r="E7" s="198">
        <v>0</v>
      </c>
      <c r="F7" s="198">
        <v>0</v>
      </c>
      <c r="G7" s="198">
        <v>0</v>
      </c>
      <c r="H7" s="198">
        <v>0</v>
      </c>
      <c r="I7" s="198">
        <v>0</v>
      </c>
      <c r="J7" s="198">
        <v>0</v>
      </c>
      <c r="K7" s="198">
        <v>0</v>
      </c>
      <c r="L7" s="198">
        <v>0</v>
      </c>
      <c r="M7" s="199">
        <v>0</v>
      </c>
      <c r="N7" s="200">
        <v>503</v>
      </c>
      <c r="O7" s="200">
        <v>509</v>
      </c>
      <c r="P7" s="200">
        <v>533</v>
      </c>
      <c r="Q7" s="200">
        <v>593</v>
      </c>
      <c r="R7" s="200">
        <v>653</v>
      </c>
      <c r="S7" s="200">
        <v>760</v>
      </c>
      <c r="T7" s="200">
        <v>1314</v>
      </c>
      <c r="U7" s="200">
        <v>1324.56</v>
      </c>
      <c r="V7" s="198">
        <v>1437.3344</v>
      </c>
      <c r="W7" s="198">
        <v>1563.3810559999999</v>
      </c>
      <c r="X7" s="198">
        <v>1627.5781987999999</v>
      </c>
      <c r="Y7" s="199">
        <v>1763.917816812</v>
      </c>
      <c r="Z7" s="198">
        <v>1902.2251123898</v>
      </c>
      <c r="AA7" s="198">
        <v>1794.5917037284321</v>
      </c>
      <c r="AB7" s="198">
        <v>1871.8082502962395</v>
      </c>
      <c r="AC7" s="198">
        <v>1973.9888797338533</v>
      </c>
      <c r="AD7" s="198">
        <v>1902.2907117976906</v>
      </c>
      <c r="AE7" s="198">
        <v>2014.9190846447136</v>
      </c>
      <c r="AF7" s="198">
        <v>2148.3476767016191</v>
      </c>
      <c r="AG7" s="198">
        <v>2071.9648378944012</v>
      </c>
      <c r="AH7" s="198">
        <v>2188.0217551482751</v>
      </c>
      <c r="AI7" s="198">
        <v>2331.1422846074338</v>
      </c>
      <c r="AJ7" s="198">
        <v>2260.6748094943923</v>
      </c>
      <c r="AK7" s="199">
        <v>2380.5711328942421</v>
      </c>
      <c r="AL7" s="198">
        <v>2508.4328014594726</v>
      </c>
      <c r="AM7" s="198">
        <v>2289.1546070332602</v>
      </c>
      <c r="AN7" s="198">
        <v>2386.7396839991425</v>
      </c>
      <c r="AO7" s="198">
        <v>2528.294977098024</v>
      </c>
      <c r="AP7" s="198">
        <v>2422.5563880956151</v>
      </c>
      <c r="AQ7" s="198">
        <v>2544.4695236540347</v>
      </c>
      <c r="AR7" s="198">
        <v>2669.8391682070082</v>
      </c>
      <c r="AS7" s="198">
        <v>2540.6157367821479</v>
      </c>
      <c r="AT7" s="198">
        <v>2670.3102771527074</v>
      </c>
      <c r="AU7" s="198">
        <v>2806.5099599594637</v>
      </c>
      <c r="AV7" s="198">
        <v>2678.062118017031</v>
      </c>
      <c r="AW7" s="199">
        <v>2819.3515109248856</v>
      </c>
      <c r="AX7" s="198">
        <v>2964.6959881171629</v>
      </c>
      <c r="AY7" s="198">
        <v>2855.9045028370383</v>
      </c>
      <c r="AZ7" s="198">
        <v>2969.1573502752522</v>
      </c>
      <c r="BA7" s="198">
        <v>3124.6166844600571</v>
      </c>
      <c r="BB7" s="198">
        <v>3012.8163962278068</v>
      </c>
      <c r="BC7" s="198">
        <v>3130.6325119933836</v>
      </c>
      <c r="BD7" s="198">
        <v>3253.6273928978044</v>
      </c>
      <c r="BE7" s="198">
        <v>3130.7841276462359</v>
      </c>
      <c r="BF7" s="198">
        <v>3261.9159261127552</v>
      </c>
      <c r="BG7" s="198">
        <v>3401.3886465521564</v>
      </c>
      <c r="BH7" s="198">
        <v>3292.8239878097174</v>
      </c>
      <c r="BI7" s="199">
        <v>3440.7144052897693</v>
      </c>
      <c r="BJ7" s="198">
        <v>3592.8349340910254</v>
      </c>
      <c r="BK7" s="198">
        <v>3408.4651119834057</v>
      </c>
      <c r="BL7" s="198">
        <v>3546.9729278309496</v>
      </c>
      <c r="BM7" s="198">
        <v>3687.2732046799138</v>
      </c>
      <c r="BN7" s="198">
        <v>3487.9970077389539</v>
      </c>
      <c r="BO7" s="198">
        <v>3608.6772365453376</v>
      </c>
      <c r="BP7" s="198">
        <v>3733.8339001660383</v>
      </c>
      <c r="BQ7" s="198">
        <v>3528.0869897445214</v>
      </c>
      <c r="BR7" s="198">
        <v>3660.766127729381</v>
      </c>
      <c r="BS7" s="198">
        <v>3801.0644166598545</v>
      </c>
      <c r="BT7" s="198">
        <v>3606.2783446071007</v>
      </c>
      <c r="BU7" s="199">
        <v>3753.5913344191376</v>
      </c>
      <c r="BV7" s="198">
        <v>3905.075736917478</v>
      </c>
      <c r="BW7" s="198">
        <v>3779.1380779539809</v>
      </c>
      <c r="BX7" s="198">
        <v>3934.7176060128349</v>
      </c>
      <c r="BY7" s="198">
        <v>4091.1511407309595</v>
      </c>
      <c r="BZ7" s="198">
        <v>3932.3135561681952</v>
      </c>
      <c r="CA7" s="198">
        <v>4065.135848838911</v>
      </c>
      <c r="CB7" s="198">
        <v>4202.8966492341387</v>
      </c>
      <c r="CC7" s="198">
        <v>4027.290993902981</v>
      </c>
      <c r="CD7" s="198">
        <v>4172.6170711784689</v>
      </c>
      <c r="CE7" s="198">
        <v>4326.7007758957643</v>
      </c>
      <c r="CF7" s="198">
        <v>4168.3776957305508</v>
      </c>
      <c r="CG7" s="199">
        <v>4330.2837370420857</v>
      </c>
      <c r="CH7" s="198">
        <v>4497.143389184972</v>
      </c>
      <c r="CI7" s="198">
        <v>4344.0406589412187</v>
      </c>
      <c r="CJ7" s="198">
        <v>4516.958135363926</v>
      </c>
      <c r="CK7" s="198">
        <v>4691.3300342061957</v>
      </c>
      <c r="CL7" s="198">
        <v>4504.7536413917023</v>
      </c>
      <c r="CM7" s="198">
        <v>4653.1811352332334</v>
      </c>
      <c r="CN7" s="198">
        <v>4807.8294953832083</v>
      </c>
      <c r="CO7" s="198">
        <v>4605.5150950151065</v>
      </c>
      <c r="CP7" s="198">
        <v>4769.2967123017943</v>
      </c>
      <c r="CQ7" s="198">
        <v>4943.1816042129967</v>
      </c>
      <c r="CR7" s="198">
        <v>4761.5786771563662</v>
      </c>
      <c r="CS7" s="199">
        <v>4944.7714556759947</v>
      </c>
    </row>
    <row r="8" spans="1:98" s="201" customFormat="1" x14ac:dyDescent="0.25">
      <c r="A8" s="201" t="s">
        <v>193</v>
      </c>
      <c r="B8" s="201">
        <v>0</v>
      </c>
      <c r="C8" s="201">
        <v>0</v>
      </c>
      <c r="D8" s="201">
        <v>0</v>
      </c>
      <c r="E8" s="201">
        <v>96</v>
      </c>
      <c r="F8" s="201">
        <v>66</v>
      </c>
      <c r="G8" s="201">
        <v>80</v>
      </c>
      <c r="H8" s="201">
        <v>72</v>
      </c>
      <c r="I8" s="201">
        <v>78</v>
      </c>
      <c r="J8" s="201">
        <v>134</v>
      </c>
      <c r="K8" s="201">
        <v>66</v>
      </c>
      <c r="L8" s="201">
        <v>98</v>
      </c>
      <c r="M8" s="202">
        <v>64</v>
      </c>
      <c r="N8" s="200">
        <v>14</v>
      </c>
      <c r="O8" s="200">
        <v>10</v>
      </c>
      <c r="P8" s="200">
        <v>65</v>
      </c>
      <c r="Q8" s="200">
        <v>74</v>
      </c>
      <c r="R8" s="200">
        <v>130</v>
      </c>
      <c r="S8" s="200">
        <v>180</v>
      </c>
      <c r="T8" s="200">
        <v>103</v>
      </c>
      <c r="U8" s="200">
        <v>95</v>
      </c>
      <c r="V8" s="201">
        <v>95</v>
      </c>
      <c r="W8" s="201">
        <v>100</v>
      </c>
      <c r="X8" s="201">
        <v>100</v>
      </c>
      <c r="Y8" s="202">
        <v>95</v>
      </c>
      <c r="Z8" s="299">
        <v>20</v>
      </c>
      <c r="AA8" s="299">
        <v>20</v>
      </c>
      <c r="AB8" s="299">
        <v>40</v>
      </c>
      <c r="AC8" s="299">
        <v>50</v>
      </c>
      <c r="AD8" s="299">
        <v>55</v>
      </c>
      <c r="AE8" s="299">
        <v>55</v>
      </c>
      <c r="AF8" s="299">
        <v>55</v>
      </c>
      <c r="AG8" s="299">
        <v>55</v>
      </c>
      <c r="AH8" s="299">
        <v>55</v>
      </c>
      <c r="AI8" s="299">
        <v>55</v>
      </c>
      <c r="AJ8" s="299">
        <v>45</v>
      </c>
      <c r="AK8" s="300">
        <v>45</v>
      </c>
      <c r="AL8" s="201">
        <v>20</v>
      </c>
      <c r="AM8" s="201">
        <v>20</v>
      </c>
      <c r="AN8" s="201">
        <v>60</v>
      </c>
      <c r="AO8" s="201">
        <v>60</v>
      </c>
      <c r="AP8" s="201">
        <v>55</v>
      </c>
      <c r="AQ8" s="201">
        <v>55</v>
      </c>
      <c r="AR8" s="201">
        <v>55</v>
      </c>
      <c r="AS8" s="201">
        <v>55</v>
      </c>
      <c r="AT8" s="201">
        <v>55</v>
      </c>
      <c r="AU8" s="201">
        <v>55</v>
      </c>
      <c r="AV8" s="201">
        <v>55</v>
      </c>
      <c r="AW8" s="202">
        <v>55</v>
      </c>
      <c r="AX8" s="201">
        <v>20</v>
      </c>
      <c r="AY8" s="201">
        <v>20</v>
      </c>
      <c r="AZ8" s="201">
        <v>60</v>
      </c>
      <c r="BA8" s="201">
        <v>40</v>
      </c>
      <c r="BB8" s="201">
        <v>40</v>
      </c>
      <c r="BC8" s="201">
        <v>40</v>
      </c>
      <c r="BD8" s="201">
        <v>40</v>
      </c>
      <c r="BE8" s="201">
        <v>40</v>
      </c>
      <c r="BF8" s="201">
        <v>40</v>
      </c>
      <c r="BG8" s="201">
        <v>40</v>
      </c>
      <c r="BH8" s="201">
        <v>40</v>
      </c>
      <c r="BI8" s="202">
        <v>40</v>
      </c>
      <c r="BJ8" s="201">
        <v>20</v>
      </c>
      <c r="BK8" s="201">
        <v>20</v>
      </c>
      <c r="BL8" s="201">
        <v>20</v>
      </c>
      <c r="BM8" s="201">
        <v>20</v>
      </c>
      <c r="BN8" s="201">
        <v>20</v>
      </c>
      <c r="BO8" s="201">
        <v>20</v>
      </c>
      <c r="BP8" s="201">
        <v>20</v>
      </c>
      <c r="BQ8" s="201">
        <v>20</v>
      </c>
      <c r="BR8" s="201">
        <v>20</v>
      </c>
      <c r="BS8" s="201">
        <v>20</v>
      </c>
      <c r="BT8" s="201">
        <v>20</v>
      </c>
      <c r="BU8" s="202">
        <v>20</v>
      </c>
      <c r="BV8" s="201">
        <v>20</v>
      </c>
      <c r="BW8" s="201">
        <v>20</v>
      </c>
      <c r="BX8" s="201">
        <v>20</v>
      </c>
      <c r="BY8" s="201">
        <v>20</v>
      </c>
      <c r="BZ8" s="201">
        <v>20</v>
      </c>
      <c r="CA8" s="201">
        <v>20</v>
      </c>
      <c r="CB8" s="201">
        <v>20</v>
      </c>
      <c r="CC8" s="201">
        <v>20</v>
      </c>
      <c r="CD8" s="201">
        <v>20</v>
      </c>
      <c r="CE8" s="201">
        <v>20</v>
      </c>
      <c r="CF8" s="201">
        <v>20</v>
      </c>
      <c r="CG8" s="202">
        <v>20</v>
      </c>
      <c r="CH8" s="201">
        <v>20</v>
      </c>
      <c r="CI8" s="201">
        <v>20</v>
      </c>
      <c r="CJ8" s="201">
        <v>20</v>
      </c>
      <c r="CK8" s="201">
        <v>20</v>
      </c>
      <c r="CL8" s="201">
        <v>20</v>
      </c>
      <c r="CM8" s="201">
        <v>20</v>
      </c>
      <c r="CN8" s="201">
        <v>20</v>
      </c>
      <c r="CO8" s="201">
        <v>20</v>
      </c>
      <c r="CP8" s="201">
        <v>20</v>
      </c>
      <c r="CQ8" s="201">
        <v>20</v>
      </c>
      <c r="CR8" s="201">
        <v>20</v>
      </c>
      <c r="CS8" s="202">
        <v>20</v>
      </c>
    </row>
    <row r="9" spans="1:98" s="201" customFormat="1" x14ac:dyDescent="0.25">
      <c r="A9" s="201" t="s">
        <v>194</v>
      </c>
      <c r="B9" s="201">
        <v>0</v>
      </c>
      <c r="C9" s="201">
        <v>0</v>
      </c>
      <c r="D9" s="201">
        <v>0</v>
      </c>
      <c r="E9" s="201">
        <v>0</v>
      </c>
      <c r="F9" s="201">
        <v>0</v>
      </c>
      <c r="G9" s="201">
        <v>0</v>
      </c>
      <c r="H9" s="201">
        <v>0</v>
      </c>
      <c r="I9" s="201">
        <v>0</v>
      </c>
      <c r="J9" s="201">
        <v>0</v>
      </c>
      <c r="K9" s="201">
        <v>0</v>
      </c>
      <c r="L9" s="201">
        <v>0</v>
      </c>
      <c r="M9" s="202">
        <v>0</v>
      </c>
      <c r="N9" s="200">
        <v>0</v>
      </c>
      <c r="O9" s="200">
        <v>0</v>
      </c>
      <c r="P9" s="200">
        <v>0</v>
      </c>
      <c r="Q9" s="200">
        <v>0</v>
      </c>
      <c r="R9" s="200">
        <v>0</v>
      </c>
      <c r="S9" s="200">
        <v>0</v>
      </c>
      <c r="T9" s="200">
        <v>23.759999999999998</v>
      </c>
      <c r="U9" s="200">
        <v>17.7744</v>
      </c>
      <c r="V9" s="201">
        <v>31.046656000000006</v>
      </c>
      <c r="W9" s="201">
        <v>48.82843416</v>
      </c>
      <c r="X9" s="201">
        <v>36.339618012000003</v>
      </c>
      <c r="Y9" s="202">
        <v>43.307295577800005</v>
      </c>
      <c r="Z9" s="201">
        <v>62.58910257761201</v>
      </c>
      <c r="AA9" s="201">
        <v>57.216546567807526</v>
      </c>
      <c r="AB9" s="201">
        <v>62.180629437613916</v>
      </c>
      <c r="AC9" s="201">
        <v>92.435333584820867</v>
      </c>
      <c r="AD9" s="201">
        <v>57.62837284702276</v>
      </c>
      <c r="AE9" s="201">
        <v>78.428592056905273</v>
      </c>
      <c r="AF9" s="201">
        <v>101.77458377421846</v>
      </c>
      <c r="AG9" s="201">
        <v>61.056917253874133</v>
      </c>
      <c r="AH9" s="201">
        <v>88.12052945915886</v>
      </c>
      <c r="AI9" s="201">
        <v>127.34926835440008</v>
      </c>
      <c r="AJ9" s="201">
        <v>74.896323399849678</v>
      </c>
      <c r="AK9" s="202">
        <v>82.861668565230701</v>
      </c>
      <c r="AL9" s="201">
        <v>72.156128426397061</v>
      </c>
      <c r="AM9" s="201">
        <v>77.585076965882251</v>
      </c>
      <c r="AN9" s="201">
        <v>81.555293098881236</v>
      </c>
      <c r="AO9" s="201">
        <v>87.090908707393538</v>
      </c>
      <c r="AP9" s="201">
        <v>66.913135558419498</v>
      </c>
      <c r="AQ9" s="201">
        <v>70.369644552973597</v>
      </c>
      <c r="AR9" s="201">
        <v>82.760485395840249</v>
      </c>
      <c r="AS9" s="201">
        <v>74.694540370559992</v>
      </c>
      <c r="AT9" s="201">
        <v>81.199682806755931</v>
      </c>
      <c r="AU9" s="201">
        <v>97.203154053513771</v>
      </c>
      <c r="AV9" s="201">
        <v>86.289392907854761</v>
      </c>
      <c r="AW9" s="202">
        <v>90.344477192277068</v>
      </c>
      <c r="AX9" s="201">
        <v>133.87156710045898</v>
      </c>
      <c r="AY9" s="201">
        <v>93.252847438213763</v>
      </c>
      <c r="AZ9" s="201">
        <v>95.459334184804845</v>
      </c>
      <c r="BA9" s="201">
        <v>125.08747121551076</v>
      </c>
      <c r="BB9" s="201">
        <v>77.816115765577109</v>
      </c>
      <c r="BC9" s="201">
        <v>82.99488090442091</v>
      </c>
      <c r="BD9" s="201">
        <v>125.53210816063103</v>
      </c>
      <c r="BE9" s="201">
        <v>91.1317984665192</v>
      </c>
      <c r="BF9" s="201">
        <v>99.472720439401087</v>
      </c>
      <c r="BG9" s="201">
        <v>152.85364378101889</v>
      </c>
      <c r="BH9" s="201">
        <v>107.89041748005178</v>
      </c>
      <c r="BI9" s="202">
        <v>112.12052880125633</v>
      </c>
      <c r="BJ9" s="201">
        <v>113.99898579835094</v>
      </c>
      <c r="BK9" s="201">
        <v>118.50781584754432</v>
      </c>
      <c r="BL9" s="201">
        <v>120.30027684896407</v>
      </c>
      <c r="BM9" s="201">
        <v>107.34099840640715</v>
      </c>
      <c r="BN9" s="201">
        <v>100.68022880638333</v>
      </c>
      <c r="BO9" s="201">
        <v>105.15666362070071</v>
      </c>
      <c r="BP9" s="201">
        <v>104.89436438097735</v>
      </c>
      <c r="BQ9" s="201">
        <v>112.67913798485935</v>
      </c>
      <c r="BR9" s="201">
        <v>120.29828893047346</v>
      </c>
      <c r="BS9" s="201">
        <v>121.54080016429927</v>
      </c>
      <c r="BT9" s="201">
        <v>127.31298981203685</v>
      </c>
      <c r="BU9" s="202">
        <v>131.48440249834073</v>
      </c>
      <c r="BV9" s="201">
        <v>199.36100496281205</v>
      </c>
      <c r="BW9" s="201">
        <v>135.57952805885378</v>
      </c>
      <c r="BX9" s="201">
        <v>136.43353471812472</v>
      </c>
      <c r="BY9" s="201">
        <v>182.78686427492383</v>
      </c>
      <c r="BZ9" s="201">
        <v>112.82229267071565</v>
      </c>
      <c r="CA9" s="201">
        <v>117.76080039522753</v>
      </c>
      <c r="CB9" s="201">
        <v>175.83601825998412</v>
      </c>
      <c r="CC9" s="201">
        <v>125.3260772754878</v>
      </c>
      <c r="CD9" s="201">
        <v>134.08370471729555</v>
      </c>
      <c r="CE9" s="201">
        <v>203.80395117021689</v>
      </c>
      <c r="CF9" s="201">
        <v>141.90604131153444</v>
      </c>
      <c r="CG9" s="202">
        <v>146.85965214288632</v>
      </c>
      <c r="CH9" s="201">
        <v>223.83934836660916</v>
      </c>
      <c r="CI9" s="201">
        <v>152.91747642270721</v>
      </c>
      <c r="CJ9" s="201">
        <v>154.37189884227013</v>
      </c>
      <c r="CK9" s="201">
        <v>207.382935304809</v>
      </c>
      <c r="CL9" s="201">
        <v>128.42749384153123</v>
      </c>
      <c r="CM9" s="201">
        <v>134.64836014997414</v>
      </c>
      <c r="CN9" s="201">
        <v>201.88931512422872</v>
      </c>
      <c r="CO9" s="201">
        <v>143.78161728668778</v>
      </c>
      <c r="CP9" s="201">
        <v>153.8848919112026</v>
      </c>
      <c r="CQ9" s="201">
        <v>234.28058817900637</v>
      </c>
      <c r="CR9" s="201">
        <v>163.19277851962869</v>
      </c>
      <c r="CS9" s="202">
        <v>169.1020530664162</v>
      </c>
    </row>
    <row r="10" spans="1:98" s="201" customFormat="1" x14ac:dyDescent="0.25">
      <c r="A10" s="201" t="s">
        <v>195</v>
      </c>
      <c r="B10" s="201">
        <v>0</v>
      </c>
      <c r="C10" s="201">
        <v>0</v>
      </c>
      <c r="D10" s="201">
        <v>0</v>
      </c>
      <c r="E10" s="201">
        <v>0</v>
      </c>
      <c r="F10" s="201">
        <v>0</v>
      </c>
      <c r="G10" s="201">
        <v>0</v>
      </c>
      <c r="H10" s="201">
        <v>0</v>
      </c>
      <c r="I10" s="201">
        <v>0</v>
      </c>
      <c r="J10" s="201">
        <v>0</v>
      </c>
      <c r="K10" s="201">
        <v>0</v>
      </c>
      <c r="L10" s="201">
        <v>0</v>
      </c>
      <c r="M10" s="202">
        <v>0</v>
      </c>
      <c r="N10" s="200">
        <v>0</v>
      </c>
      <c r="O10" s="200">
        <v>0</v>
      </c>
      <c r="P10" s="200">
        <v>0</v>
      </c>
      <c r="Q10" s="200">
        <v>0</v>
      </c>
      <c r="R10" s="200">
        <v>0</v>
      </c>
      <c r="S10" s="200">
        <v>0</v>
      </c>
      <c r="T10" s="200">
        <v>116.20000000000002</v>
      </c>
      <c r="U10" s="200">
        <v>0</v>
      </c>
      <c r="V10" s="201">
        <v>0</v>
      </c>
      <c r="W10" s="201">
        <v>84.631291360000006</v>
      </c>
      <c r="X10" s="201">
        <v>0</v>
      </c>
      <c r="Y10" s="202">
        <v>0</v>
      </c>
      <c r="Z10" s="201">
        <v>190.22251123898002</v>
      </c>
      <c r="AA10" s="201">
        <v>0</v>
      </c>
      <c r="AB10" s="201">
        <v>0</v>
      </c>
      <c r="AC10" s="201">
        <v>214.1335015209836</v>
      </c>
      <c r="AD10" s="201">
        <v>0</v>
      </c>
      <c r="AE10" s="201">
        <v>0</v>
      </c>
      <c r="AF10" s="201">
        <v>233.15742258143644</v>
      </c>
      <c r="AG10" s="201">
        <v>0</v>
      </c>
      <c r="AH10" s="201">
        <v>0</v>
      </c>
      <c r="AI10" s="201">
        <v>252.81674346744194</v>
      </c>
      <c r="AJ10" s="201">
        <v>0</v>
      </c>
      <c r="AK10" s="202">
        <v>0</v>
      </c>
      <c r="AL10" s="201">
        <v>311.4343228526094</v>
      </c>
      <c r="AM10" s="201">
        <v>0</v>
      </c>
      <c r="AN10" s="201">
        <v>0</v>
      </c>
      <c r="AO10" s="201">
        <v>252.82949770980241</v>
      </c>
      <c r="AP10" s="201">
        <v>0</v>
      </c>
      <c r="AQ10" s="201">
        <v>0</v>
      </c>
      <c r="AR10" s="201">
        <v>266.98391682070087</v>
      </c>
      <c r="AS10" s="201">
        <v>0</v>
      </c>
      <c r="AT10" s="201">
        <v>0</v>
      </c>
      <c r="AU10" s="201">
        <v>280.6509959959464</v>
      </c>
      <c r="AV10" s="201">
        <v>0</v>
      </c>
      <c r="AW10" s="202">
        <v>0</v>
      </c>
      <c r="AX10" s="201">
        <v>262.66305238058334</v>
      </c>
      <c r="AY10" s="201">
        <v>0</v>
      </c>
      <c r="AZ10" s="201">
        <v>0</v>
      </c>
      <c r="BA10" s="201">
        <v>276.88775944776114</v>
      </c>
      <c r="BB10" s="201">
        <v>0</v>
      </c>
      <c r="BC10" s="201">
        <v>0</v>
      </c>
      <c r="BD10" s="201">
        <v>288.37537341219968</v>
      </c>
      <c r="BE10" s="201">
        <v>0</v>
      </c>
      <c r="BF10" s="201">
        <v>0</v>
      </c>
      <c r="BG10" s="201">
        <v>301.41830252345756</v>
      </c>
      <c r="BH10" s="201">
        <v>0</v>
      </c>
      <c r="BI10" s="202">
        <v>0</v>
      </c>
      <c r="BJ10" s="201">
        <v>318.36880790597036</v>
      </c>
      <c r="BK10" s="201">
        <v>0</v>
      </c>
      <c r="BL10" s="201">
        <v>0</v>
      </c>
      <c r="BM10" s="201">
        <v>326.61719534736756</v>
      </c>
      <c r="BN10" s="201">
        <v>0</v>
      </c>
      <c r="BO10" s="201">
        <v>0</v>
      </c>
      <c r="BP10" s="201">
        <v>330.64127480249419</v>
      </c>
      <c r="BQ10" s="201">
        <v>0</v>
      </c>
      <c r="BR10" s="201">
        <v>0</v>
      </c>
      <c r="BS10" s="201">
        <v>336.32687221705316</v>
      </c>
      <c r="BT10" s="201">
        <v>0</v>
      </c>
      <c r="BU10" s="202">
        <v>0</v>
      </c>
      <c r="BV10" s="201">
        <v>345.29866392630913</v>
      </c>
      <c r="BW10" s="201">
        <v>0</v>
      </c>
      <c r="BX10" s="201">
        <v>0</v>
      </c>
      <c r="BY10" s="201">
        <v>361.62444883768808</v>
      </c>
      <c r="BZ10" s="201">
        <v>0</v>
      </c>
      <c r="CA10" s="201">
        <v>0</v>
      </c>
      <c r="CB10" s="201">
        <v>371.44167359114203</v>
      </c>
      <c r="CC10" s="201">
        <v>0</v>
      </c>
      <c r="CD10" s="201">
        <v>0</v>
      </c>
      <c r="CE10" s="201">
        <v>382.12703133542999</v>
      </c>
      <c r="CF10" s="201">
        <v>0</v>
      </c>
      <c r="CG10" s="202">
        <v>0</v>
      </c>
      <c r="CH10" s="201">
        <v>396.9420786103625</v>
      </c>
      <c r="CI10" s="201">
        <v>0</v>
      </c>
      <c r="CJ10" s="201">
        <v>0</v>
      </c>
      <c r="CK10" s="201">
        <v>413.95932811930277</v>
      </c>
      <c r="CL10" s="201">
        <v>0</v>
      </c>
      <c r="CM10" s="201">
        <v>0</v>
      </c>
      <c r="CN10" s="201">
        <v>424.20371549233028</v>
      </c>
      <c r="CO10" s="201">
        <v>0</v>
      </c>
      <c r="CP10" s="201">
        <v>0</v>
      </c>
      <c r="CQ10" s="201">
        <v>435.8835152356362</v>
      </c>
      <c r="CR10" s="201">
        <v>0</v>
      </c>
      <c r="CS10" s="202">
        <v>0</v>
      </c>
    </row>
    <row r="11" spans="1:98" s="203" customFormat="1" x14ac:dyDescent="0.25">
      <c r="A11" s="203" t="s">
        <v>196</v>
      </c>
      <c r="B11" s="203">
        <v>0</v>
      </c>
      <c r="C11" s="203">
        <v>0</v>
      </c>
      <c r="D11" s="203">
        <v>0</v>
      </c>
      <c r="E11" s="203">
        <v>96</v>
      </c>
      <c r="F11" s="203">
        <v>66</v>
      </c>
      <c r="G11" s="203">
        <v>80</v>
      </c>
      <c r="H11" s="203">
        <v>72</v>
      </c>
      <c r="I11" s="203">
        <v>78</v>
      </c>
      <c r="J11" s="203">
        <v>134</v>
      </c>
      <c r="K11" s="203">
        <v>66</v>
      </c>
      <c r="L11" s="203">
        <v>98</v>
      </c>
      <c r="M11" s="204">
        <v>64</v>
      </c>
      <c r="N11" s="205">
        <v>1002</v>
      </c>
      <c r="O11" s="205">
        <v>993</v>
      </c>
      <c r="P11" s="205">
        <v>1045</v>
      </c>
      <c r="Q11" s="205">
        <v>1129</v>
      </c>
      <c r="R11" s="205">
        <v>1212</v>
      </c>
      <c r="S11" s="205">
        <v>1314</v>
      </c>
      <c r="T11" s="205">
        <v>1324.56</v>
      </c>
      <c r="U11" s="205">
        <v>1437.3344</v>
      </c>
      <c r="V11" s="203">
        <v>1563.3810559999999</v>
      </c>
      <c r="W11" s="203">
        <v>1627.5781987999999</v>
      </c>
      <c r="X11" s="203">
        <v>1763.917816812</v>
      </c>
      <c r="Y11" s="204">
        <v>1902.2251123898</v>
      </c>
      <c r="Z11" s="203">
        <v>1794.5917037284321</v>
      </c>
      <c r="AA11" s="203">
        <v>1871.8082502962395</v>
      </c>
      <c r="AB11" s="203">
        <v>1973.9888797338535</v>
      </c>
      <c r="AC11" s="203">
        <v>1902.2907117976904</v>
      </c>
      <c r="AD11" s="203">
        <v>2014.9190846447134</v>
      </c>
      <c r="AE11" s="203">
        <v>2148.3476767016191</v>
      </c>
      <c r="AF11" s="203">
        <v>2071.9648378944012</v>
      </c>
      <c r="AG11" s="203">
        <v>2188.0217551482751</v>
      </c>
      <c r="AH11" s="203">
        <v>2331.1422846074338</v>
      </c>
      <c r="AI11" s="203">
        <v>2260.6748094943919</v>
      </c>
      <c r="AJ11" s="203">
        <v>2380.5711328942421</v>
      </c>
      <c r="AK11" s="204">
        <v>2508.4328014594726</v>
      </c>
      <c r="AL11" s="203">
        <v>2289.1546070332602</v>
      </c>
      <c r="AM11" s="203">
        <v>2386.7396839991425</v>
      </c>
      <c r="AN11" s="203">
        <v>2528.2949770980235</v>
      </c>
      <c r="AO11" s="203">
        <v>2422.5563880956151</v>
      </c>
      <c r="AP11" s="203">
        <v>2544.4695236540347</v>
      </c>
      <c r="AQ11" s="203">
        <v>2669.8391682070082</v>
      </c>
      <c r="AR11" s="203">
        <v>2540.6157367821475</v>
      </c>
      <c r="AS11" s="203">
        <v>2670.3102771527078</v>
      </c>
      <c r="AT11" s="203">
        <v>2806.5099599594632</v>
      </c>
      <c r="AU11" s="203">
        <v>2678.062118017031</v>
      </c>
      <c r="AV11" s="203">
        <v>2819.3515109248856</v>
      </c>
      <c r="AW11" s="204">
        <v>2964.6959881171629</v>
      </c>
      <c r="AX11" s="203">
        <v>2855.9045028370383</v>
      </c>
      <c r="AY11" s="203">
        <v>2969.1573502752522</v>
      </c>
      <c r="AZ11" s="203">
        <v>3124.6166844600571</v>
      </c>
      <c r="BA11" s="203">
        <v>3012.8163962278068</v>
      </c>
      <c r="BB11" s="203">
        <v>3130.632511993384</v>
      </c>
      <c r="BC11" s="203">
        <v>3253.6273928978044</v>
      </c>
      <c r="BD11" s="203">
        <v>3130.7841276462359</v>
      </c>
      <c r="BE11" s="203">
        <v>3261.9159261127552</v>
      </c>
      <c r="BF11" s="203">
        <v>3401.3886465521564</v>
      </c>
      <c r="BG11" s="203">
        <v>3292.8239878097179</v>
      </c>
      <c r="BH11" s="203">
        <v>3440.7144052897693</v>
      </c>
      <c r="BI11" s="204">
        <v>3592.8349340910254</v>
      </c>
      <c r="BJ11" s="203">
        <v>3408.4651119834061</v>
      </c>
      <c r="BK11" s="203">
        <v>3546.9729278309501</v>
      </c>
      <c r="BL11" s="203">
        <v>3687.2732046799138</v>
      </c>
      <c r="BM11" s="203">
        <v>3487.9970077389535</v>
      </c>
      <c r="BN11" s="203">
        <v>3608.6772365453371</v>
      </c>
      <c r="BO11" s="203">
        <v>3733.8339001660383</v>
      </c>
      <c r="BP11" s="203">
        <v>3528.0869897445218</v>
      </c>
      <c r="BQ11" s="203">
        <v>3660.7661277293805</v>
      </c>
      <c r="BR11" s="203">
        <v>3801.0644166598545</v>
      </c>
      <c r="BS11" s="203">
        <v>3606.2783446071003</v>
      </c>
      <c r="BT11" s="203">
        <v>3753.5913344191376</v>
      </c>
      <c r="BU11" s="204">
        <v>3905.0757369174785</v>
      </c>
      <c r="BV11" s="203">
        <v>3779.1380779539813</v>
      </c>
      <c r="BW11" s="203">
        <v>3934.7176060128345</v>
      </c>
      <c r="BX11" s="203">
        <v>4091.1511407309595</v>
      </c>
      <c r="BY11" s="203">
        <v>3932.3135561681947</v>
      </c>
      <c r="BZ11" s="203">
        <v>4065.135848838911</v>
      </c>
      <c r="CA11" s="203">
        <v>4202.8966492341387</v>
      </c>
      <c r="CB11" s="203">
        <v>4027.2909939029814</v>
      </c>
      <c r="CC11" s="203">
        <v>4172.6170711784689</v>
      </c>
      <c r="CD11" s="203">
        <v>4326.7007758957643</v>
      </c>
      <c r="CE11" s="203">
        <v>4168.3776957305517</v>
      </c>
      <c r="CF11" s="203">
        <v>4330.2837370420857</v>
      </c>
      <c r="CG11" s="204">
        <v>4497.143389184972</v>
      </c>
      <c r="CH11" s="203">
        <v>4344.0406589412187</v>
      </c>
      <c r="CI11" s="203">
        <v>4516.958135363926</v>
      </c>
      <c r="CJ11" s="203">
        <v>4691.3300342061957</v>
      </c>
      <c r="CK11" s="203">
        <v>4504.7536413917014</v>
      </c>
      <c r="CL11" s="203">
        <v>4653.1811352332334</v>
      </c>
      <c r="CM11" s="203">
        <v>4807.8294953832074</v>
      </c>
      <c r="CN11" s="203">
        <v>4605.5150950151074</v>
      </c>
      <c r="CO11" s="203">
        <v>4769.2967123017943</v>
      </c>
      <c r="CP11" s="203">
        <v>4943.1816042129967</v>
      </c>
      <c r="CQ11" s="203">
        <v>4761.5786771563671</v>
      </c>
      <c r="CR11" s="203">
        <v>4944.7714556759947</v>
      </c>
      <c r="CS11" s="204">
        <v>5133.8735087424111</v>
      </c>
    </row>
    <row r="12" spans="1:98" s="206" customFormat="1" x14ac:dyDescent="0.25">
      <c r="A12" s="206" t="s">
        <v>197</v>
      </c>
      <c r="B12" s="206" t="e">
        <v>#DIV/0!</v>
      </c>
      <c r="C12" s="206" t="e">
        <v>#DIV/0!</v>
      </c>
      <c r="D12" s="206" t="e">
        <v>#DIV/0!</v>
      </c>
      <c r="E12" s="206">
        <v>0</v>
      </c>
      <c r="F12" s="206">
        <v>0</v>
      </c>
      <c r="G12" s="206">
        <v>0</v>
      </c>
      <c r="H12" s="206">
        <v>0</v>
      </c>
      <c r="I12" s="206">
        <v>0</v>
      </c>
      <c r="J12" s="206">
        <v>0</v>
      </c>
      <c r="K12" s="206">
        <v>0</v>
      </c>
      <c r="L12" s="206">
        <v>0</v>
      </c>
      <c r="M12" s="207">
        <v>0</v>
      </c>
      <c r="N12" s="208">
        <v>0.14471057884231536</v>
      </c>
      <c r="O12" s="208">
        <v>0.12386706948640483</v>
      </c>
      <c r="P12" s="208">
        <v>0.32344497607655504</v>
      </c>
      <c r="Q12" s="208">
        <v>0.23560673162090345</v>
      </c>
      <c r="R12" s="208">
        <v>0.27475247524752477</v>
      </c>
      <c r="S12" s="208">
        <v>0.37519025875190259</v>
      </c>
      <c r="T12" s="208">
        <v>0.35971794407199381</v>
      </c>
      <c r="U12" s="208">
        <v>0.35906280403502483</v>
      </c>
      <c r="V12" s="206">
        <v>0.35866498103454059</v>
      </c>
      <c r="W12" s="206">
        <v>0.36675037956154766</v>
      </c>
      <c r="X12" s="206">
        <v>0.3664311198593268</v>
      </c>
      <c r="Y12" s="207">
        <v>0.35777674205133647</v>
      </c>
      <c r="Z12" s="206">
        <v>0.15</v>
      </c>
      <c r="AA12" s="206">
        <v>0.15</v>
      </c>
      <c r="AB12" s="206">
        <v>0.2788060944524488</v>
      </c>
      <c r="AC12" s="206">
        <v>0.29171908919543016</v>
      </c>
      <c r="AD12" s="206">
        <v>0.32910896317907534</v>
      </c>
      <c r="AE12" s="206">
        <v>0.36588512164957299</v>
      </c>
      <c r="AF12" s="206">
        <v>0.29171946935387283</v>
      </c>
      <c r="AG12" s="206">
        <v>0.32919697678498916</v>
      </c>
      <c r="AH12" s="206">
        <v>0.33732219276996012</v>
      </c>
      <c r="AI12" s="206">
        <v>0.2918471990714987</v>
      </c>
      <c r="AJ12" s="206">
        <v>0.32943032963412705</v>
      </c>
      <c r="AK12" s="207">
        <v>0.3375351813234837</v>
      </c>
      <c r="AL12" s="206">
        <v>0.15</v>
      </c>
      <c r="AM12" s="206">
        <v>0.15000000000000002</v>
      </c>
      <c r="AN12" s="206">
        <v>0.32918257180423233</v>
      </c>
      <c r="AO12" s="206">
        <v>0.30835345119331553</v>
      </c>
      <c r="AP12" s="206">
        <v>0.33741061672598316</v>
      </c>
      <c r="AQ12" s="206">
        <v>0.35</v>
      </c>
      <c r="AR12" s="206">
        <v>0.30846930575453257</v>
      </c>
      <c r="AS12" s="206">
        <v>0.3372601614285351</v>
      </c>
      <c r="AT12" s="206">
        <v>0.35000000000000003</v>
      </c>
      <c r="AU12" s="206">
        <v>0.30854824333035091</v>
      </c>
      <c r="AV12" s="206">
        <v>0.33714338773019614</v>
      </c>
      <c r="AW12" s="207">
        <v>0.33710455974236486</v>
      </c>
      <c r="AX12" s="206">
        <v>0.15</v>
      </c>
      <c r="AY12" s="206">
        <v>0.15</v>
      </c>
      <c r="AZ12" s="206">
        <v>0.32846261845106273</v>
      </c>
      <c r="BA12" s="206">
        <v>0.32860664718486005</v>
      </c>
      <c r="BB12" s="206">
        <v>0.32850888146333285</v>
      </c>
      <c r="BC12" s="206">
        <v>0.32842009963888213</v>
      </c>
      <c r="BD12" s="206">
        <v>0.32859009397487726</v>
      </c>
      <c r="BE12" s="206">
        <v>0.32852768288119155</v>
      </c>
      <c r="BF12" s="206">
        <v>0.32845937803300385</v>
      </c>
      <c r="BG12" s="206">
        <v>0.32862663816332072</v>
      </c>
      <c r="BH12" s="206">
        <v>0.32854931224244149</v>
      </c>
      <c r="BI12" s="207">
        <v>0.32846963905501797</v>
      </c>
      <c r="BJ12" s="206">
        <v>0.14999999999999997</v>
      </c>
      <c r="BK12" s="206">
        <v>0.14999999999999997</v>
      </c>
      <c r="BL12" s="206">
        <v>0.32855099336494609</v>
      </c>
      <c r="BM12" s="206">
        <v>0.32874948377068341</v>
      </c>
      <c r="BN12" s="206">
        <v>0.32867753824734225</v>
      </c>
      <c r="BO12" s="206">
        <v>0.32861811502394961</v>
      </c>
      <c r="BP12" s="206">
        <v>0.32884257098481273</v>
      </c>
      <c r="BQ12" s="206">
        <v>0.3288183287111896</v>
      </c>
      <c r="BR12" s="206">
        <v>0.32879428276527545</v>
      </c>
      <c r="BS12" s="206">
        <v>0.3290265328423812</v>
      </c>
      <c r="BT12" s="206">
        <v>0.32898873013750607</v>
      </c>
      <c r="BU12" s="207">
        <v>0.32894240266459274</v>
      </c>
      <c r="BV12" s="206">
        <v>0.14999999999999997</v>
      </c>
      <c r="BW12" s="206">
        <v>0.15</v>
      </c>
      <c r="BX12" s="206">
        <v>0.32902035613069702</v>
      </c>
      <c r="BY12" s="206">
        <v>0.32919543373212079</v>
      </c>
      <c r="BZ12" s="206">
        <v>0.3291218107344141</v>
      </c>
      <c r="CA12" s="206">
        <v>0.32905614592091681</v>
      </c>
      <c r="CB12" s="206">
        <v>0.32925877505881607</v>
      </c>
      <c r="CC12" s="206">
        <v>0.32923144947444355</v>
      </c>
      <c r="CD12" s="206">
        <v>0.32920414934615067</v>
      </c>
      <c r="CE12" s="206">
        <v>0.32942372829782884</v>
      </c>
      <c r="CF12" s="206">
        <v>0.3293845329447786</v>
      </c>
      <c r="CG12" s="207">
        <v>0.32933654530287204</v>
      </c>
      <c r="CH12" s="206">
        <v>0.15</v>
      </c>
      <c r="CI12" s="206">
        <v>0.15</v>
      </c>
      <c r="CJ12" s="206">
        <v>0.32940193660381251</v>
      </c>
      <c r="CK12" s="206">
        <v>0.32956866706335775</v>
      </c>
      <c r="CL12" s="206">
        <v>0.32949062587025829</v>
      </c>
      <c r="CM12" s="206">
        <v>0.3294203621927117</v>
      </c>
      <c r="CN12" s="206">
        <v>0.32961410384247153</v>
      </c>
      <c r="CO12" s="206">
        <v>0.32958366231860703</v>
      </c>
      <c r="CP12" s="206">
        <v>0.32955315516622968</v>
      </c>
      <c r="CQ12" s="206">
        <v>0.32976563361320432</v>
      </c>
      <c r="CR12" s="206">
        <v>0.32972306515122762</v>
      </c>
      <c r="CS12" s="207">
        <v>0.32967082372704193</v>
      </c>
    </row>
    <row r="13" spans="1:98" s="209" customFormat="1" x14ac:dyDescent="0.25">
      <c r="A13" s="209" t="s">
        <v>198</v>
      </c>
      <c r="B13" s="209">
        <v>0</v>
      </c>
      <c r="C13" s="209">
        <v>0</v>
      </c>
      <c r="D13" s="209">
        <v>0</v>
      </c>
      <c r="E13" s="209">
        <v>0</v>
      </c>
      <c r="F13" s="209">
        <v>0</v>
      </c>
      <c r="G13" s="209">
        <v>0</v>
      </c>
      <c r="H13" s="209">
        <v>0</v>
      </c>
      <c r="I13" s="209">
        <v>0</v>
      </c>
      <c r="J13" s="209">
        <v>0</v>
      </c>
      <c r="K13" s="209">
        <v>0</v>
      </c>
      <c r="L13" s="209">
        <v>0</v>
      </c>
      <c r="M13" s="210">
        <v>0</v>
      </c>
      <c r="N13" s="205">
        <v>145</v>
      </c>
      <c r="O13" s="205">
        <v>123</v>
      </c>
      <c r="P13" s="205">
        <v>338</v>
      </c>
      <c r="Q13" s="205">
        <v>266</v>
      </c>
      <c r="R13" s="205">
        <v>333</v>
      </c>
      <c r="S13" s="205">
        <v>493</v>
      </c>
      <c r="T13" s="205">
        <v>476.46800000000007</v>
      </c>
      <c r="U13" s="205">
        <v>516.09331999999995</v>
      </c>
      <c r="V13" s="209">
        <v>560.73003679999999</v>
      </c>
      <c r="W13" s="209">
        <v>596.914922176</v>
      </c>
      <c r="X13" s="209">
        <v>646.35438095424001</v>
      </c>
      <c r="Y13" s="210">
        <v>680.57190335906</v>
      </c>
      <c r="Z13" s="209">
        <v>269.18875555926479</v>
      </c>
      <c r="AA13" s="209">
        <v>280.77123754443591</v>
      </c>
      <c r="AB13" s="209">
        <v>550.36013005116035</v>
      </c>
      <c r="AC13" s="209">
        <v>554.93451383054878</v>
      </c>
      <c r="AD13" s="209">
        <v>663.12793083715314</v>
      </c>
      <c r="AE13" s="209">
        <v>786.04845103554942</v>
      </c>
      <c r="AF13" s="209">
        <v>604.43248303043788</v>
      </c>
      <c r="AG13" s="209">
        <v>720.29014693459794</v>
      </c>
      <c r="AH13" s="209">
        <v>786.34602710255399</v>
      </c>
      <c r="AI13" s="209">
        <v>659.77161116243224</v>
      </c>
      <c r="AJ13" s="209">
        <v>784.23233302683741</v>
      </c>
      <c r="AK13" s="210">
        <v>846.68432047839724</v>
      </c>
      <c r="AL13" s="209">
        <v>343.37319105498904</v>
      </c>
      <c r="AM13" s="209">
        <v>358.01095259987142</v>
      </c>
      <c r="AN13" s="209">
        <v>832.27064284085009</v>
      </c>
      <c r="AO13" s="209">
        <v>747.00362297969605</v>
      </c>
      <c r="AP13" s="209">
        <v>858.53103121657648</v>
      </c>
      <c r="AQ13" s="209">
        <v>934.44370887245282</v>
      </c>
      <c r="AR13" s="209">
        <v>783.70197251422928</v>
      </c>
      <c r="AS13" s="209">
        <v>900.58927513679851</v>
      </c>
      <c r="AT13" s="209">
        <v>982.27848598581227</v>
      </c>
      <c r="AU13" s="209">
        <v>826.31136204371387</v>
      </c>
      <c r="AV13" s="209">
        <v>950.52571959546299</v>
      </c>
      <c r="AW13" s="210">
        <v>999.41253584419155</v>
      </c>
      <c r="AX13" s="209">
        <v>428.38567542555575</v>
      </c>
      <c r="AY13" s="209">
        <v>445.37360254128782</v>
      </c>
      <c r="AZ13" s="209">
        <v>1026.3197778336285</v>
      </c>
      <c r="BA13" s="209">
        <v>990.03149454799245</v>
      </c>
      <c r="BB13" s="209">
        <v>1028.4405847876906</v>
      </c>
      <c r="BC13" s="209">
        <v>1068.5566325632933</v>
      </c>
      <c r="BD13" s="209">
        <v>1028.7446507183308</v>
      </c>
      <c r="BE13" s="209">
        <v>1071.6296809590795</v>
      </c>
      <c r="BF13" s="209">
        <v>1117.2179992950421</v>
      </c>
      <c r="BG13" s="209">
        <v>1082.1096771774469</v>
      </c>
      <c r="BH13" s="209">
        <v>1130.4443514806148</v>
      </c>
      <c r="BI13" s="210">
        <v>1180.1371939851383</v>
      </c>
      <c r="BJ13" s="209">
        <v>511.26976679751078</v>
      </c>
      <c r="BK13" s="209">
        <v>532.0459391746424</v>
      </c>
      <c r="BL13" s="209">
        <v>1211.4572742055338</v>
      </c>
      <c r="BM13" s="209">
        <v>1146.6772156878694</v>
      </c>
      <c r="BN13" s="209">
        <v>1186.0911504369433</v>
      </c>
      <c r="BO13" s="209">
        <v>1227.0054580850856</v>
      </c>
      <c r="BP13" s="209">
        <v>1160.1851963656572</v>
      </c>
      <c r="BQ13" s="209">
        <v>1203.7269999225082</v>
      </c>
      <c r="BR13" s="209">
        <v>1249.7682486202871</v>
      </c>
      <c r="BS13" s="209">
        <v>1186.5612601906362</v>
      </c>
      <c r="BT13" s="209">
        <v>1234.8892465656991</v>
      </c>
      <c r="BU13" s="210">
        <v>1284.5449954888404</v>
      </c>
      <c r="BV13" s="209">
        <v>566.87071169309706</v>
      </c>
      <c r="BW13" s="209">
        <v>590.20764090192517</v>
      </c>
      <c r="BX13" s="209">
        <v>1346.0720053078076</v>
      </c>
      <c r="BY13" s="209">
        <v>1294.4996666934871</v>
      </c>
      <c r="BZ13" s="209">
        <v>1337.9248714512419</v>
      </c>
      <c r="CA13" s="209">
        <v>1382.9889731009212</v>
      </c>
      <c r="CB13" s="209">
        <v>1326.0208994578975</v>
      </c>
      <c r="CC13" s="209">
        <v>1373.7567664458948</v>
      </c>
      <c r="CD13" s="209">
        <v>1424.3678484040952</v>
      </c>
      <c r="CE13" s="209">
        <v>1373.1625214810711</v>
      </c>
      <c r="CF13" s="209">
        <v>1426.3284862439777</v>
      </c>
      <c r="CG13" s="210">
        <v>1481.0736675258281</v>
      </c>
      <c r="CH13" s="209">
        <v>651.60609884118276</v>
      </c>
      <c r="CI13" s="209">
        <v>677.54372030458887</v>
      </c>
      <c r="CJ13" s="209">
        <v>1545.3331985151508</v>
      </c>
      <c r="CK13" s="209">
        <v>1484.6256530422702</v>
      </c>
      <c r="CL13" s="209">
        <v>1533.1795645356769</v>
      </c>
      <c r="CM13" s="209">
        <v>1583.7969337299385</v>
      </c>
      <c r="CN13" s="209">
        <v>1518.0427307763798</v>
      </c>
      <c r="CO13" s="209">
        <v>1571.8822771245173</v>
      </c>
      <c r="CP13" s="209">
        <v>1629.0410942280578</v>
      </c>
      <c r="CQ13" s="209">
        <v>1570.2050094715928</v>
      </c>
      <c r="CR13" s="209">
        <v>1630.4052008377867</v>
      </c>
      <c r="CS13" s="210">
        <v>1692.4883085375495</v>
      </c>
    </row>
    <row r="14" spans="1:98" s="211" customFormat="1" x14ac:dyDescent="0.25">
      <c r="A14" s="211" t="s">
        <v>199</v>
      </c>
      <c r="B14" s="211" t="e">
        <v>#DIV/0!</v>
      </c>
      <c r="C14" s="211" t="e">
        <v>#DIV/0!</v>
      </c>
      <c r="D14" s="211" t="e">
        <v>#DIV/0!</v>
      </c>
      <c r="E14" s="211" t="e">
        <v>#DIV/0!</v>
      </c>
      <c r="F14" s="211" t="e">
        <v>#DIV/0!</v>
      </c>
      <c r="G14" s="211" t="e">
        <v>#DIV/0!</v>
      </c>
      <c r="H14" s="211" t="e">
        <v>#DIV/0!</v>
      </c>
      <c r="I14" s="211" t="e">
        <v>#DIV/0!</v>
      </c>
      <c r="J14" s="211" t="e">
        <v>#DIV/0!</v>
      </c>
      <c r="K14" s="211" t="e">
        <v>#DIV/0!</v>
      </c>
      <c r="L14" s="211" t="e">
        <v>#DIV/0!</v>
      </c>
      <c r="M14" s="212" t="e">
        <v>#DIV/0!</v>
      </c>
      <c r="N14" s="213">
        <v>1.3241379310344827</v>
      </c>
      <c r="O14" s="213">
        <v>1.5121951219512195</v>
      </c>
      <c r="P14" s="213">
        <v>1.834319526627219</v>
      </c>
      <c r="Q14" s="213">
        <v>1.7706766917293233</v>
      </c>
      <c r="R14" s="213">
        <v>1.8588588588588588</v>
      </c>
      <c r="S14" s="213">
        <v>2.2718052738336714</v>
      </c>
      <c r="T14" s="213">
        <v>2.2460267112358956</v>
      </c>
      <c r="U14" s="213">
        <v>1.8657966276331577</v>
      </c>
      <c r="V14" s="211">
        <v>2.0617037475599704</v>
      </c>
      <c r="W14" s="211">
        <v>2.1274719323193017</v>
      </c>
      <c r="X14" s="211">
        <v>2</v>
      </c>
      <c r="Y14" s="212">
        <v>2</v>
      </c>
      <c r="Z14" s="211">
        <v>1.5</v>
      </c>
      <c r="AA14" s="211">
        <v>1.5</v>
      </c>
      <c r="AB14" s="211">
        <v>2</v>
      </c>
      <c r="AC14" s="211">
        <v>1.9205175420067815</v>
      </c>
      <c r="AD14" s="211">
        <v>1.9619134587782876</v>
      </c>
      <c r="AE14" s="211">
        <v>2.1254085474771491</v>
      </c>
      <c r="AF14" s="211">
        <v>1.920521294445964</v>
      </c>
      <c r="AG14" s="211">
        <v>1.9620840566310582</v>
      </c>
      <c r="AH14" s="211">
        <v>2.1198214960737478</v>
      </c>
      <c r="AI14" s="211">
        <v>1.9608907629190384</v>
      </c>
      <c r="AJ14" s="211">
        <v>1.9625359260841866</v>
      </c>
      <c r="AK14" s="212">
        <v>2.1212182473178007</v>
      </c>
      <c r="AL14" s="211">
        <v>1.5000000000000002</v>
      </c>
      <c r="AM14" s="211">
        <v>1.5</v>
      </c>
      <c r="AN14" s="211">
        <v>2</v>
      </c>
      <c r="AO14" s="211">
        <v>2</v>
      </c>
      <c r="AP14" s="211">
        <v>2</v>
      </c>
      <c r="AQ14" s="211">
        <v>2</v>
      </c>
      <c r="AR14" s="211">
        <v>2</v>
      </c>
      <c r="AS14" s="211">
        <v>2</v>
      </c>
      <c r="AT14" s="211">
        <v>2</v>
      </c>
      <c r="AU14" s="211">
        <v>2</v>
      </c>
      <c r="AV14" s="211">
        <v>2</v>
      </c>
      <c r="AW14" s="212">
        <v>2</v>
      </c>
      <c r="AX14" s="211">
        <v>1.3719611784065151</v>
      </c>
      <c r="AY14" s="211">
        <v>1.3714932630139611</v>
      </c>
      <c r="AZ14" s="211">
        <v>2.0213156797549696</v>
      </c>
      <c r="BA14" s="211">
        <v>2.0218761288059826</v>
      </c>
      <c r="BB14" s="211">
        <v>2.0214957533899156</v>
      </c>
      <c r="BC14" s="211">
        <v>2.060575067631647</v>
      </c>
      <c r="BD14" s="211">
        <v>2.0218117414333507</v>
      </c>
      <c r="BE14" s="211">
        <v>2.0215689213262178</v>
      </c>
      <c r="BF14" s="211">
        <v>2.0606515324433849</v>
      </c>
      <c r="BG14" s="211">
        <v>2.0219538794926644</v>
      </c>
      <c r="BH14" s="211">
        <v>2.0216530841797171</v>
      </c>
      <c r="BI14" s="212">
        <v>2.06067150497028</v>
      </c>
      <c r="BJ14" s="211">
        <v>1.3719965363668432</v>
      </c>
      <c r="BK14" s="211">
        <v>1.3716315883128107</v>
      </c>
      <c r="BL14" s="211">
        <v>2.0216596251971315</v>
      </c>
      <c r="BM14" s="211">
        <v>2.0224314539366159</v>
      </c>
      <c r="BN14" s="211">
        <v>2.0221518019161562</v>
      </c>
      <c r="BO14" s="211">
        <v>2.0219207316998014</v>
      </c>
      <c r="BP14" s="211">
        <v>2.0227931020543046</v>
      </c>
      <c r="BQ14" s="211">
        <v>2.0226989394228752</v>
      </c>
      <c r="BR14" s="211">
        <v>2.0226055256567959</v>
      </c>
      <c r="BS14" s="211">
        <v>2.0235072005539467</v>
      </c>
      <c r="BT14" s="211">
        <v>2.0233605241600392</v>
      </c>
      <c r="BU14" s="212">
        <v>2.0231807252643721</v>
      </c>
      <c r="BV14" s="211">
        <v>1.3747599907974626</v>
      </c>
      <c r="BW14" s="211">
        <v>1.374426535356895</v>
      </c>
      <c r="BX14" s="211">
        <v>2.0234832369059772</v>
      </c>
      <c r="BY14" s="211">
        <v>2.0241621329967465</v>
      </c>
      <c r="BZ14" s="211">
        <v>2.0238767340797104</v>
      </c>
      <c r="CA14" s="211">
        <v>2.0236220772459297</v>
      </c>
      <c r="CB14" s="211">
        <v>2.0244075729645337</v>
      </c>
      <c r="CC14" s="211">
        <v>2.0243017012182416</v>
      </c>
      <c r="CD14" s="211">
        <v>2.0241959105491727</v>
      </c>
      <c r="CE14" s="211">
        <v>2.0250463038282356</v>
      </c>
      <c r="CF14" s="211">
        <v>2.0248945897820492</v>
      </c>
      <c r="CG14" s="212">
        <v>2.0247087941189466</v>
      </c>
      <c r="CH14" s="211">
        <v>1.3770850911701549</v>
      </c>
      <c r="CI14" s="211">
        <v>1.3767333600041596</v>
      </c>
      <c r="CJ14" s="211">
        <v>2.0249619588449654</v>
      </c>
      <c r="CK14" s="211">
        <v>2.0256070070542922</v>
      </c>
      <c r="CL14" s="211">
        <v>2.0253051618974407</v>
      </c>
      <c r="CM14" s="211">
        <v>2.0250332760113383</v>
      </c>
      <c r="CN14" s="211">
        <v>2.0257826800981631</v>
      </c>
      <c r="CO14" s="211">
        <v>2.025664988836771</v>
      </c>
      <c r="CP14" s="211">
        <v>2.0255470220330674</v>
      </c>
      <c r="CQ14" s="211">
        <v>2.0263681924701857</v>
      </c>
      <c r="CR14" s="211">
        <v>2.0262037619134508</v>
      </c>
      <c r="CS14" s="212">
        <v>2.0260019092628343</v>
      </c>
    </row>
    <row r="15" spans="1:98" s="203" customFormat="1" x14ac:dyDescent="0.25">
      <c r="A15" s="203" t="s">
        <v>200</v>
      </c>
      <c r="B15" s="203">
        <v>0</v>
      </c>
      <c r="C15" s="203">
        <v>0</v>
      </c>
      <c r="D15" s="203">
        <v>0</v>
      </c>
      <c r="E15" s="203">
        <v>0</v>
      </c>
      <c r="F15" s="203">
        <v>0</v>
      </c>
      <c r="G15" s="203">
        <v>0</v>
      </c>
      <c r="H15" s="203">
        <v>0</v>
      </c>
      <c r="I15" s="203">
        <v>0</v>
      </c>
      <c r="J15" s="203">
        <v>0</v>
      </c>
      <c r="K15" s="203">
        <v>0</v>
      </c>
      <c r="L15" s="203">
        <v>0</v>
      </c>
      <c r="M15" s="204">
        <v>0</v>
      </c>
      <c r="N15" s="205">
        <v>192</v>
      </c>
      <c r="O15" s="205">
        <v>186</v>
      </c>
      <c r="P15" s="205">
        <v>620</v>
      </c>
      <c r="Q15" s="205">
        <v>471</v>
      </c>
      <c r="R15" s="205">
        <v>619</v>
      </c>
      <c r="S15" s="205">
        <v>1120</v>
      </c>
      <c r="T15" s="205">
        <v>1070.1598550491449</v>
      </c>
      <c r="U15" s="205">
        <v>962.92517599999996</v>
      </c>
      <c r="V15" s="203">
        <v>1156.0592182400001</v>
      </c>
      <c r="W15" s="203">
        <v>1269.9197429120002</v>
      </c>
      <c r="X15" s="203">
        <v>1292.70876190848</v>
      </c>
      <c r="Y15" s="204">
        <v>1361.14380671812</v>
      </c>
      <c r="Z15" s="301">
        <v>403.78313333889719</v>
      </c>
      <c r="AA15" s="301">
        <v>421.15685631665389</v>
      </c>
      <c r="AB15" s="301">
        <v>1100.7202601023207</v>
      </c>
      <c r="AC15" s="301">
        <v>1065.7614684765738</v>
      </c>
      <c r="AD15" s="301">
        <v>1300.9996124012082</v>
      </c>
      <c r="AE15" s="301">
        <v>1670.6740965621302</v>
      </c>
      <c r="AF15" s="301">
        <v>1160.8254547148047</v>
      </c>
      <c r="AG15" s="301">
        <v>1413.2698134488169</v>
      </c>
      <c r="AH15" s="301">
        <v>1666.9132116041837</v>
      </c>
      <c r="AI15" s="301">
        <v>1293.7400579646248</v>
      </c>
      <c r="AJ15" s="301">
        <v>1539.0841279619865</v>
      </c>
      <c r="AK15" s="302">
        <v>1796.0022303166488</v>
      </c>
      <c r="AL15" s="203">
        <v>515.05978658248364</v>
      </c>
      <c r="AM15" s="203">
        <v>537.01642889980712</v>
      </c>
      <c r="AN15" s="203">
        <v>1664.5412856817002</v>
      </c>
      <c r="AO15" s="203">
        <v>1494.0072459593921</v>
      </c>
      <c r="AP15" s="203">
        <v>1717.062062433153</v>
      </c>
      <c r="AQ15" s="203">
        <v>1868.8874177449056</v>
      </c>
      <c r="AR15" s="203">
        <v>1567.4039450284586</v>
      </c>
      <c r="AS15" s="203">
        <v>1801.178550273597</v>
      </c>
      <c r="AT15" s="203">
        <v>1964.5569719716245</v>
      </c>
      <c r="AU15" s="203">
        <v>1652.6227240874277</v>
      </c>
      <c r="AV15" s="203">
        <v>1901.051439190926</v>
      </c>
      <c r="AW15" s="204">
        <v>1998.8250716883831</v>
      </c>
      <c r="AX15" s="203">
        <v>587.72851606931636</v>
      </c>
      <c r="AY15" s="203">
        <v>610.82689540963383</v>
      </c>
      <c r="AZ15" s="203">
        <v>2074.51625937775</v>
      </c>
      <c r="BA15" s="203">
        <v>2001.7210455926961</v>
      </c>
      <c r="BB15" s="203">
        <v>2078.9882747621577</v>
      </c>
      <c r="BC15" s="203">
        <v>2201.8411554123531</v>
      </c>
      <c r="BD15" s="203">
        <v>2079.9280137590727</v>
      </c>
      <c r="BE15" s="203">
        <v>2166.3732581976051</v>
      </c>
      <c r="BF15" s="203">
        <v>2302.1969823206609</v>
      </c>
      <c r="BG15" s="203">
        <v>2187.9758598054932</v>
      </c>
      <c r="BH15" s="203">
        <v>2285.3663096643254</v>
      </c>
      <c r="BI15" s="204">
        <v>2431.875087600758</v>
      </c>
      <c r="BJ15" s="203">
        <v>701.46034919526846</v>
      </c>
      <c r="BK15" s="203">
        <v>729.7710166054959</v>
      </c>
      <c r="BL15" s="203">
        <v>2449.154258912698</v>
      </c>
      <c r="BM15" s="203">
        <v>2319.0760685196083</v>
      </c>
      <c r="BN15" s="203">
        <v>2398.4563570928717</v>
      </c>
      <c r="BO15" s="203">
        <v>2480.9077736110462</v>
      </c>
      <c r="BP15" s="203">
        <v>2346.8146123139704</v>
      </c>
      <c r="BQ15" s="203">
        <v>2434.7773260979366</v>
      </c>
      <c r="BR15" s="203">
        <v>2527.7881654498087</v>
      </c>
      <c r="BS15" s="203">
        <v>2401.0152538941174</v>
      </c>
      <c r="BT15" s="203">
        <v>2498.6261532107687</v>
      </c>
      <c r="BU15" s="204">
        <v>2598.8666756078319</v>
      </c>
      <c r="BV15" s="203">
        <v>779.31117439055322</v>
      </c>
      <c r="BW15" s="203">
        <v>811.19704302599939</v>
      </c>
      <c r="BX15" s="203">
        <v>2723.7541384087622</v>
      </c>
      <c r="BY15" s="203">
        <v>2620.2772064978662</v>
      </c>
      <c r="BZ15" s="203">
        <v>2707.7950192767557</v>
      </c>
      <c r="CA15" s="203">
        <v>2798.6470185547014</v>
      </c>
      <c r="CB15" s="203">
        <v>2684.40675077181</v>
      </c>
      <c r="CC15" s="203">
        <v>2780.8981593764956</v>
      </c>
      <c r="CD15" s="203">
        <v>2883.1995738572937</v>
      </c>
      <c r="CE15" s="203">
        <v>2780.7176886807033</v>
      </c>
      <c r="CF15" s="203">
        <v>2888.1648350474507</v>
      </c>
      <c r="CG15" s="204">
        <v>2998.7428793775453</v>
      </c>
      <c r="CH15" s="203">
        <v>897.31704402973912</v>
      </c>
      <c r="CI15" s="203">
        <v>932.79704260465519</v>
      </c>
      <c r="CJ15" s="203">
        <v>3129.2409407333953</v>
      </c>
      <c r="CK15" s="203">
        <v>3007.2681256549768</v>
      </c>
      <c r="CL15" s="203">
        <v>3105.1564861697766</v>
      </c>
      <c r="CM15" s="203">
        <v>3207.2414932478496</v>
      </c>
      <c r="CN15" s="203">
        <v>3075.2246716557092</v>
      </c>
      <c r="CO15" s="203">
        <v>3184.1068953441536</v>
      </c>
      <c r="CP15" s="203">
        <v>3299.6993371831318</v>
      </c>
      <c r="CQ15" s="203">
        <v>3181.8134868505822</v>
      </c>
      <c r="CR15" s="203">
        <v>3303.5331513807787</v>
      </c>
      <c r="CS15" s="204">
        <v>3428.9845445021006</v>
      </c>
    </row>
    <row r="16" spans="1:98" s="194" customFormat="1" x14ac:dyDescent="0.25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214"/>
      <c r="N16" s="192"/>
      <c r="O16" s="192"/>
      <c r="P16" s="192"/>
      <c r="Q16" s="192"/>
      <c r="R16" s="192"/>
      <c r="S16" s="192"/>
      <c r="T16" s="192"/>
      <c r="U16" s="200">
        <v>1437.3344</v>
      </c>
      <c r="V16" s="72"/>
      <c r="W16" s="72"/>
      <c r="X16" s="72"/>
      <c r="Y16" s="214"/>
      <c r="AK16" s="215"/>
      <c r="AW16" s="215"/>
      <c r="BI16" s="215"/>
      <c r="BU16" s="215"/>
      <c r="CG16" s="215"/>
      <c r="CS16" s="215"/>
    </row>
    <row r="17" spans="1:97" s="206" customFormat="1" x14ac:dyDescent="0.25">
      <c r="A17" s="206" t="s">
        <v>201</v>
      </c>
      <c r="M17" s="207"/>
      <c r="N17" s="208"/>
      <c r="O17" s="208"/>
      <c r="P17" s="208"/>
      <c r="Q17" s="208"/>
      <c r="R17" s="208"/>
      <c r="S17" s="208"/>
      <c r="T17" s="208"/>
      <c r="U17" s="208"/>
      <c r="Y17" s="207"/>
      <c r="AD17" s="209"/>
      <c r="AE17" s="209"/>
      <c r="AK17" s="207"/>
      <c r="AW17" s="207"/>
      <c r="BI17" s="207"/>
      <c r="BU17" s="207"/>
      <c r="CG17" s="207"/>
      <c r="CS17" s="207"/>
    </row>
    <row r="18" spans="1:97" s="206" customFormat="1" x14ac:dyDescent="0.25">
      <c r="A18" s="206" t="s">
        <v>202</v>
      </c>
      <c r="M18" s="207"/>
      <c r="N18" s="208"/>
      <c r="O18" s="208"/>
      <c r="P18" s="208"/>
      <c r="Q18" s="208"/>
      <c r="R18" s="208"/>
      <c r="S18" s="208"/>
      <c r="T18" s="208"/>
      <c r="U18" s="208"/>
      <c r="Y18" s="207"/>
      <c r="AK18" s="207"/>
      <c r="AW18" s="207"/>
      <c r="BI18" s="207"/>
      <c r="BU18" s="207"/>
      <c r="CG18" s="207"/>
      <c r="CS18" s="207"/>
    </row>
    <row r="20" spans="1:97" s="194" customFormat="1" x14ac:dyDescent="0.25">
      <c r="A20" s="72"/>
      <c r="B20" s="72">
        <v>1</v>
      </c>
      <c r="C20" s="190">
        <v>2</v>
      </c>
      <c r="D20" s="190">
        <v>3</v>
      </c>
      <c r="E20" s="190">
        <v>4</v>
      </c>
      <c r="F20" s="190">
        <v>5</v>
      </c>
      <c r="G20" s="190">
        <v>6</v>
      </c>
      <c r="H20" s="190">
        <v>7</v>
      </c>
      <c r="I20" s="190">
        <v>8</v>
      </c>
      <c r="J20" s="190">
        <v>9</v>
      </c>
      <c r="K20" s="190">
        <v>10</v>
      </c>
      <c r="L20" s="190">
        <v>11</v>
      </c>
      <c r="M20" s="191">
        <v>12</v>
      </c>
      <c r="N20" s="193">
        <v>1</v>
      </c>
      <c r="O20" s="193">
        <v>2</v>
      </c>
      <c r="P20" s="193">
        <v>3</v>
      </c>
      <c r="Q20" s="193">
        <v>4</v>
      </c>
      <c r="R20" s="193">
        <v>5</v>
      </c>
      <c r="S20" s="193">
        <v>6</v>
      </c>
      <c r="T20" s="193">
        <v>7</v>
      </c>
      <c r="U20" s="193">
        <v>8</v>
      </c>
      <c r="V20" s="190">
        <v>9</v>
      </c>
      <c r="W20" s="190">
        <v>10</v>
      </c>
      <c r="X20" s="190">
        <v>11</v>
      </c>
      <c r="Y20" s="191">
        <v>12</v>
      </c>
      <c r="Z20" s="190">
        <v>13</v>
      </c>
      <c r="AA20" s="190">
        <v>14</v>
      </c>
      <c r="AB20" s="190">
        <v>15</v>
      </c>
      <c r="AC20" s="190">
        <v>16</v>
      </c>
      <c r="AD20" s="190">
        <v>17</v>
      </c>
      <c r="AE20" s="190">
        <v>18</v>
      </c>
      <c r="AF20" s="190">
        <v>19</v>
      </c>
      <c r="AG20" s="190">
        <v>20</v>
      </c>
      <c r="AH20" s="190">
        <v>21</v>
      </c>
      <c r="AI20" s="190">
        <v>22</v>
      </c>
      <c r="AJ20" s="190">
        <v>23</v>
      </c>
      <c r="AK20" s="191">
        <v>24</v>
      </c>
      <c r="AL20" s="190">
        <v>25</v>
      </c>
      <c r="AM20" s="190">
        <v>26</v>
      </c>
      <c r="AN20" s="190">
        <v>27</v>
      </c>
      <c r="AO20" s="190">
        <v>28</v>
      </c>
      <c r="AP20" s="190">
        <v>29</v>
      </c>
      <c r="AQ20" s="190">
        <v>30</v>
      </c>
      <c r="AR20" s="190">
        <v>31</v>
      </c>
      <c r="AS20" s="190">
        <v>32</v>
      </c>
      <c r="AT20" s="190">
        <v>33</v>
      </c>
      <c r="AU20" s="190">
        <v>34</v>
      </c>
      <c r="AV20" s="190">
        <v>35</v>
      </c>
      <c r="AW20" s="191">
        <v>36</v>
      </c>
      <c r="AX20" s="190">
        <v>37</v>
      </c>
      <c r="AY20" s="190">
        <v>38</v>
      </c>
      <c r="AZ20" s="190">
        <v>39</v>
      </c>
      <c r="BA20" s="190">
        <v>40</v>
      </c>
      <c r="BB20" s="190">
        <v>41</v>
      </c>
      <c r="BC20" s="190">
        <v>42</v>
      </c>
      <c r="BD20" s="190">
        <v>43</v>
      </c>
      <c r="BE20" s="190">
        <v>44</v>
      </c>
      <c r="BF20" s="190">
        <v>45</v>
      </c>
      <c r="BG20" s="190">
        <v>46</v>
      </c>
      <c r="BH20" s="190">
        <v>47</v>
      </c>
      <c r="BI20" s="191">
        <v>48</v>
      </c>
      <c r="BJ20" s="190">
        <v>49</v>
      </c>
      <c r="BK20" s="190">
        <v>50</v>
      </c>
      <c r="BL20" s="190">
        <v>51</v>
      </c>
      <c r="BM20" s="190">
        <v>52</v>
      </c>
      <c r="BN20" s="190">
        <v>53</v>
      </c>
      <c r="BO20" s="190">
        <v>54</v>
      </c>
      <c r="BP20" s="190">
        <v>55</v>
      </c>
      <c r="BQ20" s="190">
        <v>56</v>
      </c>
      <c r="BR20" s="190">
        <v>57</v>
      </c>
      <c r="BS20" s="190">
        <v>58</v>
      </c>
      <c r="BT20" s="190">
        <v>59</v>
      </c>
      <c r="BU20" s="191">
        <v>60</v>
      </c>
      <c r="BV20" s="190">
        <v>61</v>
      </c>
      <c r="BW20" s="190">
        <v>62</v>
      </c>
      <c r="BX20" s="190">
        <v>63</v>
      </c>
      <c r="BY20" s="190">
        <v>64</v>
      </c>
      <c r="BZ20" s="190">
        <v>65</v>
      </c>
      <c r="CA20" s="190">
        <v>66</v>
      </c>
      <c r="CB20" s="190">
        <v>67</v>
      </c>
      <c r="CC20" s="190">
        <v>68</v>
      </c>
      <c r="CD20" s="190">
        <v>69</v>
      </c>
      <c r="CE20" s="190">
        <v>70</v>
      </c>
      <c r="CF20" s="190">
        <v>71</v>
      </c>
      <c r="CG20" s="191">
        <v>72</v>
      </c>
      <c r="CH20" s="190">
        <v>73</v>
      </c>
      <c r="CI20" s="190">
        <v>74</v>
      </c>
      <c r="CJ20" s="190">
        <v>75</v>
      </c>
      <c r="CK20" s="190">
        <v>76</v>
      </c>
      <c r="CL20" s="190">
        <v>77</v>
      </c>
      <c r="CM20" s="190">
        <v>78</v>
      </c>
      <c r="CN20" s="190">
        <v>79</v>
      </c>
      <c r="CO20" s="190">
        <v>80</v>
      </c>
      <c r="CP20" s="190">
        <v>81</v>
      </c>
      <c r="CQ20" s="190">
        <v>82</v>
      </c>
      <c r="CR20" s="190">
        <v>83</v>
      </c>
      <c r="CS20" s="191">
        <v>84</v>
      </c>
    </row>
    <row r="21" spans="1:97" s="216" customFormat="1" x14ac:dyDescent="0.25">
      <c r="A21" s="216" t="s">
        <v>0</v>
      </c>
      <c r="B21" s="216">
        <v>42005</v>
      </c>
      <c r="C21" s="216">
        <v>42036</v>
      </c>
      <c r="D21" s="216">
        <v>42064</v>
      </c>
      <c r="E21" s="216">
        <v>42095</v>
      </c>
      <c r="F21" s="216">
        <v>42125</v>
      </c>
      <c r="G21" s="216">
        <v>42156</v>
      </c>
      <c r="H21" s="216">
        <v>42186</v>
      </c>
      <c r="I21" s="216">
        <v>42217</v>
      </c>
      <c r="J21" s="216">
        <v>42248</v>
      </c>
      <c r="K21" s="216">
        <v>42278</v>
      </c>
      <c r="L21" s="216">
        <v>42309</v>
      </c>
      <c r="M21" s="217">
        <v>42339</v>
      </c>
      <c r="N21" s="218">
        <v>42370</v>
      </c>
      <c r="O21" s="218">
        <v>42401</v>
      </c>
      <c r="P21" s="218">
        <v>42430</v>
      </c>
      <c r="Q21" s="218">
        <v>42461</v>
      </c>
      <c r="R21" s="218">
        <v>42491</v>
      </c>
      <c r="S21" s="218">
        <v>42522</v>
      </c>
      <c r="T21" s="218">
        <v>42552</v>
      </c>
      <c r="U21" s="218">
        <v>42583</v>
      </c>
      <c r="V21" s="216">
        <v>42614</v>
      </c>
      <c r="W21" s="216">
        <v>42644</v>
      </c>
      <c r="X21" s="216">
        <v>42675</v>
      </c>
      <c r="Y21" s="217">
        <v>42705</v>
      </c>
      <c r="Z21" s="216">
        <v>42752</v>
      </c>
      <c r="AA21" s="216">
        <v>42783</v>
      </c>
      <c r="AB21" s="216">
        <v>42811</v>
      </c>
      <c r="AC21" s="216">
        <v>42842</v>
      </c>
      <c r="AD21" s="216">
        <v>42872</v>
      </c>
      <c r="AE21" s="216">
        <v>42903</v>
      </c>
      <c r="AF21" s="216">
        <v>42933</v>
      </c>
      <c r="AG21" s="216">
        <v>42964</v>
      </c>
      <c r="AH21" s="216">
        <v>42995</v>
      </c>
      <c r="AI21" s="216">
        <v>43025</v>
      </c>
      <c r="AJ21" s="216">
        <v>43056</v>
      </c>
      <c r="AK21" s="217">
        <v>43086</v>
      </c>
      <c r="AL21" s="216">
        <v>43118</v>
      </c>
      <c r="AM21" s="216">
        <v>43149</v>
      </c>
      <c r="AN21" s="216">
        <v>43177</v>
      </c>
      <c r="AO21" s="216">
        <v>43208</v>
      </c>
      <c r="AP21" s="216">
        <v>43238</v>
      </c>
      <c r="AQ21" s="216">
        <v>43269</v>
      </c>
      <c r="AR21" s="216">
        <v>43299</v>
      </c>
      <c r="AS21" s="216">
        <v>43330</v>
      </c>
      <c r="AT21" s="216">
        <v>43361</v>
      </c>
      <c r="AU21" s="216">
        <v>43391</v>
      </c>
      <c r="AV21" s="216">
        <v>43422</v>
      </c>
      <c r="AW21" s="217">
        <v>43452</v>
      </c>
      <c r="AX21" s="216">
        <v>43483</v>
      </c>
      <c r="AY21" s="216">
        <v>43514</v>
      </c>
      <c r="AZ21" s="216">
        <v>43542</v>
      </c>
      <c r="BA21" s="216">
        <v>43573</v>
      </c>
      <c r="BB21" s="216">
        <v>43603</v>
      </c>
      <c r="BC21" s="216">
        <v>43634</v>
      </c>
      <c r="BD21" s="216">
        <v>43664</v>
      </c>
      <c r="BE21" s="216">
        <v>43695</v>
      </c>
      <c r="BF21" s="216">
        <v>43726</v>
      </c>
      <c r="BG21" s="216">
        <v>43756</v>
      </c>
      <c r="BH21" s="216">
        <v>43787</v>
      </c>
      <c r="BI21" s="217">
        <v>43817</v>
      </c>
      <c r="BJ21" s="216">
        <v>43848</v>
      </c>
      <c r="BK21" s="216">
        <v>43879</v>
      </c>
      <c r="BL21" s="216">
        <v>43908</v>
      </c>
      <c r="BM21" s="216">
        <v>43939</v>
      </c>
      <c r="BN21" s="216">
        <v>43969</v>
      </c>
      <c r="BO21" s="216">
        <v>44000</v>
      </c>
      <c r="BP21" s="216">
        <v>44030</v>
      </c>
      <c r="BQ21" s="216">
        <v>44061</v>
      </c>
      <c r="BR21" s="216">
        <v>44092</v>
      </c>
      <c r="BS21" s="216">
        <v>44122</v>
      </c>
      <c r="BT21" s="216">
        <v>44153</v>
      </c>
      <c r="BU21" s="217">
        <v>44183</v>
      </c>
      <c r="BV21" s="216">
        <v>44214</v>
      </c>
      <c r="BW21" s="216">
        <v>44245</v>
      </c>
      <c r="BX21" s="216">
        <v>44273</v>
      </c>
      <c r="BY21" s="216">
        <v>44304</v>
      </c>
      <c r="BZ21" s="216">
        <v>44334</v>
      </c>
      <c r="CA21" s="216">
        <v>44365</v>
      </c>
      <c r="CB21" s="216">
        <v>44395</v>
      </c>
      <c r="CC21" s="216">
        <v>44426</v>
      </c>
      <c r="CD21" s="216">
        <v>44457</v>
      </c>
      <c r="CE21" s="216">
        <v>44487</v>
      </c>
      <c r="CF21" s="216">
        <v>44518</v>
      </c>
      <c r="CG21" s="217">
        <v>44548</v>
      </c>
      <c r="CH21" s="216">
        <v>44579</v>
      </c>
      <c r="CI21" s="216">
        <v>44610</v>
      </c>
      <c r="CJ21" s="216">
        <v>44638</v>
      </c>
      <c r="CK21" s="216">
        <v>44669</v>
      </c>
      <c r="CL21" s="216">
        <v>44699</v>
      </c>
      <c r="CM21" s="216">
        <v>44730</v>
      </c>
      <c r="CN21" s="216">
        <v>44760</v>
      </c>
      <c r="CO21" s="216">
        <v>44791</v>
      </c>
      <c r="CP21" s="216">
        <v>44822</v>
      </c>
      <c r="CQ21" s="216">
        <v>44852</v>
      </c>
      <c r="CR21" s="216">
        <v>44883</v>
      </c>
      <c r="CS21" s="217">
        <v>44913</v>
      </c>
    </row>
    <row r="22" spans="1:97" s="209" customFormat="1" x14ac:dyDescent="0.25">
      <c r="A22" s="209" t="s">
        <v>4</v>
      </c>
      <c r="B22" s="209">
        <v>2052.6610000000001</v>
      </c>
      <c r="C22" s="209">
        <v>1303.846</v>
      </c>
      <c r="D22" s="209">
        <v>5214.3959999999997</v>
      </c>
      <c r="E22" s="209">
        <v>5640.4014999999999</v>
      </c>
      <c r="F22" s="209">
        <v>3233.2915000000003</v>
      </c>
      <c r="G22" s="209">
        <v>4748.5650000000005</v>
      </c>
      <c r="H22" s="209">
        <v>7546.5334999999995</v>
      </c>
      <c r="I22" s="209">
        <v>2405.0050000000001</v>
      </c>
      <c r="J22" s="209">
        <v>6777.5324999999993</v>
      </c>
      <c r="K22" s="209">
        <v>4765.0289999999895</v>
      </c>
      <c r="L22" s="209">
        <v>4839.5445</v>
      </c>
      <c r="M22" s="210">
        <v>9263.463999999989</v>
      </c>
      <c r="N22" s="205">
        <v>2249.5889999999999</v>
      </c>
      <c r="O22" s="205">
        <v>2135.14499999997</v>
      </c>
      <c r="P22" s="205">
        <v>4415.7199999999903</v>
      </c>
      <c r="Q22" s="205">
        <v>6653.8460000000005</v>
      </c>
      <c r="R22" s="205">
        <v>3561.0540000000001</v>
      </c>
      <c r="S22" s="205">
        <v>3725.2085000000002</v>
      </c>
      <c r="T22" s="205">
        <v>3438.3620000000001</v>
      </c>
      <c r="U22" s="205">
        <v>2684.6194999999998</v>
      </c>
      <c r="V22" s="209">
        <v>5496.9600000000009</v>
      </c>
      <c r="W22" s="209">
        <v>4536.84</v>
      </c>
      <c r="X22" s="209">
        <v>5623.8</v>
      </c>
      <c r="Y22" s="210">
        <v>6309.4649937732684</v>
      </c>
      <c r="Z22" s="209">
        <v>2026.2517514917927</v>
      </c>
      <c r="AA22" s="209">
        <v>2067.6195015795452</v>
      </c>
      <c r="AB22" s="209">
        <v>3805.8504766585229</v>
      </c>
      <c r="AC22" s="209">
        <v>3730.8574820639392</v>
      </c>
      <c r="AD22" s="209">
        <v>4752.5039768845791</v>
      </c>
      <c r="AE22" s="209">
        <v>4849.6553250860961</v>
      </c>
      <c r="AF22" s="209">
        <v>4600.6155843272618</v>
      </c>
      <c r="AG22" s="209">
        <v>4947.1333971203267</v>
      </c>
      <c r="AH22" s="209">
        <v>5098.8648015005083</v>
      </c>
      <c r="AI22" s="209">
        <v>4832.9732411497234</v>
      </c>
      <c r="AJ22" s="209">
        <v>5149.1942350985701</v>
      </c>
      <c r="AK22" s="210">
        <v>5253.3655038507759</v>
      </c>
      <c r="AL22" s="209">
        <v>2958.7261063224278</v>
      </c>
      <c r="AM22" s="209">
        <v>2998.5613061661661</v>
      </c>
      <c r="AN22" s="209">
        <v>5239.4565051168811</v>
      </c>
      <c r="AO22" s="209">
        <v>5279.4690357010086</v>
      </c>
      <c r="AP22" s="209">
        <v>6597.7297370980186</v>
      </c>
      <c r="AQ22" s="209">
        <v>6695.1423345124485</v>
      </c>
      <c r="AR22" s="209">
        <v>6413.4213823139871</v>
      </c>
      <c r="AS22" s="209">
        <v>6909.9806101079193</v>
      </c>
      <c r="AT22" s="209">
        <v>7149.8841335622365</v>
      </c>
      <c r="AU22" s="209">
        <v>6745.8654343302078</v>
      </c>
      <c r="AV22" s="209">
        <v>7190.6101638284636</v>
      </c>
      <c r="AW22" s="210">
        <v>7240.7198398549299</v>
      </c>
      <c r="AX22" s="209">
        <v>4239.0210137667909</v>
      </c>
      <c r="AY22" s="209">
        <v>4300.1068209376836</v>
      </c>
      <c r="AZ22" s="209">
        <v>7701.323924759583</v>
      </c>
      <c r="BA22" s="209">
        <v>7608.9215036600672</v>
      </c>
      <c r="BB22" s="209">
        <v>9432.4720257161698</v>
      </c>
      <c r="BC22" s="209">
        <v>9560.9911585462214</v>
      </c>
      <c r="BD22" s="209">
        <v>9148.8050937966509</v>
      </c>
      <c r="BE22" s="209">
        <v>9870.2598391915526</v>
      </c>
      <c r="BF22" s="209">
        <v>10236.409590570875</v>
      </c>
      <c r="BG22" s="209">
        <v>9651.7403272421761</v>
      </c>
      <c r="BH22" s="209">
        <v>10290.589133836504</v>
      </c>
      <c r="BI22" s="210">
        <v>10595.403352820262</v>
      </c>
      <c r="BJ22" s="209">
        <v>5500.9161484969482</v>
      </c>
      <c r="BK22" s="209">
        <v>5585.6883814671364</v>
      </c>
      <c r="BL22" s="209">
        <v>9887.643611926178</v>
      </c>
      <c r="BM22" s="209">
        <v>9944.8621559740041</v>
      </c>
      <c r="BN22" s="209">
        <v>12289.736723807557</v>
      </c>
      <c r="BO22" s="209">
        <v>12463.430331827374</v>
      </c>
      <c r="BP22" s="209">
        <v>12038.263842766813</v>
      </c>
      <c r="BQ22" s="209">
        <v>12994.822006196562</v>
      </c>
      <c r="BR22" s="209">
        <v>13670.257888844893</v>
      </c>
      <c r="BS22" s="209">
        <v>12887.305311783683</v>
      </c>
      <c r="BT22" s="209">
        <v>13741.187830611343</v>
      </c>
      <c r="BU22" s="210">
        <v>14154.207604778334</v>
      </c>
      <c r="BV22" s="209">
        <v>7149.0763610014792</v>
      </c>
      <c r="BW22" s="209">
        <v>7264.120484274008</v>
      </c>
      <c r="BX22" s="209">
        <v>12756.034767152138</v>
      </c>
      <c r="BY22" s="209">
        <v>12870.29522951794</v>
      </c>
      <c r="BZ22" s="209">
        <v>16420.616450810961</v>
      </c>
      <c r="CA22" s="209">
        <v>16652.476574284454</v>
      </c>
      <c r="CB22" s="209">
        <v>16084.595785335776</v>
      </c>
      <c r="CC22" s="209">
        <v>17463.749567833922</v>
      </c>
      <c r="CD22" s="209">
        <v>18376.605873505861</v>
      </c>
      <c r="CE22" s="209">
        <v>17322.380735425471</v>
      </c>
      <c r="CF22" s="209">
        <v>18526.542057365117</v>
      </c>
      <c r="CG22" s="210">
        <v>19390.552829746037</v>
      </c>
      <c r="CH22" s="209">
        <v>9241.6688707135763</v>
      </c>
      <c r="CI22" s="209">
        <v>9393.5430613430253</v>
      </c>
      <c r="CJ22" s="209">
        <v>16428.887834325324</v>
      </c>
      <c r="CK22" s="209">
        <v>16602.43217484239</v>
      </c>
      <c r="CL22" s="209">
        <v>21145.209441796262</v>
      </c>
      <c r="CM22" s="209">
        <v>21448.903695857232</v>
      </c>
      <c r="CN22" s="209">
        <v>20713.020389803023</v>
      </c>
      <c r="CO22" s="209">
        <v>22497.191006818684</v>
      </c>
      <c r="CP22" s="209">
        <v>23681.698287144503</v>
      </c>
      <c r="CQ22" s="209">
        <v>22458.983101512673</v>
      </c>
      <c r="CR22" s="209">
        <v>24351.688422793821</v>
      </c>
      <c r="CS22" s="210">
        <v>25502.017920725848</v>
      </c>
    </row>
    <row r="23" spans="1:97" s="209" customFormat="1" x14ac:dyDescent="0.25">
      <c r="A23" s="209" t="s">
        <v>5</v>
      </c>
      <c r="B23" s="209">
        <v>2215.0100000000002</v>
      </c>
      <c r="C23" s="209">
        <v>1135.6510000000001</v>
      </c>
      <c r="D23" s="209">
        <v>2898.5385000000001</v>
      </c>
      <c r="E23" s="209">
        <v>4939.4570000000003</v>
      </c>
      <c r="F23" s="209">
        <v>3233.6025</v>
      </c>
      <c r="G23" s="209">
        <v>3949.9409999999998</v>
      </c>
      <c r="H23" s="209">
        <v>4551.5889999999999</v>
      </c>
      <c r="I23" s="209">
        <v>2968.5990000000002</v>
      </c>
      <c r="J23" s="209">
        <v>6420.1669999999995</v>
      </c>
      <c r="K23" s="209">
        <v>3850.6580000000004</v>
      </c>
      <c r="L23" s="209">
        <v>9004.2370000000301</v>
      </c>
      <c r="M23" s="210">
        <v>8940.5859999999993</v>
      </c>
      <c r="N23" s="205">
        <v>1368.249</v>
      </c>
      <c r="O23" s="205">
        <v>1100.796</v>
      </c>
      <c r="P23" s="205">
        <v>9133.3290000000015</v>
      </c>
      <c r="Q23" s="205">
        <v>7448.6030000000101</v>
      </c>
      <c r="R23" s="205">
        <v>6115.0020000000004</v>
      </c>
      <c r="S23" s="205">
        <v>12667.78900000007</v>
      </c>
      <c r="T23" s="205">
        <v>6581.7240000000102</v>
      </c>
      <c r="U23" s="205">
        <v>7981.6760000000195</v>
      </c>
      <c r="V23" s="209">
        <v>14295.628514321281</v>
      </c>
      <c r="W23" s="209">
        <v>14204.74760551181</v>
      </c>
      <c r="X23" s="209">
        <v>15279.353327553374</v>
      </c>
      <c r="Y23" s="210">
        <v>17154.151025091178</v>
      </c>
      <c r="Z23" s="209">
        <v>1201.9882509495453</v>
      </c>
      <c r="AA23" s="209">
        <v>1151.911401901652</v>
      </c>
      <c r="AB23" s="209">
        <v>7610.2040689645655</v>
      </c>
      <c r="AC23" s="209">
        <v>7286.9636481015805</v>
      </c>
      <c r="AD23" s="209">
        <v>10036.400096814143</v>
      </c>
      <c r="AE23" s="209">
        <v>13192.074120310985</v>
      </c>
      <c r="AF23" s="209">
        <v>8706.3614815413821</v>
      </c>
      <c r="AG23" s="209">
        <v>11189.870757125584</v>
      </c>
      <c r="AH23" s="209">
        <v>13814.269414097711</v>
      </c>
      <c r="AI23" s="209">
        <v>10079.922972149574</v>
      </c>
      <c r="AJ23" s="209">
        <v>12429.302952948452</v>
      </c>
      <c r="AK23" s="210">
        <v>15199.208198109598</v>
      </c>
      <c r="AL23" s="209">
        <v>1625.5067617414338</v>
      </c>
      <c r="AM23" s="209">
        <v>1542.61556153627</v>
      </c>
      <c r="AN23" s="209">
        <v>11809.732561783676</v>
      </c>
      <c r="AO23" s="209">
        <v>10667.563387936199</v>
      </c>
      <c r="AP23" s="209">
        <v>13664.058087051733</v>
      </c>
      <c r="AQ23" s="209">
        <v>15466.402404577559</v>
      </c>
      <c r="AR23" s="209">
        <v>12414.142723758589</v>
      </c>
      <c r="AS23" s="209">
        <v>15052.706528898525</v>
      </c>
      <c r="AT23" s="209">
        <v>17247.292434471601</v>
      </c>
      <c r="AU23" s="209">
        <v>13734.450865558047</v>
      </c>
      <c r="AV23" s="209">
        <v>16445.136829759052</v>
      </c>
      <c r="AW23" s="210">
        <v>18099.67823765898</v>
      </c>
      <c r="AX23" s="209">
        <v>2068.8421564668361</v>
      </c>
      <c r="AY23" s="209">
        <v>1949.1322434862318</v>
      </c>
      <c r="AZ23" s="209">
        <v>17186.291287501248</v>
      </c>
      <c r="BA23" s="209">
        <v>16031.141381213918</v>
      </c>
      <c r="BB23" s="209">
        <v>18772.998573636651</v>
      </c>
      <c r="BC23" s="209">
        <v>20578.785293894336</v>
      </c>
      <c r="BD23" s="209">
        <v>18314.546346482144</v>
      </c>
      <c r="BE23" s="209">
        <v>20417.222707788969</v>
      </c>
      <c r="BF23" s="209">
        <v>22832.489656762991</v>
      </c>
      <c r="BG23" s="209">
        <v>20268.311880045174</v>
      </c>
      <c r="BH23" s="209">
        <v>22307.357164290785</v>
      </c>
      <c r="BI23" s="210">
        <v>24984.651314597315</v>
      </c>
      <c r="BJ23" s="209">
        <v>2665.803430459744</v>
      </c>
      <c r="BK23" s="209">
        <v>2514.9550306272904</v>
      </c>
      <c r="BL23" s="209">
        <v>21557.523668397855</v>
      </c>
      <c r="BM23" s="209">
        <v>20085.693176274905</v>
      </c>
      <c r="BN23" s="209">
        <v>23436.379163541293</v>
      </c>
      <c r="BO23" s="209">
        <v>25034.420063619098</v>
      </c>
      <c r="BP23" s="209">
        <v>22575.466049302151</v>
      </c>
      <c r="BQ23" s="209">
        <v>25075.571237368225</v>
      </c>
      <c r="BR23" s="209">
        <v>27565.360003416507</v>
      </c>
      <c r="BS23" s="209">
        <v>24497.481479952505</v>
      </c>
      <c r="BT23" s="209">
        <v>26871.458071830624</v>
      </c>
      <c r="BU23" s="210">
        <v>29367.201635240628</v>
      </c>
      <c r="BV23" s="209">
        <v>3360.5308444636603</v>
      </c>
      <c r="BW23" s="209">
        <v>3174.8634507311608</v>
      </c>
      <c r="BX23" s="209">
        <v>27271.56747252302</v>
      </c>
      <c r="BY23" s="209">
        <v>25791.837653549235</v>
      </c>
      <c r="BZ23" s="209">
        <v>30087.842707498505</v>
      </c>
      <c r="CA23" s="209">
        <v>32111.647939511309</v>
      </c>
      <c r="CB23" s="209">
        <v>29361.954807574599</v>
      </c>
      <c r="CC23" s="209">
        <v>32930.396047831229</v>
      </c>
      <c r="CD23" s="209">
        <v>36151.885522462348</v>
      </c>
      <c r="CE23" s="209">
        <v>32614.839583678498</v>
      </c>
      <c r="CF23" s="209">
        <v>35908.031698245606</v>
      </c>
      <c r="CG23" s="210">
        <v>39180.083274440942</v>
      </c>
      <c r="CH23" s="209">
        <v>4357.2473331367055</v>
      </c>
      <c r="CI23" s="209">
        <v>4109.7705176380914</v>
      </c>
      <c r="CJ23" s="209">
        <v>35339.745342291149</v>
      </c>
      <c r="CK23" s="209">
        <v>33399.825355666137</v>
      </c>
      <c r="CL23" s="209">
        <v>38925.178291386161</v>
      </c>
      <c r="CM23" s="209">
        <v>41524.648850510363</v>
      </c>
      <c r="CN23" s="209">
        <v>37948.992549431001</v>
      </c>
      <c r="CO23" s="209">
        <v>42543.567492990289</v>
      </c>
      <c r="CP23" s="209">
        <v>46692.562331760448</v>
      </c>
      <c r="CQ23" s="209">
        <v>42592.071486756206</v>
      </c>
      <c r="CR23" s="209">
        <v>47275.57210482021</v>
      </c>
      <c r="CS23" s="210">
        <v>51579.806615793466</v>
      </c>
    </row>
    <row r="24" spans="1:97" s="209" customFormat="1" x14ac:dyDescent="0.25">
      <c r="A24" s="209" t="s">
        <v>6</v>
      </c>
      <c r="B24" s="209">
        <v>1833.4189999999999</v>
      </c>
      <c r="C24" s="209">
        <v>1845.8719999999989</v>
      </c>
      <c r="D24" s="209">
        <v>2152.123</v>
      </c>
      <c r="E24" s="209">
        <v>3245.8809999999999</v>
      </c>
      <c r="F24" s="209">
        <v>3462.1035000000002</v>
      </c>
      <c r="G24" s="209">
        <v>3583.7950000000001</v>
      </c>
      <c r="H24" s="209">
        <v>3607.2930000000001</v>
      </c>
      <c r="I24" s="209">
        <v>2551.8900000000003</v>
      </c>
      <c r="J24" s="209">
        <v>4640.3310000000001</v>
      </c>
      <c r="K24" s="209">
        <v>4692.4780000000001</v>
      </c>
      <c r="L24" s="209">
        <v>3067.681</v>
      </c>
      <c r="M24" s="210">
        <v>8836.2370000000101</v>
      </c>
      <c r="N24" s="205">
        <v>1892.0679999999979</v>
      </c>
      <c r="O24" s="205">
        <v>1061.71</v>
      </c>
      <c r="P24" s="205">
        <v>1584.623</v>
      </c>
      <c r="Q24" s="205">
        <v>3938.538</v>
      </c>
      <c r="R24" s="205">
        <v>3667.857</v>
      </c>
      <c r="S24" s="205">
        <v>6452.6640000000007</v>
      </c>
      <c r="T24" s="205">
        <v>5352.9589999999998</v>
      </c>
      <c r="U24" s="205">
        <v>3978.529</v>
      </c>
      <c r="V24" s="209">
        <v>7539.3280000000004</v>
      </c>
      <c r="W24" s="209">
        <v>8227.45111123264</v>
      </c>
      <c r="X24" s="209">
        <v>9821.2485399930883</v>
      </c>
      <c r="Y24" s="210">
        <v>11824.112127969951</v>
      </c>
      <c r="Z24" s="209">
        <v>3307.4860116888426</v>
      </c>
      <c r="AA24" s="209">
        <v>1143.9485186926352</v>
      </c>
      <c r="AB24" s="209">
        <v>2483.7088600776915</v>
      </c>
      <c r="AC24" s="209">
        <v>5720.3303150139254</v>
      </c>
      <c r="AD24" s="209">
        <v>5967.1600376356473</v>
      </c>
      <c r="AE24" s="209">
        <v>7503.8756698862308</v>
      </c>
      <c r="AF24" s="209">
        <v>8827.90895078834</v>
      </c>
      <c r="AG24" s="209">
        <v>6708.002664805038</v>
      </c>
      <c r="AH24" s="209">
        <v>8432.7746644900326</v>
      </c>
      <c r="AI24" s="209">
        <v>9276.5283007922553</v>
      </c>
      <c r="AJ24" s="209">
        <v>7690.3952815653629</v>
      </c>
      <c r="AK24" s="210">
        <v>9363.9483162542165</v>
      </c>
      <c r="AL24" s="209">
        <v>4626.4115582962067</v>
      </c>
      <c r="AM24" s="209">
        <v>1567.5082816075565</v>
      </c>
      <c r="AN24" s="209">
        <v>3189.4616009154106</v>
      </c>
      <c r="AO24" s="209">
        <v>8912.5592098762154</v>
      </c>
      <c r="AP24" s="209">
        <v>8793.2897133267743</v>
      </c>
      <c r="AQ24" s="209">
        <v>10205.231063992904</v>
      </c>
      <c r="AR24" s="209">
        <v>10618.644726996143</v>
      </c>
      <c r="AS24" s="209">
        <v>9673.8786684511397</v>
      </c>
      <c r="AT24" s="209">
        <v>11337.05793925804</v>
      </c>
      <c r="AU24" s="209">
        <v>11690.346528988051</v>
      </c>
      <c r="AV24" s="209">
        <v>10538.931560548852</v>
      </c>
      <c r="AW24" s="210">
        <v>12380.759213586382</v>
      </c>
      <c r="AX24" s="209">
        <v>5947.2900089948562</v>
      </c>
      <c r="AY24" s="209">
        <v>1987.0055768640229</v>
      </c>
      <c r="AZ24" s="209">
        <v>4177.6388197622709</v>
      </c>
      <c r="BA24" s="209">
        <v>12721.950698985869</v>
      </c>
      <c r="BB24" s="209">
        <v>12968.024143203416</v>
      </c>
      <c r="BC24" s="209">
        <v>13886.459487384918</v>
      </c>
      <c r="BD24" s="209">
        <v>13995.965181659165</v>
      </c>
      <c r="BE24" s="209">
        <v>14073.090131488279</v>
      </c>
      <c r="BF24" s="209">
        <v>15309.139284426794</v>
      </c>
      <c r="BG24" s="209">
        <v>15323.003616626134</v>
      </c>
      <c r="BH24" s="209">
        <v>15309.616509893269</v>
      </c>
      <c r="BI24" s="210">
        <v>16711.163594324338</v>
      </c>
      <c r="BJ24" s="209">
        <v>7663.6750304041198</v>
      </c>
      <c r="BK24" s="209">
        <v>2560.918657607649</v>
      </c>
      <c r="BL24" s="209">
        <v>5391.8816470887095</v>
      </c>
      <c r="BM24" s="209">
        <v>16109.232027830007</v>
      </c>
      <c r="BN24" s="209">
        <v>16260.444478416302</v>
      </c>
      <c r="BO24" s="209">
        <v>17342.129748832991</v>
      </c>
      <c r="BP24" s="209">
        <v>17154.042053059027</v>
      </c>
      <c r="BQ24" s="209">
        <v>17349.628903484761</v>
      </c>
      <c r="BR24" s="209">
        <v>18973.422518530075</v>
      </c>
      <c r="BS24" s="209">
        <v>18466.132900579109</v>
      </c>
      <c r="BT24" s="209">
        <v>18513.71883874722</v>
      </c>
      <c r="BU24" s="210">
        <v>20134.827227053254</v>
      </c>
      <c r="BV24" s="209">
        <v>9183.4516804579307</v>
      </c>
      <c r="BW24" s="209">
        <v>3230.5483056539179</v>
      </c>
      <c r="BX24" s="209">
        <v>6813.8557755555121</v>
      </c>
      <c r="BY24" s="209">
        <v>20395.783129788288</v>
      </c>
      <c r="BZ24" s="209">
        <v>20909.815616436186</v>
      </c>
      <c r="CA24" s="209">
        <v>22281.306343001103</v>
      </c>
      <c r="CB24" s="209">
        <v>22031.230237208187</v>
      </c>
      <c r="CC24" s="209">
        <v>22820.382894154056</v>
      </c>
      <c r="CD24" s="209">
        <v>24920.524224156215</v>
      </c>
      <c r="CE24" s="209">
        <v>24224.278633780101</v>
      </c>
      <c r="CF24" s="209">
        <v>24780.701834491003</v>
      </c>
      <c r="CG24" s="210">
        <v>26902.741923168887</v>
      </c>
      <c r="CH24" s="209">
        <v>11941.405892466593</v>
      </c>
      <c r="CI24" s="209">
        <v>4186.7424790228588</v>
      </c>
      <c r="CJ24" s="209">
        <v>8814.07021869046</v>
      </c>
      <c r="CK24" s="209">
        <v>26416.20942599453</v>
      </c>
      <c r="CL24" s="209">
        <v>27056.275232097465</v>
      </c>
      <c r="CM24" s="209">
        <v>28813.867353549394</v>
      </c>
      <c r="CN24" s="209">
        <v>28471.485355945297</v>
      </c>
      <c r="CO24" s="209">
        <v>29481.438761571102</v>
      </c>
      <c r="CP24" s="209">
        <v>32184.209640349465</v>
      </c>
      <c r="CQ24" s="209">
        <v>31596.551996690392</v>
      </c>
      <c r="CR24" s="209">
        <v>32621.327832193881</v>
      </c>
      <c r="CS24" s="210">
        <v>35409.977810201228</v>
      </c>
    </row>
    <row r="25" spans="1:97" s="209" customFormat="1" x14ac:dyDescent="0.25">
      <c r="A25" s="209" t="s">
        <v>7</v>
      </c>
      <c r="B25" s="209">
        <v>2138.857</v>
      </c>
      <c r="C25" s="209">
        <v>2025.3710000000001</v>
      </c>
      <c r="D25" s="209">
        <v>4003.261</v>
      </c>
      <c r="E25" s="209">
        <v>2267.1480000000001</v>
      </c>
      <c r="F25" s="209">
        <v>2507.89</v>
      </c>
      <c r="G25" s="209">
        <v>5719.6979999999903</v>
      </c>
      <c r="H25" s="209">
        <v>4692.2430000000004</v>
      </c>
      <c r="I25" s="209">
        <v>2581.433</v>
      </c>
      <c r="J25" s="209">
        <v>5623.4359999999997</v>
      </c>
      <c r="K25" s="209">
        <v>4675.3940000000002</v>
      </c>
      <c r="L25" s="209">
        <v>7509.3860000000004</v>
      </c>
      <c r="M25" s="210">
        <v>7476.3194999999996</v>
      </c>
      <c r="N25" s="205">
        <v>2336.337</v>
      </c>
      <c r="O25" s="205">
        <v>3415.6980000000003</v>
      </c>
      <c r="P25" s="205">
        <v>5114.1030000000001</v>
      </c>
      <c r="Q25" s="205">
        <v>2133.2659999999992</v>
      </c>
      <c r="R25" s="205">
        <v>4489.7569999999996</v>
      </c>
      <c r="S25" s="205">
        <v>6619.0450000000001</v>
      </c>
      <c r="T25" s="205">
        <v>5448.5640000000003</v>
      </c>
      <c r="U25" s="205">
        <v>6037.7960000000094</v>
      </c>
      <c r="V25" s="209">
        <v>6372.9039999999995</v>
      </c>
      <c r="W25" s="209">
        <v>5326.4105999999992</v>
      </c>
      <c r="X25" s="209">
        <v>7348.8171620627199</v>
      </c>
      <c r="Y25" s="210">
        <v>9744.4206288262085</v>
      </c>
      <c r="Z25" s="209">
        <v>2570.8542775397218</v>
      </c>
      <c r="AA25" s="209">
        <v>2814.6345521541261</v>
      </c>
      <c r="AB25" s="209">
        <v>2055.6081918500349</v>
      </c>
      <c r="AC25" s="209">
        <v>2147.8513387625949</v>
      </c>
      <c r="AD25" s="209">
        <v>5821.9853625689248</v>
      </c>
      <c r="AE25" s="209">
        <v>5866.8603210331512</v>
      </c>
      <c r="AF25" s="209">
        <v>6648.9453596097992</v>
      </c>
      <c r="AG25" s="209">
        <v>8938.5651694917615</v>
      </c>
      <c r="AH25" s="209">
        <v>6634.7177440586383</v>
      </c>
      <c r="AI25" s="209">
        <v>7455.6075731562305</v>
      </c>
      <c r="AJ25" s="209">
        <v>9312.1067862881901</v>
      </c>
      <c r="AK25" s="210">
        <v>7602.4091233122754</v>
      </c>
      <c r="AL25" s="209">
        <v>3358.9523029512275</v>
      </c>
      <c r="AM25" s="209">
        <v>4062.9711452374577</v>
      </c>
      <c r="AN25" s="209">
        <v>2693.5262153623398</v>
      </c>
      <c r="AO25" s="209">
        <v>2849.7279277872422</v>
      </c>
      <c r="AP25" s="209">
        <v>9207.0343478095383</v>
      </c>
      <c r="AQ25" s="209">
        <v>8795.1062219612068</v>
      </c>
      <c r="AR25" s="209">
        <v>9366.1989050153861</v>
      </c>
      <c r="AS25" s="209">
        <v>11018.491806667756</v>
      </c>
      <c r="AT25" s="209">
        <v>9725.3920362731242</v>
      </c>
      <c r="AU25" s="209">
        <v>10279.893645055789</v>
      </c>
      <c r="AV25" s="209">
        <v>11979.990521343097</v>
      </c>
      <c r="AW25" s="210">
        <v>10596.607115332739</v>
      </c>
      <c r="AX25" s="209">
        <v>4793.1599187201564</v>
      </c>
      <c r="AY25" s="209">
        <v>5198.4355472083935</v>
      </c>
      <c r="AZ25" s="209">
        <v>3507.3629068552655</v>
      </c>
      <c r="BA25" s="209">
        <v>3657.2246008930033</v>
      </c>
      <c r="BB25" s="209">
        <v>13080.907422063236</v>
      </c>
      <c r="BC25" s="209">
        <v>12936.090105877534</v>
      </c>
      <c r="BD25" s="209">
        <v>12719.979000483196</v>
      </c>
      <c r="BE25" s="209">
        <v>14510.774871002592</v>
      </c>
      <c r="BF25" s="209">
        <v>14195.387352020232</v>
      </c>
      <c r="BG25" s="209">
        <v>13857.997930394293</v>
      </c>
      <c r="BH25" s="209">
        <v>15683.237536941095</v>
      </c>
      <c r="BI25" s="210">
        <v>15448.205529770481</v>
      </c>
      <c r="BJ25" s="209">
        <v>6059.4695281754866</v>
      </c>
      <c r="BK25" s="209">
        <v>6714.9998637470126</v>
      </c>
      <c r="BL25" s="209">
        <v>4523.80267590929</v>
      </c>
      <c r="BM25" s="209">
        <v>4767.6165015196057</v>
      </c>
      <c r="BN25" s="209">
        <v>16563.660841673234</v>
      </c>
      <c r="BO25" s="209">
        <v>16219.298853322267</v>
      </c>
      <c r="BP25" s="209">
        <v>16045.096254204956</v>
      </c>
      <c r="BQ25" s="209">
        <v>17781.19559835743</v>
      </c>
      <c r="BR25" s="209">
        <v>17660.764448371279</v>
      </c>
      <c r="BS25" s="209">
        <v>17178.705264233246</v>
      </c>
      <c r="BT25" s="209">
        <v>18896.015499843768</v>
      </c>
      <c r="BU25" s="210">
        <v>18679.110704894229</v>
      </c>
      <c r="BV25" s="209">
        <v>7477.3976321970704</v>
      </c>
      <c r="BW25" s="209">
        <v>8053.6834074195103</v>
      </c>
      <c r="BX25" s="209">
        <v>5720.1136255500887</v>
      </c>
      <c r="BY25" s="209">
        <v>6025.504286475998</v>
      </c>
      <c r="BZ25" s="209">
        <v>20970.904442992112</v>
      </c>
      <c r="CA25" s="209">
        <v>20854.280502883877</v>
      </c>
      <c r="CB25" s="209">
        <v>20621.612058504201</v>
      </c>
      <c r="CC25" s="209">
        <v>23068.201825319367</v>
      </c>
      <c r="CD25" s="209">
        <v>23229.019169221745</v>
      </c>
      <c r="CE25" s="209">
        <v>22564.384676476766</v>
      </c>
      <c r="CF25" s="209">
        <v>24913.300579339146</v>
      </c>
      <c r="CG25" s="210">
        <v>25003.25525820208</v>
      </c>
      <c r="CH25" s="209">
        <v>9739.5673861288342</v>
      </c>
      <c r="CI25" s="209">
        <v>10475.892583864053</v>
      </c>
      <c r="CJ25" s="209">
        <v>7401.3603718346021</v>
      </c>
      <c r="CK25" s="209">
        <v>7793.818984364857</v>
      </c>
      <c r="CL25" s="209">
        <v>27161.2808112526</v>
      </c>
      <c r="CM25" s="209">
        <v>26986.29277543362</v>
      </c>
      <c r="CN25" s="209">
        <v>26662.960651173598</v>
      </c>
      <c r="CO25" s="209">
        <v>29811.549117201979</v>
      </c>
      <c r="CP25" s="209">
        <v>30011.348040821355</v>
      </c>
      <c r="CQ25" s="209">
        <v>29438.820231850659</v>
      </c>
      <c r="CR25" s="209">
        <v>32802.24260875964</v>
      </c>
      <c r="CS25" s="210">
        <v>32917.755429109275</v>
      </c>
    </row>
    <row r="26" spans="1:97" s="209" customFormat="1" x14ac:dyDescent="0.25">
      <c r="A26" s="209" t="s">
        <v>8</v>
      </c>
      <c r="B26" s="209">
        <v>892.84500000000003</v>
      </c>
      <c r="C26" s="209">
        <v>1141.2380000000001</v>
      </c>
      <c r="D26" s="209">
        <v>2651.183</v>
      </c>
      <c r="E26" s="209">
        <v>3955.297</v>
      </c>
      <c r="F26" s="209">
        <v>3118.8090000000002</v>
      </c>
      <c r="G26" s="209">
        <v>2872.9290000000001</v>
      </c>
      <c r="H26" s="209">
        <v>3602.7525000000001</v>
      </c>
      <c r="I26" s="209">
        <v>2927.777</v>
      </c>
      <c r="J26" s="209">
        <v>4745.6809999999896</v>
      </c>
      <c r="K26" s="209">
        <v>3822.6244999999999</v>
      </c>
      <c r="L26" s="209">
        <v>5850.9989999999998</v>
      </c>
      <c r="M26" s="210">
        <v>8437.9279999999999</v>
      </c>
      <c r="N26" s="205">
        <v>1984.9610000000002</v>
      </c>
      <c r="O26" s="205">
        <v>1746.779</v>
      </c>
      <c r="P26" s="205">
        <v>5648.0219999999999</v>
      </c>
      <c r="Q26" s="205">
        <v>5598.7109999999993</v>
      </c>
      <c r="R26" s="205">
        <v>2982.6890000000003</v>
      </c>
      <c r="S26" s="205">
        <v>2686.616</v>
      </c>
      <c r="T26" s="205">
        <v>2630.8220000000001</v>
      </c>
      <c r="U26" s="205">
        <v>3954.4870000000001</v>
      </c>
      <c r="V26" s="209">
        <v>8869.1196000000018</v>
      </c>
      <c r="W26" s="209">
        <v>7534.2474000000002</v>
      </c>
      <c r="X26" s="209">
        <v>9461.4168000000009</v>
      </c>
      <c r="Y26" s="210">
        <v>12588.565659494401</v>
      </c>
      <c r="Z26" s="209">
        <v>4043.4252616504064</v>
      </c>
      <c r="AA26" s="209">
        <v>4439.3434518271624</v>
      </c>
      <c r="AB26" s="209">
        <v>11562.50057125196</v>
      </c>
      <c r="AC26" s="209">
        <v>8198.2111798944243</v>
      </c>
      <c r="AD26" s="209">
        <v>5959.0553337249366</v>
      </c>
      <c r="AE26" s="209">
        <v>6003.1347641943457</v>
      </c>
      <c r="AF26" s="209">
        <v>7378.615476964198</v>
      </c>
      <c r="AG26" s="209">
        <v>10187.652550460782</v>
      </c>
      <c r="AH26" s="209">
        <v>12469.721394319089</v>
      </c>
      <c r="AI26" s="209">
        <v>11653.128041200969</v>
      </c>
      <c r="AJ26" s="209">
        <v>12514.422273481036</v>
      </c>
      <c r="AK26" s="210">
        <v>13530.002814323525</v>
      </c>
      <c r="AL26" s="209">
        <v>5910.4917753369991</v>
      </c>
      <c r="AM26" s="209">
        <v>5972.015807539774</v>
      </c>
      <c r="AN26" s="209">
        <v>14255.140065012871</v>
      </c>
      <c r="AO26" s="209">
        <v>10789.218078785683</v>
      </c>
      <c r="AP26" s="209">
        <v>8115.9748744052904</v>
      </c>
      <c r="AQ26" s="209">
        <v>9099.3709771969352</v>
      </c>
      <c r="AR26" s="209">
        <v>11622.895226798739</v>
      </c>
      <c r="AS26" s="209">
        <v>15787.819237755133</v>
      </c>
      <c r="AT26" s="209">
        <v>17458.496341088256</v>
      </c>
      <c r="AU26" s="209">
        <v>16430.289918945127</v>
      </c>
      <c r="AV26" s="209">
        <v>17571.896641313393</v>
      </c>
      <c r="AW26" s="210">
        <v>18949.856344360458</v>
      </c>
      <c r="AX26" s="209">
        <v>8422.4644391138954</v>
      </c>
      <c r="AY26" s="209">
        <v>8473.8138087913467</v>
      </c>
      <c r="AZ26" s="209">
        <v>20655.516900470455</v>
      </c>
      <c r="BA26" s="209">
        <v>14711.053172521068</v>
      </c>
      <c r="BB26" s="209">
        <v>10513.893603510529</v>
      </c>
      <c r="BC26" s="209">
        <v>12459.007059403019</v>
      </c>
      <c r="BD26" s="209">
        <v>16451.590110748399</v>
      </c>
      <c r="BE26" s="209">
        <v>22129.978100211447</v>
      </c>
      <c r="BF26" s="209">
        <v>23806.654800484976</v>
      </c>
      <c r="BG26" s="209">
        <v>22503.851364554524</v>
      </c>
      <c r="BH26" s="209">
        <v>23917.364985704622</v>
      </c>
      <c r="BI26" s="210">
        <v>25655.520905639278</v>
      </c>
      <c r="BJ26" s="209">
        <v>10855.256648545123</v>
      </c>
      <c r="BK26" s="209">
        <v>10886.658044698495</v>
      </c>
      <c r="BL26" s="209">
        <v>26670.346764517701</v>
      </c>
      <c r="BM26" s="209">
        <v>19003.911150983327</v>
      </c>
      <c r="BN26" s="209">
        <v>13687.596979672415</v>
      </c>
      <c r="BO26" s="209">
        <v>15929.542205216629</v>
      </c>
      <c r="BP26" s="209">
        <v>21020.504135505002</v>
      </c>
      <c r="BQ26" s="209">
        <v>28074.412809095043</v>
      </c>
      <c r="BR26" s="209">
        <v>30007.854351573675</v>
      </c>
      <c r="BS26" s="209">
        <v>28136.833752995826</v>
      </c>
      <c r="BT26" s="209">
        <v>29677.964483884956</v>
      </c>
      <c r="BU26" s="210">
        <v>31477.76329779693</v>
      </c>
      <c r="BV26" s="209">
        <v>13515.240356980157</v>
      </c>
      <c r="BW26" s="209">
        <v>13444.331341560093</v>
      </c>
      <c r="BX26" s="209">
        <v>32558.628899112839</v>
      </c>
      <c r="BY26" s="209">
        <v>23218.180439063373</v>
      </c>
      <c r="BZ26" s="209">
        <v>16778.976053161889</v>
      </c>
      <c r="CA26" s="209">
        <v>20164.667668372666</v>
      </c>
      <c r="CB26" s="209">
        <v>26823.073090466878</v>
      </c>
      <c r="CC26" s="209">
        <v>36295.398612797129</v>
      </c>
      <c r="CD26" s="209">
        <v>38954.893670492966</v>
      </c>
      <c r="CE26" s="209">
        <v>36700.927562397512</v>
      </c>
      <c r="CF26" s="209">
        <v>39044.628162718582</v>
      </c>
      <c r="CG26" s="210">
        <v>41545.170198025531</v>
      </c>
      <c r="CH26" s="209">
        <v>17478.834606231387</v>
      </c>
      <c r="CI26" s="209">
        <v>17456.473157927972</v>
      </c>
      <c r="CJ26" s="209">
        <v>42382.076820641087</v>
      </c>
      <c r="CK26" s="209">
        <v>30184.264384728631</v>
      </c>
      <c r="CL26" s="209">
        <v>21763.75477079297</v>
      </c>
      <c r="CM26" s="209">
        <v>26101.48246102799</v>
      </c>
      <c r="CN26" s="209">
        <v>34703.294781617245</v>
      </c>
      <c r="CO26" s="209">
        <v>46943.474041951304</v>
      </c>
      <c r="CP26" s="209">
        <v>50355.00110080895</v>
      </c>
      <c r="CQ26" s="209">
        <v>47870.633716125682</v>
      </c>
      <c r="CR26" s="209">
        <v>51426.701694087111</v>
      </c>
      <c r="CS26" s="210">
        <v>54709.688566149453</v>
      </c>
    </row>
    <row r="27" spans="1:97" s="209" customFormat="1" x14ac:dyDescent="0.25">
      <c r="A27" s="209" t="s">
        <v>1</v>
      </c>
      <c r="B27" s="209">
        <v>914.47900000000004</v>
      </c>
      <c r="C27" s="209">
        <v>1213.105</v>
      </c>
      <c r="D27" s="209">
        <v>1431.7315000000001</v>
      </c>
      <c r="E27" s="209">
        <v>3355.0014999999999</v>
      </c>
      <c r="F27" s="209">
        <v>2541.7690000000002</v>
      </c>
      <c r="G27" s="209">
        <v>5312.2894999999999</v>
      </c>
      <c r="H27" s="209">
        <v>4173.518</v>
      </c>
      <c r="I27" s="209">
        <v>2275.2130000000002</v>
      </c>
      <c r="J27" s="209">
        <v>5555.9755000000005</v>
      </c>
      <c r="K27" s="209">
        <v>4704.2089999999998</v>
      </c>
      <c r="L27" s="209">
        <v>7974.4080000000104</v>
      </c>
      <c r="M27" s="210">
        <v>8764.4260000000104</v>
      </c>
      <c r="N27" s="205">
        <v>1616.8400000000001</v>
      </c>
      <c r="O27" s="205">
        <v>2068.085</v>
      </c>
      <c r="P27" s="205">
        <v>5000.5460000000003</v>
      </c>
      <c r="Q27" s="205">
        <v>3447.4809999999998</v>
      </c>
      <c r="R27" s="205">
        <v>4656.9429999999993</v>
      </c>
      <c r="S27" s="205">
        <v>5839.1910000000007</v>
      </c>
      <c r="T27" s="205">
        <v>4157.2150000000001</v>
      </c>
      <c r="U27" s="205">
        <v>3667.2645000000002</v>
      </c>
      <c r="V27" s="209">
        <v>6571.9800000000005</v>
      </c>
      <c r="W27" s="209">
        <v>5757.3011999999999</v>
      </c>
      <c r="X27" s="209">
        <v>7851.8760000000002</v>
      </c>
      <c r="Y27" s="210">
        <v>14062.648000000001</v>
      </c>
      <c r="Z27" s="209">
        <v>5015.2825930704839</v>
      </c>
      <c r="AA27" s="209">
        <v>6550.3411658603345</v>
      </c>
      <c r="AB27" s="209">
        <v>15619.36741518541</v>
      </c>
      <c r="AC27" s="209">
        <v>16029.646760284899</v>
      </c>
      <c r="AD27" s="209">
        <v>17713.834814999289</v>
      </c>
      <c r="AE27" s="209">
        <v>18759.093572269041</v>
      </c>
      <c r="AF27" s="209">
        <v>14937.345151644175</v>
      </c>
      <c r="AG27" s="209">
        <v>13476.762395608868</v>
      </c>
      <c r="AH27" s="209">
        <v>13927.447820310477</v>
      </c>
      <c r="AI27" s="209">
        <v>12781.727585103827</v>
      </c>
      <c r="AJ27" s="209">
        <v>14006.377281134186</v>
      </c>
      <c r="AK27" s="210">
        <v>17009.198136581479</v>
      </c>
      <c r="AL27" s="209">
        <v>8272.350109881143</v>
      </c>
      <c r="AM27" s="209">
        <v>9833.4297620407669</v>
      </c>
      <c r="AN27" s="209">
        <v>20803.587132494606</v>
      </c>
      <c r="AO27" s="209">
        <v>19850.679863037571</v>
      </c>
      <c r="AP27" s="209">
        <v>21601.254631504911</v>
      </c>
      <c r="AQ27" s="209">
        <v>23323.717317334413</v>
      </c>
      <c r="AR27" s="209">
        <v>19208.110475126618</v>
      </c>
      <c r="AS27" s="209">
        <v>17456.830519350722</v>
      </c>
      <c r="AT27" s="209">
        <v>19310.132307931977</v>
      </c>
      <c r="AU27" s="209">
        <v>18360.941951497993</v>
      </c>
      <c r="AV27" s="209">
        <v>20290.364267870376</v>
      </c>
      <c r="AW27" s="210">
        <v>22698.953432544062</v>
      </c>
      <c r="AX27" s="209">
        <v>11281.295381416763</v>
      </c>
      <c r="AY27" s="209">
        <v>13240.417102378367</v>
      </c>
      <c r="AZ27" s="209">
        <v>28246.032689274936</v>
      </c>
      <c r="BA27" s="209">
        <v>26105.215652694198</v>
      </c>
      <c r="BB27" s="209">
        <v>28499.458676367889</v>
      </c>
      <c r="BC27" s="209">
        <v>30470.807814737906</v>
      </c>
      <c r="BD27" s="209">
        <v>25010.419425492692</v>
      </c>
      <c r="BE27" s="209">
        <v>22875.82747860298</v>
      </c>
      <c r="BF27" s="209">
        <v>26290.46527689253</v>
      </c>
      <c r="BG27" s="209">
        <v>26558.062931694774</v>
      </c>
      <c r="BH27" s="209">
        <v>29777.140840612727</v>
      </c>
      <c r="BI27" s="210">
        <v>33513.39237638023</v>
      </c>
      <c r="BJ27" s="209">
        <v>16225.226645390783</v>
      </c>
      <c r="BK27" s="209">
        <v>18896.17027899899</v>
      </c>
      <c r="BL27" s="209">
        <v>39540.173845636615</v>
      </c>
      <c r="BM27" s="209">
        <v>37787.543413114108</v>
      </c>
      <c r="BN27" s="209">
        <v>40984.084879911519</v>
      </c>
      <c r="BO27" s="209">
        <v>43285.100407646925</v>
      </c>
      <c r="BP27" s="209">
        <v>35396.148504444318</v>
      </c>
      <c r="BQ27" s="209">
        <v>32097.205621182322</v>
      </c>
      <c r="BR27" s="209">
        <v>35926.086616480403</v>
      </c>
      <c r="BS27" s="209">
        <v>35124.348367962055</v>
      </c>
      <c r="BT27" s="209">
        <v>38764.786441951946</v>
      </c>
      <c r="BU27" s="210">
        <v>43247.838373865714</v>
      </c>
      <c r="BV27" s="209">
        <v>21440.064870503604</v>
      </c>
      <c r="BW27" s="209">
        <v>24721.828396800589</v>
      </c>
      <c r="BX27" s="209">
        <v>51341.933514381759</v>
      </c>
      <c r="BY27" s="209">
        <v>48618.151989724123</v>
      </c>
      <c r="BZ27" s="209">
        <v>52217.119940257857</v>
      </c>
      <c r="CA27" s="209">
        <v>54840.773350580203</v>
      </c>
      <c r="CB27" s="209">
        <v>44807.214633121381</v>
      </c>
      <c r="CC27" s="209">
        <v>40893.803669480483</v>
      </c>
      <c r="CD27" s="209">
        <v>46066.094071138665</v>
      </c>
      <c r="CE27" s="209">
        <v>45480.840179950465</v>
      </c>
      <c r="CF27" s="209">
        <v>50752.436546988443</v>
      </c>
      <c r="CG27" s="210">
        <v>57144.465874701273</v>
      </c>
      <c r="CH27" s="209">
        <v>27821.106556991221</v>
      </c>
      <c r="CI27" s="209">
        <v>32119.784729381325</v>
      </c>
      <c r="CJ27" s="209">
        <v>66878.38992383756</v>
      </c>
      <c r="CK27" s="209">
        <v>63599.355567400431</v>
      </c>
      <c r="CL27" s="209">
        <v>68559.682522449017</v>
      </c>
      <c r="CM27" s="209">
        <v>72195.012179911981</v>
      </c>
      <c r="CN27" s="209">
        <v>59020.553719995674</v>
      </c>
      <c r="CO27" s="209">
        <v>53890.668581546153</v>
      </c>
      <c r="CP27" s="209">
        <v>60696.152965479065</v>
      </c>
      <c r="CQ27" s="209">
        <v>60433.974881945789</v>
      </c>
      <c r="CR27" s="209">
        <v>67972.02250811804</v>
      </c>
      <c r="CS27" s="210">
        <v>76507.415971722017</v>
      </c>
    </row>
    <row r="28" spans="1:97" s="209" customFormat="1" x14ac:dyDescent="0.25">
      <c r="A28" s="209" t="s">
        <v>2</v>
      </c>
      <c r="B28" s="209">
        <v>370.36799999999999</v>
      </c>
      <c r="C28" s="209">
        <v>383.92399999999998</v>
      </c>
      <c r="D28" s="209">
        <v>652.58399999999995</v>
      </c>
      <c r="E28" s="209">
        <v>435.28000000000003</v>
      </c>
      <c r="F28" s="209">
        <v>488.78949999999998</v>
      </c>
      <c r="G28" s="209">
        <v>1118.5895</v>
      </c>
      <c r="H28" s="209">
        <v>1025.4450000000002</v>
      </c>
      <c r="I28" s="209">
        <v>1095.4749999999999</v>
      </c>
      <c r="J28" s="209">
        <v>5113.8140000000003</v>
      </c>
      <c r="K28" s="209">
        <v>-761.30449999999996</v>
      </c>
      <c r="L28" s="209">
        <v>4491.8275000000003</v>
      </c>
      <c r="M28" s="210">
        <v>6641.0084999999899</v>
      </c>
      <c r="N28" s="205">
        <v>1390.241</v>
      </c>
      <c r="O28" s="205">
        <v>2245.1</v>
      </c>
      <c r="P28" s="205">
        <v>3288.703</v>
      </c>
      <c r="Q28" s="205">
        <v>1626.6079999999999</v>
      </c>
      <c r="R28" s="205">
        <v>2680.299</v>
      </c>
      <c r="S28" s="205">
        <v>4180.3064999999997</v>
      </c>
      <c r="T28" s="205">
        <v>2403.6120000000001</v>
      </c>
      <c r="U28" s="205">
        <v>3551.4490000000005</v>
      </c>
      <c r="V28" s="209">
        <v>5548.5779999999995</v>
      </c>
      <c r="W28" s="209">
        <v>5039.8664399999998</v>
      </c>
      <c r="X28" s="209">
        <v>6606.7866000000004</v>
      </c>
      <c r="Y28" s="210">
        <v>8641.9672500000015</v>
      </c>
      <c r="Z28" s="209">
        <v>2994.1777377790968</v>
      </c>
      <c r="AA28" s="209">
        <v>2699.8439422204028</v>
      </c>
      <c r="AB28" s="209">
        <v>6541.3112198846811</v>
      </c>
      <c r="AC28" s="209">
        <v>6192.4966428388834</v>
      </c>
      <c r="AD28" s="209">
        <v>7468.2276617532552</v>
      </c>
      <c r="AE28" s="209">
        <v>8811.654205507286</v>
      </c>
      <c r="AF28" s="209">
        <v>8792.1102368766515</v>
      </c>
      <c r="AG28" s="209">
        <v>11106.36486312936</v>
      </c>
      <c r="AH28" s="209">
        <v>13976.424460943974</v>
      </c>
      <c r="AI28" s="209">
        <v>14269.101542544931</v>
      </c>
      <c r="AJ28" s="209">
        <v>16880.639724599463</v>
      </c>
      <c r="AK28" s="210">
        <v>19349.120218713037</v>
      </c>
      <c r="AL28" s="209">
        <v>7568.8591820663642</v>
      </c>
      <c r="AM28" s="209">
        <v>6273.8260984907274</v>
      </c>
      <c r="AN28" s="209">
        <v>12693.520457530052</v>
      </c>
      <c r="AO28" s="209">
        <v>12051.963889434379</v>
      </c>
      <c r="AP28" s="209">
        <v>13405.872275738368</v>
      </c>
      <c r="AQ28" s="209">
        <v>14604.843681096369</v>
      </c>
      <c r="AR28" s="209">
        <v>13319.441146769223</v>
      </c>
      <c r="AS28" s="209">
        <v>16267.140139206553</v>
      </c>
      <c r="AT28" s="209">
        <v>19666.372233413764</v>
      </c>
      <c r="AU28" s="209">
        <v>18773.649077888273</v>
      </c>
      <c r="AV28" s="209">
        <v>20811.755561348979</v>
      </c>
      <c r="AW28" s="210">
        <v>22878.63481833243</v>
      </c>
      <c r="AX28" s="209">
        <v>10511.549451405988</v>
      </c>
      <c r="AY28" s="209">
        <v>8733.9249638158672</v>
      </c>
      <c r="AZ28" s="209">
        <v>18662.438518735238</v>
      </c>
      <c r="BA28" s="209">
        <v>17429.669325168041</v>
      </c>
      <c r="BB28" s="209">
        <v>20184.086023748299</v>
      </c>
      <c r="BC28" s="209">
        <v>21741.067534143691</v>
      </c>
      <c r="BD28" s="209">
        <v>20034.367944794227</v>
      </c>
      <c r="BE28" s="209">
        <v>24376.112512038533</v>
      </c>
      <c r="BF28" s="209">
        <v>28923.606654047391</v>
      </c>
      <c r="BG28" s="209">
        <v>27006.896202578944</v>
      </c>
      <c r="BH28" s="209">
        <v>29531.060047071187</v>
      </c>
      <c r="BI28" s="210">
        <v>31610.820659644345</v>
      </c>
      <c r="BJ28" s="209">
        <v>13935.669914978276</v>
      </c>
      <c r="BK28" s="209">
        <v>11446.81560452082</v>
      </c>
      <c r="BL28" s="209">
        <v>24266.098569330316</v>
      </c>
      <c r="BM28" s="209">
        <v>23228.162333415872</v>
      </c>
      <c r="BN28" s="209">
        <v>26635.779975923306</v>
      </c>
      <c r="BO28" s="209">
        <v>28424.29527622613</v>
      </c>
      <c r="BP28" s="209">
        <v>27197.77868736197</v>
      </c>
      <c r="BQ28" s="209">
        <v>33027.937859352991</v>
      </c>
      <c r="BR28" s="209">
        <v>39333.276837389851</v>
      </c>
      <c r="BS28" s="209">
        <v>37000.307255597203</v>
      </c>
      <c r="BT28" s="209">
        <v>39901.172148584592</v>
      </c>
      <c r="BU28" s="210">
        <v>42828.608048169066</v>
      </c>
      <c r="BV28" s="209">
        <v>19275.836393983067</v>
      </c>
      <c r="BW28" s="209">
        <v>15580.904795005878</v>
      </c>
      <c r="BX28" s="209">
        <v>32972.250657384589</v>
      </c>
      <c r="BY28" s="209">
        <v>31547.882677273905</v>
      </c>
      <c r="BZ28" s="209">
        <v>35413.886937074596</v>
      </c>
      <c r="CA28" s="209">
        <v>37349.554772072333</v>
      </c>
      <c r="CB28" s="209">
        <v>35263.329502752349</v>
      </c>
      <c r="CC28" s="209">
        <v>43100.562922453311</v>
      </c>
      <c r="CD28" s="209">
        <v>50904.747962328132</v>
      </c>
      <c r="CE28" s="209">
        <v>47457.226452460141</v>
      </c>
      <c r="CF28" s="209">
        <v>51088.725349668472</v>
      </c>
      <c r="CG28" s="210">
        <v>54267.900524221448</v>
      </c>
      <c r="CH28" s="209">
        <v>23749.938278961265</v>
      </c>
      <c r="CI28" s="209">
        <v>19109.259528904928</v>
      </c>
      <c r="CJ28" s="209">
        <v>40486.19570293455</v>
      </c>
      <c r="CK28" s="209">
        <v>39030.689916598116</v>
      </c>
      <c r="CL28" s="209">
        <v>44130.186304782779</v>
      </c>
      <c r="CM28" s="209">
        <v>46886.523724456987</v>
      </c>
      <c r="CN28" s="209">
        <v>44852.992717809408</v>
      </c>
      <c r="CO28" s="209">
        <v>54986.991384969595</v>
      </c>
      <c r="CP28" s="209">
        <v>65096.91792352825</v>
      </c>
      <c r="CQ28" s="209">
        <v>61807.598596758427</v>
      </c>
      <c r="CR28" s="209">
        <v>67233.796297761597</v>
      </c>
      <c r="CS28" s="210">
        <v>71655.038170888773</v>
      </c>
    </row>
    <row r="29" spans="1:97" s="219" customFormat="1" x14ac:dyDescent="0.25">
      <c r="A29" s="219" t="s">
        <v>3</v>
      </c>
      <c r="B29" s="219">
        <v>10417.638999999999</v>
      </c>
      <c r="C29" s="219">
        <v>9049.0069999999978</v>
      </c>
      <c r="D29" s="219">
        <v>19003.816999999999</v>
      </c>
      <c r="E29" s="219">
        <v>23838.465999999997</v>
      </c>
      <c r="F29" s="219">
        <v>18586.255000000001</v>
      </c>
      <c r="G29" s="219">
        <v>27305.806999999993</v>
      </c>
      <c r="H29" s="219">
        <v>29199.373999999996</v>
      </c>
      <c r="I29" s="219">
        <v>16805.392</v>
      </c>
      <c r="J29" s="219">
        <v>38876.936999999991</v>
      </c>
      <c r="K29" s="219">
        <v>25749.087999999992</v>
      </c>
      <c r="L29" s="219">
        <v>42738.083000000042</v>
      </c>
      <c r="M29" s="220">
        <v>58359.96899999999</v>
      </c>
      <c r="N29" s="221">
        <v>12838.284999999998</v>
      </c>
      <c r="O29" s="221">
        <v>13773.312999999971</v>
      </c>
      <c r="P29" s="221">
        <v>34185.045999999995</v>
      </c>
      <c r="Q29" s="221">
        <v>30847.053000000011</v>
      </c>
      <c r="R29" s="221">
        <v>28153.600999999995</v>
      </c>
      <c r="S29" s="221">
        <v>42170.820000000072</v>
      </c>
      <c r="T29" s="221">
        <v>30013.258000000013</v>
      </c>
      <c r="U29" s="221">
        <v>31855.821000000029</v>
      </c>
      <c r="V29" s="219">
        <v>54694.498114321294</v>
      </c>
      <c r="W29" s="219">
        <v>50626.864356744452</v>
      </c>
      <c r="X29" s="219">
        <v>61993.298429609182</v>
      </c>
      <c r="Y29" s="220">
        <v>80325.329685155011</v>
      </c>
      <c r="Z29" s="219">
        <v>21159.465884169887</v>
      </c>
      <c r="AA29" s="219">
        <v>20867.642534235856</v>
      </c>
      <c r="AB29" s="219">
        <v>49678.550803872859</v>
      </c>
      <c r="AC29" s="219">
        <v>49306.357366960248</v>
      </c>
      <c r="AD29" s="219">
        <v>57719.167284380776</v>
      </c>
      <c r="AE29" s="219">
        <v>64986.347978287136</v>
      </c>
      <c r="AF29" s="219">
        <v>59891.902241751806</v>
      </c>
      <c r="AG29" s="219">
        <v>66554.351797741721</v>
      </c>
      <c r="AH29" s="219">
        <v>74354.220299720429</v>
      </c>
      <c r="AI29" s="219">
        <v>70348.989256097513</v>
      </c>
      <c r="AJ29" s="219">
        <v>77982.43853511526</v>
      </c>
      <c r="AK29" s="220">
        <v>87307.252311144912</v>
      </c>
      <c r="AL29" s="219">
        <v>34321.297796595798</v>
      </c>
      <c r="AM29" s="219">
        <v>32250.92796261872</v>
      </c>
      <c r="AN29" s="219">
        <v>70684.424538215841</v>
      </c>
      <c r="AO29" s="219">
        <v>70401.181392558297</v>
      </c>
      <c r="AP29" s="219">
        <v>81385.213666934636</v>
      </c>
      <c r="AQ29" s="219">
        <v>88189.814000671846</v>
      </c>
      <c r="AR29" s="219">
        <v>82962.854586778689</v>
      </c>
      <c r="AS29" s="219">
        <v>92166.847510437743</v>
      </c>
      <c r="AT29" s="219">
        <v>101894.627425999</v>
      </c>
      <c r="AU29" s="219">
        <v>96015.437422263494</v>
      </c>
      <c r="AV29" s="219">
        <v>104828.68554601222</v>
      </c>
      <c r="AW29" s="220">
        <v>112845.20900166998</v>
      </c>
      <c r="AX29" s="219">
        <v>47263.622369885292</v>
      </c>
      <c r="AY29" s="219">
        <v>43882.836063481911</v>
      </c>
      <c r="AZ29" s="219">
        <v>100136.60504735899</v>
      </c>
      <c r="BA29" s="219">
        <v>98265.176335136173</v>
      </c>
      <c r="BB29" s="219">
        <v>113451.8404682462</v>
      </c>
      <c r="BC29" s="219">
        <v>121633.20845398761</v>
      </c>
      <c r="BD29" s="219">
        <v>115675.67310345649</v>
      </c>
      <c r="BE29" s="219">
        <v>128253.26564032436</v>
      </c>
      <c r="BF29" s="219">
        <v>141594.15261520579</v>
      </c>
      <c r="BG29" s="219">
        <v>135169.86425313604</v>
      </c>
      <c r="BH29" s="219">
        <v>146816.36621835019</v>
      </c>
      <c r="BI29" s="220">
        <v>158519.15773317625</v>
      </c>
      <c r="BJ29" s="219">
        <v>62906.017346450491</v>
      </c>
      <c r="BK29" s="219">
        <v>58606.205861667389</v>
      </c>
      <c r="BL29" s="219">
        <v>131837.47078280666</v>
      </c>
      <c r="BM29" s="219">
        <v>130927.02075911182</v>
      </c>
      <c r="BN29" s="219">
        <v>149857.68304294563</v>
      </c>
      <c r="BO29" s="219">
        <v>158698.2168866914</v>
      </c>
      <c r="BP29" s="219">
        <v>151427.29952664426</v>
      </c>
      <c r="BQ29" s="219">
        <v>166400.77403503735</v>
      </c>
      <c r="BR29" s="219">
        <v>183137.02266460669</v>
      </c>
      <c r="BS29" s="219">
        <v>173291.11433310361</v>
      </c>
      <c r="BT29" s="219">
        <v>186366.30331545442</v>
      </c>
      <c r="BU29" s="220">
        <v>199889.55689179816</v>
      </c>
      <c r="BV29" s="219">
        <v>81401.598139586975</v>
      </c>
      <c r="BW29" s="219">
        <v>75470.280181445152</v>
      </c>
      <c r="BX29" s="219">
        <v>169434.38471165992</v>
      </c>
      <c r="BY29" s="219">
        <v>168467.63540539288</v>
      </c>
      <c r="BZ29" s="219">
        <v>192799.16214823214</v>
      </c>
      <c r="CA29" s="219">
        <v>204254.70715070594</v>
      </c>
      <c r="CB29" s="219">
        <v>194993.01011496337</v>
      </c>
      <c r="CC29" s="219">
        <v>216572.4955398695</v>
      </c>
      <c r="CD29" s="219">
        <v>238603.77049330593</v>
      </c>
      <c r="CE29" s="219">
        <v>226364.87782416897</v>
      </c>
      <c r="CF29" s="219">
        <v>245014.36622881636</v>
      </c>
      <c r="CG29" s="220">
        <v>263434.16988250619</v>
      </c>
      <c r="CH29" s="219">
        <v>104329.76892462958</v>
      </c>
      <c r="CI29" s="219">
        <v>96851.466058082238</v>
      </c>
      <c r="CJ29" s="219">
        <v>217730.72621455471</v>
      </c>
      <c r="CK29" s="219">
        <v>217026.59580959508</v>
      </c>
      <c r="CL29" s="219">
        <v>248741.56737455723</v>
      </c>
      <c r="CM29" s="219">
        <v>263956.73104074755</v>
      </c>
      <c r="CN29" s="219">
        <v>252373.30016577523</v>
      </c>
      <c r="CO29" s="219">
        <v>280154.88038704911</v>
      </c>
      <c r="CP29" s="219">
        <v>308717.89028989204</v>
      </c>
      <c r="CQ29" s="219">
        <v>296198.63401163981</v>
      </c>
      <c r="CR29" s="219">
        <v>323683.35146853433</v>
      </c>
      <c r="CS29" s="220">
        <v>348281.70048459002</v>
      </c>
    </row>
    <row r="30" spans="1:97" s="222" customFormat="1" x14ac:dyDescent="0.25">
      <c r="G30" s="223"/>
      <c r="H30" s="223"/>
      <c r="I30" s="223"/>
      <c r="J30" s="223"/>
      <c r="K30" s="223"/>
      <c r="L30" s="223"/>
      <c r="M30" s="224"/>
      <c r="N30" s="225"/>
      <c r="O30" s="225"/>
      <c r="P30" s="225"/>
      <c r="Q30" s="225"/>
      <c r="R30" s="225"/>
      <c r="S30" s="226"/>
      <c r="T30" s="226"/>
      <c r="U30" s="226"/>
      <c r="Y30" s="214"/>
      <c r="AK30" s="214"/>
      <c r="AW30" s="214"/>
      <c r="BI30" s="214"/>
      <c r="BU30" s="214"/>
      <c r="CG30" s="214"/>
      <c r="CS30" s="214"/>
    </row>
    <row r="31" spans="1:97" s="194" customFormat="1" x14ac:dyDescent="0.25">
      <c r="A31" s="72"/>
      <c r="B31" s="72">
        <v>1</v>
      </c>
      <c r="C31" s="190">
        <v>2</v>
      </c>
      <c r="D31" s="190">
        <v>3</v>
      </c>
      <c r="E31" s="190">
        <v>4</v>
      </c>
      <c r="F31" s="190">
        <v>5</v>
      </c>
      <c r="G31" s="190">
        <v>6</v>
      </c>
      <c r="H31" s="190">
        <v>7</v>
      </c>
      <c r="I31" s="190">
        <v>8</v>
      </c>
      <c r="J31" s="190">
        <v>9</v>
      </c>
      <c r="K31" s="190">
        <v>10</v>
      </c>
      <c r="L31" s="190">
        <v>11</v>
      </c>
      <c r="M31" s="191">
        <v>12</v>
      </c>
      <c r="N31" s="193">
        <v>13</v>
      </c>
      <c r="O31" s="193">
        <v>14</v>
      </c>
      <c r="P31" s="193">
        <v>15</v>
      </c>
      <c r="Q31" s="193">
        <v>16</v>
      </c>
      <c r="R31" s="193">
        <v>17</v>
      </c>
      <c r="S31" s="193">
        <v>18</v>
      </c>
      <c r="T31" s="193">
        <v>19</v>
      </c>
      <c r="U31" s="193">
        <v>20</v>
      </c>
      <c r="V31" s="190">
        <v>21</v>
      </c>
      <c r="W31" s="190">
        <v>22</v>
      </c>
      <c r="X31" s="190">
        <v>23</v>
      </c>
      <c r="Y31" s="191">
        <v>24</v>
      </c>
      <c r="Z31" s="190">
        <v>25</v>
      </c>
      <c r="AA31" s="190">
        <v>26</v>
      </c>
      <c r="AB31" s="190">
        <v>27</v>
      </c>
      <c r="AC31" s="190">
        <v>28</v>
      </c>
      <c r="AD31" s="190">
        <v>29</v>
      </c>
      <c r="AE31" s="190">
        <v>30</v>
      </c>
      <c r="AF31" s="190">
        <v>31</v>
      </c>
      <c r="AG31" s="190">
        <v>32</v>
      </c>
      <c r="AH31" s="190">
        <v>33</v>
      </c>
      <c r="AI31" s="190">
        <v>34</v>
      </c>
      <c r="AJ31" s="190">
        <v>35</v>
      </c>
      <c r="AK31" s="191">
        <v>36</v>
      </c>
      <c r="AL31" s="190">
        <v>37</v>
      </c>
      <c r="AM31" s="190">
        <v>38</v>
      </c>
      <c r="AN31" s="190">
        <v>39</v>
      </c>
      <c r="AO31" s="190">
        <v>40</v>
      </c>
      <c r="AP31" s="190">
        <v>41</v>
      </c>
      <c r="AQ31" s="190">
        <v>42</v>
      </c>
      <c r="AR31" s="190">
        <v>43</v>
      </c>
      <c r="AS31" s="190">
        <v>44</v>
      </c>
      <c r="AT31" s="190">
        <v>45</v>
      </c>
      <c r="AU31" s="190">
        <v>46</v>
      </c>
      <c r="AV31" s="190">
        <v>47</v>
      </c>
      <c r="AW31" s="191">
        <v>48</v>
      </c>
      <c r="AX31" s="190">
        <v>49</v>
      </c>
      <c r="AY31" s="190">
        <v>50</v>
      </c>
      <c r="AZ31" s="190">
        <v>51</v>
      </c>
      <c r="BA31" s="190">
        <v>52</v>
      </c>
      <c r="BB31" s="190">
        <v>53</v>
      </c>
      <c r="BC31" s="190">
        <v>54</v>
      </c>
      <c r="BD31" s="190">
        <v>55</v>
      </c>
      <c r="BE31" s="190">
        <v>56</v>
      </c>
      <c r="BF31" s="190">
        <v>57</v>
      </c>
      <c r="BG31" s="190">
        <v>58</v>
      </c>
      <c r="BH31" s="190">
        <v>59</v>
      </c>
      <c r="BI31" s="191">
        <v>60</v>
      </c>
      <c r="BJ31" s="190">
        <v>61</v>
      </c>
      <c r="BK31" s="190">
        <v>62</v>
      </c>
      <c r="BL31" s="190">
        <v>63</v>
      </c>
      <c r="BM31" s="190">
        <v>64</v>
      </c>
      <c r="BN31" s="190">
        <v>65</v>
      </c>
      <c r="BO31" s="190">
        <v>66</v>
      </c>
      <c r="BP31" s="190">
        <v>67</v>
      </c>
      <c r="BQ31" s="190">
        <v>68</v>
      </c>
      <c r="BR31" s="190">
        <v>69</v>
      </c>
      <c r="BS31" s="190">
        <v>70</v>
      </c>
      <c r="BT31" s="190">
        <v>71</v>
      </c>
      <c r="BU31" s="191">
        <v>72</v>
      </c>
      <c r="BV31" s="190">
        <v>73</v>
      </c>
      <c r="BW31" s="190">
        <v>74</v>
      </c>
      <c r="BX31" s="190">
        <v>75</v>
      </c>
      <c r="BY31" s="190">
        <v>76</v>
      </c>
      <c r="BZ31" s="190">
        <v>77</v>
      </c>
      <c r="CA31" s="190">
        <v>78</v>
      </c>
      <c r="CB31" s="190">
        <v>79</v>
      </c>
      <c r="CC31" s="190">
        <v>80</v>
      </c>
      <c r="CD31" s="190">
        <v>81</v>
      </c>
      <c r="CE31" s="190">
        <v>82</v>
      </c>
      <c r="CF31" s="190">
        <v>83</v>
      </c>
      <c r="CG31" s="191">
        <v>84</v>
      </c>
      <c r="CH31" s="190">
        <v>85</v>
      </c>
      <c r="CI31" s="190">
        <v>86</v>
      </c>
      <c r="CJ31" s="190">
        <v>87</v>
      </c>
      <c r="CK31" s="190">
        <v>88</v>
      </c>
      <c r="CL31" s="190">
        <v>89</v>
      </c>
      <c r="CM31" s="190">
        <v>90</v>
      </c>
      <c r="CN31" s="190">
        <v>91</v>
      </c>
      <c r="CO31" s="190">
        <v>92</v>
      </c>
      <c r="CP31" s="190">
        <v>93</v>
      </c>
      <c r="CQ31" s="190">
        <v>94</v>
      </c>
      <c r="CR31" s="190">
        <v>95</v>
      </c>
      <c r="CS31" s="191">
        <v>96</v>
      </c>
    </row>
    <row r="32" spans="1:97" s="227" customFormat="1" x14ac:dyDescent="0.25">
      <c r="A32" s="227" t="s">
        <v>9</v>
      </c>
      <c r="B32" s="228">
        <v>42005</v>
      </c>
      <c r="C32" s="228">
        <v>42036</v>
      </c>
      <c r="D32" s="228">
        <v>42064</v>
      </c>
      <c r="E32" s="228">
        <v>42095</v>
      </c>
      <c r="F32" s="228">
        <v>42125</v>
      </c>
      <c r="G32" s="228">
        <v>42156</v>
      </c>
      <c r="H32" s="228">
        <v>42186</v>
      </c>
      <c r="I32" s="228">
        <v>42217</v>
      </c>
      <c r="J32" s="228">
        <v>42248</v>
      </c>
      <c r="K32" s="228">
        <v>42278</v>
      </c>
      <c r="L32" s="228">
        <v>42309</v>
      </c>
      <c r="M32" s="229">
        <v>42339</v>
      </c>
      <c r="N32" s="230">
        <v>42370</v>
      </c>
      <c r="O32" s="230">
        <v>42401</v>
      </c>
      <c r="P32" s="230">
        <v>42430</v>
      </c>
      <c r="Q32" s="230">
        <v>42461</v>
      </c>
      <c r="R32" s="230">
        <v>42491</v>
      </c>
      <c r="S32" s="230">
        <v>42522</v>
      </c>
      <c r="T32" s="230">
        <v>42552</v>
      </c>
      <c r="U32" s="230">
        <v>42583</v>
      </c>
      <c r="V32" s="228">
        <v>42614</v>
      </c>
      <c r="W32" s="228">
        <v>42644</v>
      </c>
      <c r="X32" s="228">
        <v>42675</v>
      </c>
      <c r="Y32" s="229">
        <v>42705</v>
      </c>
      <c r="Z32" s="228">
        <v>42752</v>
      </c>
      <c r="AA32" s="228">
        <v>42783</v>
      </c>
      <c r="AB32" s="228">
        <v>42811</v>
      </c>
      <c r="AC32" s="228">
        <v>42842</v>
      </c>
      <c r="AD32" s="228">
        <v>42872</v>
      </c>
      <c r="AE32" s="228">
        <v>42903</v>
      </c>
      <c r="AF32" s="228">
        <v>42933</v>
      </c>
      <c r="AG32" s="228">
        <v>42964</v>
      </c>
      <c r="AH32" s="228">
        <v>42995</v>
      </c>
      <c r="AI32" s="228">
        <v>43025</v>
      </c>
      <c r="AJ32" s="228">
        <v>43056</v>
      </c>
      <c r="AK32" s="229">
        <v>43086</v>
      </c>
      <c r="AL32" s="228">
        <v>43118</v>
      </c>
      <c r="AM32" s="228">
        <v>43149</v>
      </c>
      <c r="AN32" s="228">
        <v>43177</v>
      </c>
      <c r="AO32" s="228">
        <v>43208</v>
      </c>
      <c r="AP32" s="228">
        <v>43238</v>
      </c>
      <c r="AQ32" s="228">
        <v>43269</v>
      </c>
      <c r="AR32" s="228">
        <v>43299</v>
      </c>
      <c r="AS32" s="228">
        <v>43330</v>
      </c>
      <c r="AT32" s="228">
        <v>43361</v>
      </c>
      <c r="AU32" s="228">
        <v>43391</v>
      </c>
      <c r="AV32" s="228">
        <v>43422</v>
      </c>
      <c r="AW32" s="229">
        <v>43452</v>
      </c>
      <c r="AX32" s="228">
        <v>43483</v>
      </c>
      <c r="AY32" s="228">
        <v>43514</v>
      </c>
      <c r="AZ32" s="228">
        <v>43542</v>
      </c>
      <c r="BA32" s="228">
        <v>43573</v>
      </c>
      <c r="BB32" s="228">
        <v>43603</v>
      </c>
      <c r="BC32" s="228">
        <v>43634</v>
      </c>
      <c r="BD32" s="228">
        <v>43664</v>
      </c>
      <c r="BE32" s="228">
        <v>43695</v>
      </c>
      <c r="BF32" s="228">
        <v>43726</v>
      </c>
      <c r="BG32" s="228">
        <v>43756</v>
      </c>
      <c r="BH32" s="228">
        <v>43787</v>
      </c>
      <c r="BI32" s="229">
        <v>43817</v>
      </c>
      <c r="BJ32" s="228">
        <v>43848</v>
      </c>
      <c r="BK32" s="228">
        <v>43879</v>
      </c>
      <c r="BL32" s="228">
        <v>43908</v>
      </c>
      <c r="BM32" s="228">
        <v>43939</v>
      </c>
      <c r="BN32" s="228">
        <v>43969</v>
      </c>
      <c r="BO32" s="228">
        <v>44000</v>
      </c>
      <c r="BP32" s="228">
        <v>44030</v>
      </c>
      <c r="BQ32" s="228">
        <v>44061</v>
      </c>
      <c r="BR32" s="228">
        <v>44092</v>
      </c>
      <c r="BS32" s="228">
        <v>44122</v>
      </c>
      <c r="BT32" s="228">
        <v>44153</v>
      </c>
      <c r="BU32" s="229">
        <v>44183</v>
      </c>
      <c r="BV32" s="228">
        <v>44214</v>
      </c>
      <c r="BW32" s="228">
        <v>44245</v>
      </c>
      <c r="BX32" s="228">
        <v>44273</v>
      </c>
      <c r="BY32" s="228">
        <v>44304</v>
      </c>
      <c r="BZ32" s="228">
        <v>44334</v>
      </c>
      <c r="CA32" s="228">
        <v>44365</v>
      </c>
      <c r="CB32" s="228">
        <v>44395</v>
      </c>
      <c r="CC32" s="228">
        <v>44426</v>
      </c>
      <c r="CD32" s="228">
        <v>44457</v>
      </c>
      <c r="CE32" s="228">
        <v>44487</v>
      </c>
      <c r="CF32" s="228">
        <v>44518</v>
      </c>
      <c r="CG32" s="229">
        <v>44548</v>
      </c>
      <c r="CH32" s="228">
        <v>44579</v>
      </c>
      <c r="CI32" s="228">
        <v>44610</v>
      </c>
      <c r="CJ32" s="228">
        <v>44638</v>
      </c>
      <c r="CK32" s="228">
        <v>44669</v>
      </c>
      <c r="CL32" s="228">
        <v>44699</v>
      </c>
      <c r="CM32" s="228">
        <v>44730</v>
      </c>
      <c r="CN32" s="228">
        <v>44760</v>
      </c>
      <c r="CO32" s="228">
        <v>44791</v>
      </c>
      <c r="CP32" s="228">
        <v>44822</v>
      </c>
      <c r="CQ32" s="228">
        <v>44852</v>
      </c>
      <c r="CR32" s="228">
        <v>44883</v>
      </c>
      <c r="CS32" s="229">
        <v>44913</v>
      </c>
    </row>
    <row r="33" spans="1:97" s="209" customFormat="1" x14ac:dyDescent="0.25">
      <c r="A33" s="209" t="s">
        <v>4</v>
      </c>
      <c r="B33" s="209">
        <v>52</v>
      </c>
      <c r="C33" s="209">
        <v>57</v>
      </c>
      <c r="D33" s="209">
        <v>63</v>
      </c>
      <c r="E33" s="209">
        <v>70</v>
      </c>
      <c r="F33" s="209">
        <v>71</v>
      </c>
      <c r="G33" s="209">
        <v>71</v>
      </c>
      <c r="H33" s="209">
        <v>76</v>
      </c>
      <c r="I33" s="209">
        <v>76</v>
      </c>
      <c r="J33" s="209">
        <v>77</v>
      </c>
      <c r="K33" s="209">
        <v>77</v>
      </c>
      <c r="L33" s="209">
        <v>73</v>
      </c>
      <c r="M33" s="210">
        <v>76</v>
      </c>
      <c r="N33" s="205">
        <v>117</v>
      </c>
      <c r="O33" s="205">
        <v>116</v>
      </c>
      <c r="P33" s="205">
        <v>118</v>
      </c>
      <c r="Q33" s="205">
        <v>117</v>
      </c>
      <c r="R33" s="205">
        <v>112</v>
      </c>
      <c r="S33" s="205">
        <v>107</v>
      </c>
      <c r="T33" s="205">
        <v>99</v>
      </c>
      <c r="U33" s="205">
        <v>96</v>
      </c>
      <c r="V33" s="209">
        <v>96</v>
      </c>
      <c r="W33" s="209">
        <v>96</v>
      </c>
      <c r="X33" s="209">
        <v>96</v>
      </c>
      <c r="Y33" s="210">
        <v>96</v>
      </c>
      <c r="Z33" s="209">
        <v>130</v>
      </c>
      <c r="AA33" s="209">
        <v>130</v>
      </c>
      <c r="AB33" s="209">
        <v>130</v>
      </c>
      <c r="AC33" s="209">
        <v>130</v>
      </c>
      <c r="AD33" s="209">
        <v>130</v>
      </c>
      <c r="AE33" s="209">
        <v>130</v>
      </c>
      <c r="AF33" s="209">
        <v>130</v>
      </c>
      <c r="AG33" s="209">
        <v>130</v>
      </c>
      <c r="AH33" s="209">
        <v>130</v>
      </c>
      <c r="AI33" s="209">
        <v>130</v>
      </c>
      <c r="AJ33" s="209">
        <v>130</v>
      </c>
      <c r="AK33" s="210">
        <v>130</v>
      </c>
      <c r="AL33" s="209">
        <v>170</v>
      </c>
      <c r="AM33" s="209">
        <v>170</v>
      </c>
      <c r="AN33" s="209">
        <v>170</v>
      </c>
      <c r="AO33" s="209">
        <v>170</v>
      </c>
      <c r="AP33" s="209">
        <v>170</v>
      </c>
      <c r="AQ33" s="209">
        <v>170</v>
      </c>
      <c r="AR33" s="209">
        <v>170</v>
      </c>
      <c r="AS33" s="209">
        <v>170</v>
      </c>
      <c r="AT33" s="209">
        <v>170</v>
      </c>
      <c r="AU33" s="209">
        <v>170</v>
      </c>
      <c r="AV33" s="209">
        <v>170</v>
      </c>
      <c r="AW33" s="210">
        <v>170</v>
      </c>
      <c r="AX33" s="209">
        <v>210</v>
      </c>
      <c r="AY33" s="209">
        <v>210</v>
      </c>
      <c r="AZ33" s="209">
        <v>210</v>
      </c>
      <c r="BA33" s="209">
        <v>210</v>
      </c>
      <c r="BB33" s="209">
        <v>210</v>
      </c>
      <c r="BC33" s="209">
        <v>210</v>
      </c>
      <c r="BD33" s="209">
        <v>210</v>
      </c>
      <c r="BE33" s="209">
        <v>210</v>
      </c>
      <c r="BF33" s="209">
        <v>210</v>
      </c>
      <c r="BG33" s="209">
        <v>210</v>
      </c>
      <c r="BH33" s="209">
        <v>210</v>
      </c>
      <c r="BI33" s="210">
        <v>210</v>
      </c>
      <c r="BJ33" s="209">
        <v>250</v>
      </c>
      <c r="BK33" s="209">
        <v>250</v>
      </c>
      <c r="BL33" s="209">
        <v>250</v>
      </c>
      <c r="BM33" s="209">
        <v>250</v>
      </c>
      <c r="BN33" s="209">
        <v>250</v>
      </c>
      <c r="BO33" s="209">
        <v>250</v>
      </c>
      <c r="BP33" s="209">
        <v>250</v>
      </c>
      <c r="BQ33" s="209">
        <v>250</v>
      </c>
      <c r="BR33" s="209">
        <v>250</v>
      </c>
      <c r="BS33" s="209">
        <v>250</v>
      </c>
      <c r="BT33" s="209">
        <v>250</v>
      </c>
      <c r="BU33" s="210">
        <v>250</v>
      </c>
      <c r="BV33" s="209">
        <v>290</v>
      </c>
      <c r="BW33" s="209">
        <v>290</v>
      </c>
      <c r="BX33" s="209">
        <v>290</v>
      </c>
      <c r="BY33" s="209">
        <v>290</v>
      </c>
      <c r="BZ33" s="209">
        <v>290</v>
      </c>
      <c r="CA33" s="209">
        <v>290</v>
      </c>
      <c r="CB33" s="209">
        <v>290</v>
      </c>
      <c r="CC33" s="209">
        <v>290</v>
      </c>
      <c r="CD33" s="209">
        <v>290</v>
      </c>
      <c r="CE33" s="209">
        <v>290</v>
      </c>
      <c r="CF33" s="209">
        <v>290</v>
      </c>
      <c r="CG33" s="210">
        <v>290</v>
      </c>
      <c r="CH33" s="209">
        <v>330</v>
      </c>
      <c r="CI33" s="209">
        <v>330</v>
      </c>
      <c r="CJ33" s="209">
        <v>330</v>
      </c>
      <c r="CK33" s="209">
        <v>330</v>
      </c>
      <c r="CL33" s="209">
        <v>330</v>
      </c>
      <c r="CM33" s="209">
        <v>330</v>
      </c>
      <c r="CN33" s="209">
        <v>330</v>
      </c>
      <c r="CO33" s="209">
        <v>330</v>
      </c>
      <c r="CP33" s="209">
        <v>330</v>
      </c>
      <c r="CQ33" s="209">
        <v>330</v>
      </c>
      <c r="CR33" s="209">
        <v>330</v>
      </c>
      <c r="CS33" s="210">
        <v>330</v>
      </c>
    </row>
    <row r="34" spans="1:97" s="209" customFormat="1" x14ac:dyDescent="0.25">
      <c r="A34" s="209" t="s">
        <v>5</v>
      </c>
      <c r="B34" s="209">
        <v>434</v>
      </c>
      <c r="C34" s="209">
        <v>211</v>
      </c>
      <c r="D34" s="209">
        <v>452</v>
      </c>
      <c r="E34" s="209">
        <v>580</v>
      </c>
      <c r="F34" s="209">
        <v>470</v>
      </c>
      <c r="G34" s="209">
        <v>502</v>
      </c>
      <c r="H34" s="209">
        <v>498</v>
      </c>
      <c r="I34" s="209">
        <v>488</v>
      </c>
      <c r="J34" s="209">
        <v>574</v>
      </c>
      <c r="K34" s="209">
        <v>464</v>
      </c>
      <c r="L34" s="209">
        <v>805</v>
      </c>
      <c r="M34" s="210">
        <v>592</v>
      </c>
      <c r="N34" s="205">
        <v>205</v>
      </c>
      <c r="O34" s="205">
        <v>196</v>
      </c>
      <c r="P34" s="205">
        <v>683</v>
      </c>
      <c r="Q34" s="205">
        <v>545</v>
      </c>
      <c r="R34" s="205">
        <v>748</v>
      </c>
      <c r="S34" s="205">
        <v>1300</v>
      </c>
      <c r="T34" s="205">
        <v>926</v>
      </c>
      <c r="U34" s="205">
        <v>1052</v>
      </c>
      <c r="V34" s="209">
        <v>1251.0592182400001</v>
      </c>
      <c r="W34" s="209">
        <v>1369.9197429120002</v>
      </c>
      <c r="X34" s="209">
        <v>1392.70876190848</v>
      </c>
      <c r="Y34" s="210">
        <v>1456.14380671812</v>
      </c>
      <c r="Z34" s="209">
        <v>423.78313333889719</v>
      </c>
      <c r="AA34" s="209">
        <v>441.15685631665389</v>
      </c>
      <c r="AB34" s="209">
        <v>1140.7202601023207</v>
      </c>
      <c r="AC34" s="209">
        <v>1115.7614684765738</v>
      </c>
      <c r="AD34" s="209">
        <v>1355.9996124012082</v>
      </c>
      <c r="AE34" s="209">
        <v>1725.6740965621302</v>
      </c>
      <c r="AF34" s="209">
        <v>1215.8254547148047</v>
      </c>
      <c r="AG34" s="209">
        <v>1468.2698134488169</v>
      </c>
      <c r="AH34" s="209">
        <v>1721.9132116041837</v>
      </c>
      <c r="AI34" s="209">
        <v>1348.7400579646246</v>
      </c>
      <c r="AJ34" s="209">
        <v>1584.0841279619865</v>
      </c>
      <c r="AK34" s="210">
        <v>1841.0022303166488</v>
      </c>
      <c r="AL34" s="209">
        <v>535.05978658248364</v>
      </c>
      <c r="AM34" s="209">
        <v>557.01642889980712</v>
      </c>
      <c r="AN34" s="209">
        <v>1724.5412856817002</v>
      </c>
      <c r="AO34" s="209">
        <v>1554.0072459593921</v>
      </c>
      <c r="AP34" s="209">
        <v>1772.062062433153</v>
      </c>
      <c r="AQ34" s="209">
        <v>1923.8874177449056</v>
      </c>
      <c r="AR34" s="209">
        <v>1622.4039450284586</v>
      </c>
      <c r="AS34" s="209">
        <v>1856.178550273597</v>
      </c>
      <c r="AT34" s="209">
        <v>2019.5569719716245</v>
      </c>
      <c r="AU34" s="209">
        <v>1707.6227240874277</v>
      </c>
      <c r="AV34" s="209">
        <v>1956.051439190926</v>
      </c>
      <c r="AW34" s="210">
        <v>2053.8250716883831</v>
      </c>
      <c r="AX34" s="209">
        <v>607.72851606931636</v>
      </c>
      <c r="AY34" s="209">
        <v>630.82689540963383</v>
      </c>
      <c r="AZ34" s="209">
        <v>2134.51625937775</v>
      </c>
      <c r="BA34" s="209">
        <v>2041.7210455926961</v>
      </c>
      <c r="BB34" s="209">
        <v>2118.9882747621577</v>
      </c>
      <c r="BC34" s="209">
        <v>2241.8411554123531</v>
      </c>
      <c r="BD34" s="209">
        <v>2119.9280137590727</v>
      </c>
      <c r="BE34" s="209">
        <v>2206.3732581976051</v>
      </c>
      <c r="BF34" s="209">
        <v>2342.1969823206609</v>
      </c>
      <c r="BG34" s="209">
        <v>2227.9758598054932</v>
      </c>
      <c r="BH34" s="209">
        <v>2325.3663096643254</v>
      </c>
      <c r="BI34" s="210">
        <v>2471.875087600758</v>
      </c>
      <c r="BJ34" s="209">
        <v>721.46034919526846</v>
      </c>
      <c r="BK34" s="209">
        <v>749.7710166054959</v>
      </c>
      <c r="BL34" s="209">
        <v>2469.154258912698</v>
      </c>
      <c r="BM34" s="209">
        <v>2339.0760685196083</v>
      </c>
      <c r="BN34" s="209">
        <v>2418.4563570928717</v>
      </c>
      <c r="BO34" s="209">
        <v>2500.9077736110462</v>
      </c>
      <c r="BP34" s="209">
        <v>2366.8146123139704</v>
      </c>
      <c r="BQ34" s="209">
        <v>2454.7773260979366</v>
      </c>
      <c r="BR34" s="209">
        <v>2547.7881654498087</v>
      </c>
      <c r="BS34" s="209">
        <v>2421.0152538941174</v>
      </c>
      <c r="BT34" s="209">
        <v>2518.6261532107687</v>
      </c>
      <c r="BU34" s="210">
        <v>2618.8666756078319</v>
      </c>
      <c r="BV34" s="209">
        <v>799.31117439055322</v>
      </c>
      <c r="BW34" s="209">
        <v>831.19704302599939</v>
      </c>
      <c r="BX34" s="209">
        <v>2743.7541384087622</v>
      </c>
      <c r="BY34" s="209">
        <v>2640.2772064978662</v>
      </c>
      <c r="BZ34" s="209">
        <v>2727.7950192767557</v>
      </c>
      <c r="CA34" s="209">
        <v>2818.6470185547014</v>
      </c>
      <c r="CB34" s="209">
        <v>2704.40675077181</v>
      </c>
      <c r="CC34" s="209">
        <v>2800.8981593764956</v>
      </c>
      <c r="CD34" s="209">
        <v>2903.1995738572937</v>
      </c>
      <c r="CE34" s="209">
        <v>2800.7176886807033</v>
      </c>
      <c r="CF34" s="209">
        <v>2908.1648350474507</v>
      </c>
      <c r="CG34" s="210">
        <v>3018.7428793775453</v>
      </c>
      <c r="CH34" s="209">
        <v>917.31704402973912</v>
      </c>
      <c r="CI34" s="209">
        <v>952.79704260465519</v>
      </c>
      <c r="CJ34" s="209">
        <v>3149.2409407333953</v>
      </c>
      <c r="CK34" s="209">
        <v>3027.2681256549768</v>
      </c>
      <c r="CL34" s="209">
        <v>3125.1564861697766</v>
      </c>
      <c r="CM34" s="209">
        <v>3227.2414932478496</v>
      </c>
      <c r="CN34" s="209">
        <v>3095.2246716557092</v>
      </c>
      <c r="CO34" s="209">
        <v>3204.1068953441536</v>
      </c>
      <c r="CP34" s="209">
        <v>3319.6993371831318</v>
      </c>
      <c r="CQ34" s="209">
        <v>3201.8134868505822</v>
      </c>
      <c r="CR34" s="209">
        <v>3323.5331513807787</v>
      </c>
      <c r="CS34" s="210">
        <v>3448.9845445021006</v>
      </c>
    </row>
    <row r="35" spans="1:97" s="209" customFormat="1" x14ac:dyDescent="0.25">
      <c r="A35" s="209" t="s">
        <v>6</v>
      </c>
      <c r="B35" s="209">
        <v>407</v>
      </c>
      <c r="C35" s="209">
        <v>432</v>
      </c>
      <c r="D35" s="209">
        <v>208</v>
      </c>
      <c r="E35" s="209">
        <v>449</v>
      </c>
      <c r="F35" s="209">
        <v>563</v>
      </c>
      <c r="G35" s="209">
        <v>442</v>
      </c>
      <c r="H35" s="209">
        <v>483</v>
      </c>
      <c r="I35" s="209">
        <v>490</v>
      </c>
      <c r="J35" s="209">
        <v>472</v>
      </c>
      <c r="K35" s="209">
        <v>567</v>
      </c>
      <c r="L35" s="209">
        <v>452</v>
      </c>
      <c r="M35" s="210">
        <v>773</v>
      </c>
      <c r="N35" s="205">
        <v>590</v>
      </c>
      <c r="O35" s="205">
        <v>205</v>
      </c>
      <c r="P35" s="205">
        <v>192</v>
      </c>
      <c r="Q35" s="205">
        <v>676</v>
      </c>
      <c r="R35" s="205">
        <v>544</v>
      </c>
      <c r="S35" s="205">
        <v>737</v>
      </c>
      <c r="T35" s="205">
        <v>1290</v>
      </c>
      <c r="U35" s="205">
        <v>914</v>
      </c>
      <c r="V35" s="209">
        <v>1052</v>
      </c>
      <c r="W35" s="209">
        <v>1251.0592182400001</v>
      </c>
      <c r="X35" s="209">
        <v>1369.9197429120002</v>
      </c>
      <c r="Y35" s="210">
        <v>1392.70876190848</v>
      </c>
      <c r="Z35" s="209">
        <v>1456.14380671812</v>
      </c>
      <c r="AA35" s="209">
        <v>423.78313333889719</v>
      </c>
      <c r="AB35" s="209">
        <v>441.15685631665389</v>
      </c>
      <c r="AC35" s="209">
        <v>1140.7202601023207</v>
      </c>
      <c r="AD35" s="209">
        <v>1115.7614684765738</v>
      </c>
      <c r="AE35" s="209">
        <v>1355.9996124012082</v>
      </c>
      <c r="AF35" s="209">
        <v>1725.6740965621302</v>
      </c>
      <c r="AG35" s="209">
        <v>1215.8254547148047</v>
      </c>
      <c r="AH35" s="209">
        <v>1468.2698134488169</v>
      </c>
      <c r="AI35" s="209">
        <v>1721.9132116041837</v>
      </c>
      <c r="AJ35" s="209">
        <v>1348.7400579646246</v>
      </c>
      <c r="AK35" s="210">
        <v>1584.0841279619865</v>
      </c>
      <c r="AL35" s="209">
        <v>1841.0022303166488</v>
      </c>
      <c r="AM35" s="209">
        <v>535.05978658248364</v>
      </c>
      <c r="AN35" s="209">
        <v>557.01642889980712</v>
      </c>
      <c r="AO35" s="209">
        <v>1724.5412856817002</v>
      </c>
      <c r="AP35" s="209">
        <v>1554.0072459593921</v>
      </c>
      <c r="AQ35" s="209">
        <v>1772.062062433153</v>
      </c>
      <c r="AR35" s="209">
        <v>1923.8874177449056</v>
      </c>
      <c r="AS35" s="209">
        <v>1622.4039450284586</v>
      </c>
      <c r="AT35" s="209">
        <v>1856.178550273597</v>
      </c>
      <c r="AU35" s="209">
        <v>2019.5569719716245</v>
      </c>
      <c r="AV35" s="209">
        <v>1707.6227240874277</v>
      </c>
      <c r="AW35" s="210">
        <v>1956.051439190926</v>
      </c>
      <c r="AX35" s="209">
        <v>2053.8250716883831</v>
      </c>
      <c r="AY35" s="209">
        <v>607.72851606931636</v>
      </c>
      <c r="AZ35" s="209">
        <v>630.82689540963383</v>
      </c>
      <c r="BA35" s="209">
        <v>2134.51625937775</v>
      </c>
      <c r="BB35" s="209">
        <v>2041.7210455926961</v>
      </c>
      <c r="BC35" s="209">
        <v>2118.9882747621577</v>
      </c>
      <c r="BD35" s="209">
        <v>2241.8411554123531</v>
      </c>
      <c r="BE35" s="209">
        <v>2119.9280137590727</v>
      </c>
      <c r="BF35" s="209">
        <v>2206.3732581976051</v>
      </c>
      <c r="BG35" s="209">
        <v>2342.1969823206609</v>
      </c>
      <c r="BH35" s="209">
        <v>2227.9758598054932</v>
      </c>
      <c r="BI35" s="210">
        <v>2325.3663096643254</v>
      </c>
      <c r="BJ35" s="209">
        <v>2471.875087600758</v>
      </c>
      <c r="BK35" s="209">
        <v>721.46034919526846</v>
      </c>
      <c r="BL35" s="209">
        <v>749.7710166054959</v>
      </c>
      <c r="BM35" s="209">
        <v>2469.154258912698</v>
      </c>
      <c r="BN35" s="209">
        <v>2339.0760685196083</v>
      </c>
      <c r="BO35" s="209">
        <v>2418.4563570928717</v>
      </c>
      <c r="BP35" s="209">
        <v>2500.9077736110462</v>
      </c>
      <c r="BQ35" s="209">
        <v>2366.8146123139704</v>
      </c>
      <c r="BR35" s="209">
        <v>2454.7773260979366</v>
      </c>
      <c r="BS35" s="209">
        <v>2547.7881654498087</v>
      </c>
      <c r="BT35" s="209">
        <v>2421.0152538941174</v>
      </c>
      <c r="BU35" s="210">
        <v>2518.6261532107687</v>
      </c>
      <c r="BV35" s="209">
        <v>2618.8666756078319</v>
      </c>
      <c r="BW35" s="209">
        <v>799.31117439055322</v>
      </c>
      <c r="BX35" s="209">
        <v>831.19704302599939</v>
      </c>
      <c r="BY35" s="209">
        <v>2743.7541384087622</v>
      </c>
      <c r="BZ35" s="209">
        <v>2640.2772064978662</v>
      </c>
      <c r="CA35" s="209">
        <v>2727.7950192767557</v>
      </c>
      <c r="CB35" s="209">
        <v>2818.6470185547014</v>
      </c>
      <c r="CC35" s="209">
        <v>2704.40675077181</v>
      </c>
      <c r="CD35" s="209">
        <v>2800.8981593764956</v>
      </c>
      <c r="CE35" s="209">
        <v>2903.1995738572937</v>
      </c>
      <c r="CF35" s="209">
        <v>2800.7176886807033</v>
      </c>
      <c r="CG35" s="210">
        <v>2908.1648350474507</v>
      </c>
      <c r="CH35" s="209">
        <v>3018.7428793775453</v>
      </c>
      <c r="CI35" s="209">
        <v>917.31704402973912</v>
      </c>
      <c r="CJ35" s="209">
        <v>952.79704260465519</v>
      </c>
      <c r="CK35" s="209">
        <v>3149.2409407333953</v>
      </c>
      <c r="CL35" s="209">
        <v>3027.2681256549768</v>
      </c>
      <c r="CM35" s="209">
        <v>3125.1564861697766</v>
      </c>
      <c r="CN35" s="209">
        <v>3227.2414932478496</v>
      </c>
      <c r="CO35" s="209">
        <v>3095.2246716557092</v>
      </c>
      <c r="CP35" s="209">
        <v>3204.1068953441536</v>
      </c>
      <c r="CQ35" s="209">
        <v>3319.6993371831318</v>
      </c>
      <c r="CR35" s="209">
        <v>3201.8134868505822</v>
      </c>
      <c r="CS35" s="210">
        <v>3323.5331513807787</v>
      </c>
    </row>
    <row r="36" spans="1:97" s="209" customFormat="1" x14ac:dyDescent="0.25">
      <c r="A36" s="209" t="s">
        <v>7</v>
      </c>
      <c r="B36" s="209">
        <v>567</v>
      </c>
      <c r="C36" s="209">
        <v>770</v>
      </c>
      <c r="D36" s="209">
        <v>803</v>
      </c>
      <c r="E36" s="209">
        <v>613</v>
      </c>
      <c r="F36" s="209">
        <v>533</v>
      </c>
      <c r="G36" s="209">
        <v>807</v>
      </c>
      <c r="H36" s="209">
        <v>830</v>
      </c>
      <c r="I36" s="209">
        <v>827</v>
      </c>
      <c r="J36" s="209">
        <v>836</v>
      </c>
      <c r="K36" s="209">
        <v>848</v>
      </c>
      <c r="L36" s="209">
        <v>907</v>
      </c>
      <c r="M36" s="210">
        <v>838</v>
      </c>
      <c r="N36" s="205">
        <v>1091</v>
      </c>
      <c r="O36" s="205">
        <v>1241</v>
      </c>
      <c r="P36" s="205">
        <v>707</v>
      </c>
      <c r="Q36" s="205">
        <v>370</v>
      </c>
      <c r="R36" s="205">
        <v>812</v>
      </c>
      <c r="S36" s="205">
        <v>1126</v>
      </c>
      <c r="T36" s="205">
        <v>1221</v>
      </c>
      <c r="U36" s="205">
        <v>1902</v>
      </c>
      <c r="V36" s="209">
        <v>879.7</v>
      </c>
      <c r="W36" s="209">
        <v>999.4</v>
      </c>
      <c r="X36" s="209">
        <v>1188.5062573280002</v>
      </c>
      <c r="Y36" s="210">
        <v>1301.4237557664001</v>
      </c>
      <c r="Z36" s="209">
        <v>1323.073323813056</v>
      </c>
      <c r="AA36" s="209">
        <v>1383.3366163822138</v>
      </c>
      <c r="AB36" s="209">
        <v>402.5939766719523</v>
      </c>
      <c r="AC36" s="209">
        <v>419.09901350082123</v>
      </c>
      <c r="AD36" s="209">
        <v>1083.6842470972047</v>
      </c>
      <c r="AE36" s="209">
        <v>1059.9733950527452</v>
      </c>
      <c r="AF36" s="209">
        <v>1288.1996317811477</v>
      </c>
      <c r="AG36" s="209">
        <v>1639.3903917340238</v>
      </c>
      <c r="AH36" s="209">
        <v>1155.0341819790644</v>
      </c>
      <c r="AI36" s="209">
        <v>1394.8563227763759</v>
      </c>
      <c r="AJ36" s="209">
        <v>1635.8175510239744</v>
      </c>
      <c r="AK36" s="210">
        <v>1281.3030550663934</v>
      </c>
      <c r="AL36" s="209">
        <v>1504.8799215638869</v>
      </c>
      <c r="AM36" s="209">
        <v>1748.9521188008162</v>
      </c>
      <c r="AN36" s="209">
        <v>508.30679725335938</v>
      </c>
      <c r="AO36" s="209">
        <v>529.16560745481672</v>
      </c>
      <c r="AP36" s="209">
        <v>1638.314221397615</v>
      </c>
      <c r="AQ36" s="209">
        <v>1476.3068836614225</v>
      </c>
      <c r="AR36" s="209">
        <v>1683.4589593114952</v>
      </c>
      <c r="AS36" s="209">
        <v>1827.6930468576602</v>
      </c>
      <c r="AT36" s="209">
        <v>1541.2837477770358</v>
      </c>
      <c r="AU36" s="209">
        <v>1763.3696227599171</v>
      </c>
      <c r="AV36" s="209">
        <v>1918.5791233730431</v>
      </c>
      <c r="AW36" s="210">
        <v>1622.2415878830564</v>
      </c>
      <c r="AX36" s="209">
        <v>1858.2488672313798</v>
      </c>
      <c r="AY36" s="209">
        <v>1951.1338181039637</v>
      </c>
      <c r="AZ36" s="209">
        <v>577.34209026585052</v>
      </c>
      <c r="BA36" s="209">
        <v>599.28555063915201</v>
      </c>
      <c r="BB36" s="209">
        <v>2027.7904464088622</v>
      </c>
      <c r="BC36" s="209">
        <v>1939.6349933130612</v>
      </c>
      <c r="BD36" s="209">
        <v>2013.0388610240495</v>
      </c>
      <c r="BE36" s="209">
        <v>2129.7490976417353</v>
      </c>
      <c r="BF36" s="209">
        <v>2013.931613071119</v>
      </c>
      <c r="BG36" s="209">
        <v>2096.0545952877246</v>
      </c>
      <c r="BH36" s="209">
        <v>2225.0871332046277</v>
      </c>
      <c r="BI36" s="210">
        <v>2116.5770668152186</v>
      </c>
      <c r="BJ36" s="209">
        <v>2209.0979941811092</v>
      </c>
      <c r="BK36" s="209">
        <v>2348.2813332207202</v>
      </c>
      <c r="BL36" s="209">
        <v>685.38733173550497</v>
      </c>
      <c r="BM36" s="209">
        <v>712.28246577522111</v>
      </c>
      <c r="BN36" s="209">
        <v>2345.6965459670628</v>
      </c>
      <c r="BO36" s="209">
        <v>2222.1222650936279</v>
      </c>
      <c r="BP36" s="209">
        <v>2297.5335392382281</v>
      </c>
      <c r="BQ36" s="209">
        <v>2375.862384930494</v>
      </c>
      <c r="BR36" s="209">
        <v>2248.4738816982717</v>
      </c>
      <c r="BS36" s="209">
        <v>2332.0384597930397</v>
      </c>
      <c r="BT36" s="209">
        <v>2420.3987571773177</v>
      </c>
      <c r="BU36" s="210">
        <v>2299.964491199411</v>
      </c>
      <c r="BV36" s="209">
        <v>2392.6948455502302</v>
      </c>
      <c r="BW36" s="209">
        <v>2487.9233418274403</v>
      </c>
      <c r="BX36" s="209">
        <v>759.3456156710256</v>
      </c>
      <c r="BY36" s="209">
        <v>789.6371908746994</v>
      </c>
      <c r="BZ36" s="209">
        <v>2606.5664314883238</v>
      </c>
      <c r="CA36" s="209">
        <v>2508.2633461729729</v>
      </c>
      <c r="CB36" s="209">
        <v>2591.405268312918</v>
      </c>
      <c r="CC36" s="209">
        <v>2677.7146676269663</v>
      </c>
      <c r="CD36" s="209">
        <v>2569.1864132332198</v>
      </c>
      <c r="CE36" s="209">
        <v>2660.8532514076705</v>
      </c>
      <c r="CF36" s="209">
        <v>2758.0395951644286</v>
      </c>
      <c r="CG36" s="210">
        <v>2660.6818042466684</v>
      </c>
      <c r="CH36" s="209">
        <v>2762.7565932950779</v>
      </c>
      <c r="CI36" s="209">
        <v>2867.8057354086677</v>
      </c>
      <c r="CJ36" s="209">
        <v>871.45119182825215</v>
      </c>
      <c r="CK36" s="209">
        <v>905.15719047442235</v>
      </c>
      <c r="CL36" s="209">
        <v>2991.7788936967254</v>
      </c>
      <c r="CM36" s="209">
        <v>2875.9047193722281</v>
      </c>
      <c r="CN36" s="209">
        <v>2968.8986618612876</v>
      </c>
      <c r="CO36" s="209">
        <v>3065.8794185854572</v>
      </c>
      <c r="CP36" s="209">
        <v>2940.4634380729235</v>
      </c>
      <c r="CQ36" s="209">
        <v>3043.9015505769457</v>
      </c>
      <c r="CR36" s="209">
        <v>3153.7143703239753</v>
      </c>
      <c r="CS36" s="210">
        <v>3041.7228125080528</v>
      </c>
    </row>
    <row r="37" spans="1:97" s="209" customFormat="1" x14ac:dyDescent="0.25">
      <c r="A37" s="209" t="s">
        <v>8</v>
      </c>
      <c r="B37" s="209">
        <v>507</v>
      </c>
      <c r="C37" s="209">
        <v>511</v>
      </c>
      <c r="D37" s="209">
        <v>588</v>
      </c>
      <c r="E37" s="209">
        <v>659</v>
      </c>
      <c r="F37" s="209">
        <v>668</v>
      </c>
      <c r="G37" s="209">
        <v>496</v>
      </c>
      <c r="H37" s="209">
        <v>488</v>
      </c>
      <c r="I37" s="209">
        <v>633</v>
      </c>
      <c r="J37" s="209">
        <v>711</v>
      </c>
      <c r="K37" s="209">
        <v>782</v>
      </c>
      <c r="L37" s="209">
        <v>724</v>
      </c>
      <c r="M37" s="210">
        <v>735</v>
      </c>
      <c r="N37" s="205">
        <v>894</v>
      </c>
      <c r="O37" s="205">
        <v>899</v>
      </c>
      <c r="P37" s="205">
        <v>1134</v>
      </c>
      <c r="Q37" s="205">
        <v>1093</v>
      </c>
      <c r="R37" s="205">
        <v>941</v>
      </c>
      <c r="S37" s="205">
        <v>569</v>
      </c>
      <c r="T37" s="205">
        <v>730</v>
      </c>
      <c r="U37" s="205">
        <v>972</v>
      </c>
      <c r="V37" s="209">
        <v>1890.6000000000001</v>
      </c>
      <c r="W37" s="209">
        <v>2099.6</v>
      </c>
      <c r="X37" s="209">
        <v>2269.8000000000002</v>
      </c>
      <c r="Y37" s="210">
        <v>2292.8473745920001</v>
      </c>
      <c r="Z37" s="209">
        <v>2602.8772470976</v>
      </c>
      <c r="AA37" s="209">
        <v>2823.7463605091843</v>
      </c>
      <c r="AB37" s="209">
        <v>2961.7630244576321</v>
      </c>
      <c r="AC37" s="209">
        <v>2193.9524285188895</v>
      </c>
      <c r="AD37" s="209">
        <v>1523.2599624214231</v>
      </c>
      <c r="AE37" s="209">
        <v>1475.6558875068527</v>
      </c>
      <c r="AF37" s="209">
        <v>1955.8074706428756</v>
      </c>
      <c r="AG37" s="209">
        <v>2550.2648739159604</v>
      </c>
      <c r="AH37" s="209">
        <v>2999.1958870164945</v>
      </c>
      <c r="AI37" s="209">
        <v>2994.2319988060599</v>
      </c>
      <c r="AJ37" s="209">
        <v>3061.0981269966946</v>
      </c>
      <c r="AK37" s="210">
        <v>3134.8147115264019</v>
      </c>
      <c r="AL37" s="209">
        <v>3165.2931825639184</v>
      </c>
      <c r="AM37" s="209">
        <v>3244.5332699073369</v>
      </c>
      <c r="AN37" s="209">
        <v>3390.9047086054843</v>
      </c>
      <c r="AO37" s="209">
        <v>2667.1998672648328</v>
      </c>
      <c r="AP37" s="209">
        <v>1924.7563319175733</v>
      </c>
      <c r="AQ37" s="209">
        <v>2090.5804007247152</v>
      </c>
      <c r="AR37" s="209">
        <v>2784.5945540845878</v>
      </c>
      <c r="AS37" s="209">
        <v>3540.1794935271168</v>
      </c>
      <c r="AT37" s="209">
        <v>3711.9577254747674</v>
      </c>
      <c r="AU37" s="209">
        <v>3707.8815859040933</v>
      </c>
      <c r="AV37" s="209">
        <v>3774.9580523857421</v>
      </c>
      <c r="AW37" s="210">
        <v>3888.4129297858926</v>
      </c>
      <c r="AX37" s="209">
        <v>3893.4951898142376</v>
      </c>
      <c r="AY37" s="209">
        <v>3971.9112413969146</v>
      </c>
      <c r="AZ37" s="209">
        <v>4036.8696992368114</v>
      </c>
      <c r="BA37" s="209">
        <v>3097.4912265518769</v>
      </c>
      <c r="BB37" s="209">
        <v>2162.3665205892585</v>
      </c>
      <c r="BC37" s="209">
        <v>2513.8289439305336</v>
      </c>
      <c r="BD37" s="209">
        <v>3506.0343552843624</v>
      </c>
      <c r="BE37" s="209">
        <v>4405.1051073512626</v>
      </c>
      <c r="BF37" s="209">
        <v>4501.7973440190108</v>
      </c>
      <c r="BG37" s="209">
        <v>4536.6241846531993</v>
      </c>
      <c r="BH37" s="209">
        <v>4594.152909436847</v>
      </c>
      <c r="BI37" s="210">
        <v>4690.1756748502958</v>
      </c>
      <c r="BJ37" s="209">
        <v>4745.7425303874206</v>
      </c>
      <c r="BK37" s="209">
        <v>4825.1943389877015</v>
      </c>
      <c r="BL37" s="209">
        <v>4942.0420027289301</v>
      </c>
      <c r="BM37" s="209">
        <v>3702.7006264753404</v>
      </c>
      <c r="BN37" s="209">
        <v>2587.9641102815394</v>
      </c>
      <c r="BO37" s="209">
        <v>2933.0393282711666</v>
      </c>
      <c r="BP37" s="209">
        <v>4049.5314460178724</v>
      </c>
      <c r="BQ37" s="209">
        <v>5053.6108889856423</v>
      </c>
      <c r="BR37" s="209">
        <v>5097.0913099656118</v>
      </c>
      <c r="BS37" s="209">
        <v>5095.1609456346314</v>
      </c>
      <c r="BT37" s="209">
        <v>5121.1367536647558</v>
      </c>
      <c r="BU37" s="210">
        <v>5176.6634280167846</v>
      </c>
      <c r="BV37" s="209">
        <v>5193.1303145889215</v>
      </c>
      <c r="BW37" s="209">
        <v>5238.2844995643827</v>
      </c>
      <c r="BX37" s="209">
        <v>5310.7408000702744</v>
      </c>
      <c r="BY37" s="209">
        <v>3983.8313043643857</v>
      </c>
      <c r="BZ37" s="209">
        <v>2795.795461858886</v>
      </c>
      <c r="CA37" s="209">
        <v>3256.4279454795414</v>
      </c>
      <c r="CB37" s="209">
        <v>4531.5678879000261</v>
      </c>
      <c r="CC37" s="209">
        <v>5676.6825430151684</v>
      </c>
      <c r="CD37" s="209">
        <v>5748.5404522362096</v>
      </c>
      <c r="CE37" s="209">
        <v>5773.2553251717927</v>
      </c>
      <c r="CF37" s="209">
        <v>5824.9914641742853</v>
      </c>
      <c r="CG37" s="210">
        <v>5905.8324211124673</v>
      </c>
      <c r="CH37" s="209">
        <v>5953.3527482705658</v>
      </c>
      <c r="CI37" s="209">
        <v>6028.953994428829</v>
      </c>
      <c r="CJ37" s="209">
        <v>6131.1403012436731</v>
      </c>
      <c r="CK37" s="209">
        <v>4591.8725518165429</v>
      </c>
      <c r="CL37" s="209">
        <v>3215.6052925310682</v>
      </c>
      <c r="CM37" s="209">
        <v>3736.7409088278187</v>
      </c>
      <c r="CN37" s="209">
        <v>5197.9613846001521</v>
      </c>
      <c r="CO37" s="209">
        <v>6508.7574413343427</v>
      </c>
      <c r="CP37" s="209">
        <v>6585.7636103101104</v>
      </c>
      <c r="CQ37" s="209">
        <v>6610.3426742999272</v>
      </c>
      <c r="CR37" s="209">
        <v>6666.2876823830284</v>
      </c>
      <c r="CS37" s="210">
        <v>6755.7690994808381</v>
      </c>
    </row>
    <row r="38" spans="1:97" s="209" customFormat="1" x14ac:dyDescent="0.25">
      <c r="A38" s="209" t="s">
        <v>1</v>
      </c>
      <c r="B38" s="209">
        <v>367</v>
      </c>
      <c r="C38" s="209">
        <v>437</v>
      </c>
      <c r="D38" s="209">
        <v>524</v>
      </c>
      <c r="E38" s="209">
        <v>596</v>
      </c>
      <c r="F38" s="209">
        <v>548</v>
      </c>
      <c r="G38" s="209">
        <v>547</v>
      </c>
      <c r="H38" s="209">
        <v>522</v>
      </c>
      <c r="I38" s="209">
        <v>556</v>
      </c>
      <c r="J38" s="209">
        <v>511</v>
      </c>
      <c r="K38" s="209">
        <v>604</v>
      </c>
      <c r="L38" s="209">
        <v>711</v>
      </c>
      <c r="M38" s="210">
        <v>717</v>
      </c>
      <c r="N38" s="205">
        <v>797</v>
      </c>
      <c r="O38" s="205">
        <v>874</v>
      </c>
      <c r="P38" s="205">
        <v>944</v>
      </c>
      <c r="Q38" s="205">
        <v>1082</v>
      </c>
      <c r="R38" s="205">
        <v>1029</v>
      </c>
      <c r="S38" s="205">
        <v>1202</v>
      </c>
      <c r="T38" s="205">
        <v>1213</v>
      </c>
      <c r="U38" s="205">
        <v>1093</v>
      </c>
      <c r="V38" s="209">
        <v>1402.1</v>
      </c>
      <c r="W38" s="209">
        <v>1435.1999999999998</v>
      </c>
      <c r="X38" s="209">
        <v>1623.2</v>
      </c>
      <c r="Y38" s="210">
        <v>2360.9</v>
      </c>
      <c r="Z38" s="209">
        <v>2798.6000000000004</v>
      </c>
      <c r="AA38" s="209">
        <v>3332.1000000000004</v>
      </c>
      <c r="AB38" s="209">
        <v>3694.8081696000004</v>
      </c>
      <c r="AC38" s="209">
        <v>4023.2861085760001</v>
      </c>
      <c r="AD38" s="209">
        <v>4131.4848618783999</v>
      </c>
      <c r="AE38" s="209">
        <v>4222.7339131386561</v>
      </c>
      <c r="AF38" s="209">
        <v>3605.1262582760537</v>
      </c>
      <c r="AG38" s="209">
        <v>3050.942848501787</v>
      </c>
      <c r="AH38" s="209">
        <v>3008.6898941037175</v>
      </c>
      <c r="AI38" s="209">
        <v>2962.9505031712015</v>
      </c>
      <c r="AJ38" s="209">
        <v>3077.8605435758072</v>
      </c>
      <c r="AK38" s="210">
        <v>3572.4004808927471</v>
      </c>
      <c r="AL38" s="209">
        <v>3897.7140163889803</v>
      </c>
      <c r="AM38" s="209">
        <v>4290.4680161408305</v>
      </c>
      <c r="AN38" s="209">
        <v>4602.0689227432704</v>
      </c>
      <c r="AO38" s="209">
        <v>4608.8144403188007</v>
      </c>
      <c r="AP38" s="209">
        <v>4682.3363621708659</v>
      </c>
      <c r="AQ38" s="209">
        <v>4879.8055784316439</v>
      </c>
      <c r="AR38" s="209">
        <v>4246.4768986217259</v>
      </c>
      <c r="AS38" s="209">
        <v>3602.8534064321284</v>
      </c>
      <c r="AT38" s="209">
        <v>3803.6585434096955</v>
      </c>
      <c r="AU38" s="209">
        <v>3857.9782443379281</v>
      </c>
      <c r="AV38" s="209">
        <v>4042.3204815068161</v>
      </c>
      <c r="AW38" s="210">
        <v>4320.8044395236484</v>
      </c>
      <c r="AX38" s="209">
        <v>4687.9772243660918</v>
      </c>
      <c r="AY38" s="209">
        <v>5110.1382269389524</v>
      </c>
      <c r="AZ38" s="209">
        <v>5296.5652464397954</v>
      </c>
      <c r="BA38" s="209">
        <v>5234.1514657523057</v>
      </c>
      <c r="BB38" s="209">
        <v>5363.270261608177</v>
      </c>
      <c r="BC38" s="209">
        <v>5534.0820000528174</v>
      </c>
      <c r="BD38" s="209">
        <v>4798.6941104570869</v>
      </c>
      <c r="BE38" s="209">
        <v>4098.4432172930237</v>
      </c>
      <c r="BF38" s="209">
        <v>4496.7767816581772</v>
      </c>
      <c r="BG38" s="209">
        <v>4844.4203016004649</v>
      </c>
      <c r="BH38" s="209">
        <v>5150.2274233469925</v>
      </c>
      <c r="BI38" s="210">
        <v>5533.9663629607012</v>
      </c>
      <c r="BJ38" s="209">
        <v>6202.3823991394383</v>
      </c>
      <c r="BK38" s="209">
        <v>6710.6477889233993</v>
      </c>
      <c r="BL38" s="209">
        <v>6825.7312499135915</v>
      </c>
      <c r="BM38" s="209">
        <v>6908.1485015246471</v>
      </c>
      <c r="BN38" s="209">
        <v>7032.6505053807587</v>
      </c>
      <c r="BO38" s="209">
        <v>7166.9481063023923</v>
      </c>
      <c r="BP38" s="209">
        <v>6132.3746603568052</v>
      </c>
      <c r="BQ38" s="209">
        <v>5191.9789350182155</v>
      </c>
      <c r="BR38" s="209">
        <v>5496.6676059927395</v>
      </c>
      <c r="BS38" s="209">
        <v>5733.85238811617</v>
      </c>
      <c r="BT38" s="209">
        <v>5999.8855692292937</v>
      </c>
      <c r="BU38" s="210">
        <v>6394.8841425137771</v>
      </c>
      <c r="BV38" s="209">
        <v>7117.8482274288654</v>
      </c>
      <c r="BW38" s="209">
        <v>7650.0700284585691</v>
      </c>
      <c r="BX38" s="209">
        <v>7735.1025728004279</v>
      </c>
      <c r="BY38" s="209">
        <v>7764.0307833109673</v>
      </c>
      <c r="BZ38" s="209">
        <v>7829.2799241126231</v>
      </c>
      <c r="CA38" s="209">
        <v>7939.720557966587</v>
      </c>
      <c r="CB38" s="209">
        <v>6784.5459635793131</v>
      </c>
      <c r="CC38" s="209">
        <v>5722.9274779527332</v>
      </c>
      <c r="CD38" s="209">
        <v>6100.4683745558759</v>
      </c>
      <c r="CE38" s="209">
        <v>6424.8062607241072</v>
      </c>
      <c r="CF38" s="209">
        <v>6761.8508587157012</v>
      </c>
      <c r="CG38" s="210">
        <v>7275.1411215250919</v>
      </c>
      <c r="CH38" s="209">
        <v>8132.9252097728167</v>
      </c>
      <c r="CI38" s="209">
        <v>8761.7558308475291</v>
      </c>
      <c r="CJ38" s="209">
        <v>8886.5110416942443</v>
      </c>
      <c r="CK38" s="209">
        <v>8960.0558187126226</v>
      </c>
      <c r="CL38" s="209">
        <v>9069.6683057256341</v>
      </c>
      <c r="CM38" s="209">
        <v>9223.8209883310083</v>
      </c>
      <c r="CN38" s="209">
        <v>7885.2978316043782</v>
      </c>
      <c r="CO38" s="209">
        <v>6655.3885625303728</v>
      </c>
      <c r="CP38" s="209">
        <v>7094.426466507899</v>
      </c>
      <c r="CQ38" s="209">
        <v>7456.8948133242047</v>
      </c>
      <c r="CR38" s="209">
        <v>7835.2999390414825</v>
      </c>
      <c r="CS38" s="210">
        <v>8428.0637065752871</v>
      </c>
    </row>
    <row r="39" spans="1:97" s="209" customFormat="1" x14ac:dyDescent="0.25">
      <c r="A39" s="209" t="s">
        <v>2</v>
      </c>
      <c r="B39" s="209">
        <v>162</v>
      </c>
      <c r="C39" s="209">
        <v>168</v>
      </c>
      <c r="D39" s="209">
        <v>167</v>
      </c>
      <c r="E39" s="209">
        <v>166</v>
      </c>
      <c r="F39" s="209">
        <v>193</v>
      </c>
      <c r="G39" s="209">
        <v>236</v>
      </c>
      <c r="H39" s="209">
        <v>230</v>
      </c>
      <c r="I39" s="209">
        <v>245</v>
      </c>
      <c r="J39" s="209">
        <v>280</v>
      </c>
      <c r="K39" s="209">
        <v>308</v>
      </c>
      <c r="L39" s="209">
        <v>328</v>
      </c>
      <c r="M39" s="210">
        <v>386</v>
      </c>
      <c r="N39" s="205">
        <v>462</v>
      </c>
      <c r="O39" s="205">
        <v>536</v>
      </c>
      <c r="P39" s="205">
        <v>548</v>
      </c>
      <c r="Q39" s="205">
        <v>622</v>
      </c>
      <c r="R39" s="205">
        <v>744</v>
      </c>
      <c r="S39" s="205">
        <v>778</v>
      </c>
      <c r="T39" s="205">
        <v>856</v>
      </c>
      <c r="U39" s="205">
        <v>941</v>
      </c>
      <c r="V39" s="209">
        <v>1153.3</v>
      </c>
      <c r="W39" s="209">
        <v>1187.81</v>
      </c>
      <c r="X39" s="209">
        <v>1272.54</v>
      </c>
      <c r="Y39" s="210">
        <v>1344.9</v>
      </c>
      <c r="Z39" s="209">
        <v>1237.3</v>
      </c>
      <c r="AA39" s="209">
        <v>1230.4000000000001</v>
      </c>
      <c r="AB39" s="209">
        <v>1303.3</v>
      </c>
      <c r="AC39" s="209">
        <v>1292.25</v>
      </c>
      <c r="AD39" s="209">
        <v>1393.05</v>
      </c>
      <c r="AE39" s="209">
        <v>1566.5</v>
      </c>
      <c r="AF39" s="209">
        <v>1683.3</v>
      </c>
      <c r="AG39" s="209">
        <v>1988.1</v>
      </c>
      <c r="AH39" s="209">
        <v>2373.3687704959998</v>
      </c>
      <c r="AI39" s="209">
        <v>2621.9372234528</v>
      </c>
      <c r="AJ39" s="209">
        <v>2934.5203884289922</v>
      </c>
      <c r="AK39" s="210">
        <v>3198.0661632593919</v>
      </c>
      <c r="AL39" s="209">
        <v>2491.0384451462805</v>
      </c>
      <c r="AM39" s="209">
        <v>2342.6610175733176</v>
      </c>
      <c r="AN39" s="209">
        <v>2379.2953625385121</v>
      </c>
      <c r="AO39" s="209">
        <v>2339.8563951305196</v>
      </c>
      <c r="AP39" s="209">
        <v>2336.7772498491249</v>
      </c>
      <c r="AQ39" s="209">
        <v>2441.0479997950356</v>
      </c>
      <c r="AR39" s="209">
        <v>2365.4748318207148</v>
      </c>
      <c r="AS39" s="209">
        <v>2697.0368738789011</v>
      </c>
      <c r="AT39" s="209">
        <v>3104.6622889438368</v>
      </c>
      <c r="AU39" s="209">
        <v>3170.9129675102577</v>
      </c>
      <c r="AV39" s="209">
        <v>3319.7228749099495</v>
      </c>
      <c r="AW39" s="210">
        <v>3474.5818608430513</v>
      </c>
      <c r="AX39" s="209">
        <v>3097.9947139674323</v>
      </c>
      <c r="AY39" s="209">
        <v>2889.1397783225493</v>
      </c>
      <c r="AZ39" s="209">
        <v>2971.6558230791288</v>
      </c>
      <c r="BA39" s="209">
        <v>2922.1387398565921</v>
      </c>
      <c r="BB39" s="209">
        <v>3058.791190588081</v>
      </c>
      <c r="BC39" s="209">
        <v>3172.2096584521241</v>
      </c>
      <c r="BD39" s="209">
        <v>3107.7061378650901</v>
      </c>
      <c r="BE39" s="209">
        <v>3530.415649653869</v>
      </c>
      <c r="BF39" s="209">
        <v>4000.6138443756749</v>
      </c>
      <c r="BG39" s="209">
        <v>4000.5870790330855</v>
      </c>
      <c r="BH39" s="209">
        <v>4127.4854030310571</v>
      </c>
      <c r="BI39" s="210">
        <v>4218.6252476044046</v>
      </c>
      <c r="BJ39" s="209">
        <v>3794.6085843992605</v>
      </c>
      <c r="BK39" s="209">
        <v>3473.4045688267365</v>
      </c>
      <c r="BL39" s="209">
        <v>3559.2273600848362</v>
      </c>
      <c r="BM39" s="209">
        <v>3560.5239173206419</v>
      </c>
      <c r="BN39" s="209">
        <v>3685.4052727149892</v>
      </c>
      <c r="BO39" s="209">
        <v>3774.3561640418507</v>
      </c>
      <c r="BP39" s="209">
        <v>3791.364231889097</v>
      </c>
      <c r="BQ39" s="209">
        <v>4300.4109642265994</v>
      </c>
      <c r="BR39" s="209">
        <v>4846.8361048183751</v>
      </c>
      <c r="BS39" s="209">
        <v>4876.1310993389789</v>
      </c>
      <c r="BT39" s="209">
        <v>4966.5550029167352</v>
      </c>
      <c r="BU39" s="210">
        <v>5080.4840137226502</v>
      </c>
      <c r="BV39" s="209">
        <v>4594.8308590871611</v>
      </c>
      <c r="BW39" s="209">
        <v>4158.736355816407</v>
      </c>
      <c r="BX39" s="209">
        <v>4242.2277049546037</v>
      </c>
      <c r="BY39" s="209">
        <v>4239.0800047171961</v>
      </c>
      <c r="BZ39" s="209">
        <v>4299.467437268253</v>
      </c>
      <c r="CA39" s="209">
        <v>4355.0673849155364</v>
      </c>
      <c r="CB39" s="209">
        <v>4319.1840150870748</v>
      </c>
      <c r="CC39" s="209">
        <v>4870.2887004838576</v>
      </c>
      <c r="CD39" s="209">
        <v>5441.9787161159356</v>
      </c>
      <c r="CE39" s="209">
        <v>5425.5692680143266</v>
      </c>
      <c r="CF39" s="209">
        <v>5482.1395039940089</v>
      </c>
      <c r="CG39" s="210">
        <v>5545.2754086931573</v>
      </c>
      <c r="CH39" s="209">
        <v>5003.4886555822013</v>
      </c>
      <c r="CI39" s="209">
        <v>4515.0784759355811</v>
      </c>
      <c r="CJ39" s="209">
        <v>4606.4966766530224</v>
      </c>
      <c r="CK39" s="209">
        <v>4634.9306839976307</v>
      </c>
      <c r="CL39" s="209">
        <v>4732.2294272881227</v>
      </c>
      <c r="CM39" s="209">
        <v>4827.4552530718183</v>
      </c>
      <c r="CN39" s="209">
        <v>4853.8579541272575</v>
      </c>
      <c r="CO39" s="209">
        <v>5489.530819819166</v>
      </c>
      <c r="CP39" s="209">
        <v>6147.595826604047</v>
      </c>
      <c r="CQ39" s="209">
        <v>6164.6499951892874</v>
      </c>
      <c r="CR39" s="209">
        <v>6249.2689076947245</v>
      </c>
      <c r="CS39" s="210">
        <v>6341.1439562614851</v>
      </c>
    </row>
    <row r="40" spans="1:97" s="219" customFormat="1" x14ac:dyDescent="0.25">
      <c r="A40" s="219" t="s">
        <v>3</v>
      </c>
      <c r="B40" s="219">
        <v>2496</v>
      </c>
      <c r="C40" s="219">
        <v>2586</v>
      </c>
      <c r="D40" s="219">
        <v>2805</v>
      </c>
      <c r="E40" s="219">
        <v>3133</v>
      </c>
      <c r="F40" s="219">
        <v>3046</v>
      </c>
      <c r="G40" s="219">
        <v>3101</v>
      </c>
      <c r="H40" s="219">
        <v>3127</v>
      </c>
      <c r="I40" s="219">
        <v>3315</v>
      </c>
      <c r="J40" s="219">
        <v>3461</v>
      </c>
      <c r="K40" s="219">
        <v>3650</v>
      </c>
      <c r="L40" s="219">
        <v>4000</v>
      </c>
      <c r="M40" s="220">
        <v>4117</v>
      </c>
      <c r="N40" s="221">
        <v>4156</v>
      </c>
      <c r="O40" s="221">
        <v>4067</v>
      </c>
      <c r="P40" s="221">
        <v>4326</v>
      </c>
      <c r="Q40" s="221">
        <v>4505</v>
      </c>
      <c r="R40" s="221">
        <v>4930</v>
      </c>
      <c r="S40" s="221">
        <v>5819</v>
      </c>
      <c r="T40" s="221">
        <v>6335</v>
      </c>
      <c r="U40" s="221">
        <v>6970</v>
      </c>
      <c r="V40" s="219">
        <v>7724.7592182400012</v>
      </c>
      <c r="W40" s="219">
        <v>8438.9889611519993</v>
      </c>
      <c r="X40" s="219">
        <v>9212.6747621484792</v>
      </c>
      <c r="Y40" s="220">
        <v>10244.923698985</v>
      </c>
      <c r="Z40" s="219">
        <v>9971.7775109676732</v>
      </c>
      <c r="AA40" s="219">
        <v>9764.5229665469487</v>
      </c>
      <c r="AB40" s="219">
        <v>10074.342287148558</v>
      </c>
      <c r="AC40" s="219">
        <v>10315.069279174604</v>
      </c>
      <c r="AD40" s="219">
        <v>10733.240152274808</v>
      </c>
      <c r="AE40" s="219">
        <v>11536.536904661592</v>
      </c>
      <c r="AF40" s="219">
        <v>11603.932911977012</v>
      </c>
      <c r="AG40" s="219">
        <v>12042.793382315393</v>
      </c>
      <c r="AH40" s="219">
        <v>12856.471758648277</v>
      </c>
      <c r="AI40" s="219">
        <v>13174.629317775247</v>
      </c>
      <c r="AJ40" s="219">
        <v>13772.12079595208</v>
      </c>
      <c r="AK40" s="220">
        <v>14741.670769023571</v>
      </c>
      <c r="AL40" s="219">
        <v>13604.9875825622</v>
      </c>
      <c r="AM40" s="219">
        <v>12888.690637904594</v>
      </c>
      <c r="AN40" s="219">
        <v>13332.133505722133</v>
      </c>
      <c r="AO40" s="219">
        <v>13593.584841810061</v>
      </c>
      <c r="AP40" s="219">
        <v>14078.253473727724</v>
      </c>
      <c r="AQ40" s="219">
        <v>14753.690342790875</v>
      </c>
      <c r="AR40" s="219">
        <v>14796.296606611888</v>
      </c>
      <c r="AS40" s="219">
        <v>15316.345315997864</v>
      </c>
      <c r="AT40" s="219">
        <v>16207.297827850558</v>
      </c>
      <c r="AU40" s="219">
        <v>16397.322116571249</v>
      </c>
      <c r="AV40" s="219">
        <v>16889.254695453903</v>
      </c>
      <c r="AW40" s="220">
        <v>17485.917328914958</v>
      </c>
      <c r="AX40" s="219">
        <v>16409.26958313684</v>
      </c>
      <c r="AY40" s="219">
        <v>15370.878476241331</v>
      </c>
      <c r="AZ40" s="219">
        <v>15857.776013808971</v>
      </c>
      <c r="BA40" s="219">
        <v>16239.304287770374</v>
      </c>
      <c r="BB40" s="219">
        <v>16982.927739549232</v>
      </c>
      <c r="BC40" s="219">
        <v>17730.585025923046</v>
      </c>
      <c r="BD40" s="219">
        <v>17997.242633802016</v>
      </c>
      <c r="BE40" s="219">
        <v>18700.014343896568</v>
      </c>
      <c r="BF40" s="219">
        <v>19771.689823642249</v>
      </c>
      <c r="BG40" s="219">
        <v>20257.859002700628</v>
      </c>
      <c r="BH40" s="219">
        <v>20860.295038489345</v>
      </c>
      <c r="BI40" s="220">
        <v>21566.585749495702</v>
      </c>
      <c r="BJ40" s="219">
        <v>20395.166944903256</v>
      </c>
      <c r="BK40" s="219">
        <v>19078.759395759324</v>
      </c>
      <c r="BL40" s="219">
        <v>19481.313219981057</v>
      </c>
      <c r="BM40" s="219">
        <v>19941.885838528156</v>
      </c>
      <c r="BN40" s="219">
        <v>20659.248859956831</v>
      </c>
      <c r="BO40" s="219">
        <v>21265.829994412958</v>
      </c>
      <c r="BP40" s="219">
        <v>21388.526263427018</v>
      </c>
      <c r="BQ40" s="219">
        <v>21993.455111572861</v>
      </c>
      <c r="BR40" s="219">
        <v>22941.634394022742</v>
      </c>
      <c r="BS40" s="219">
        <v>23255.986312226745</v>
      </c>
      <c r="BT40" s="219">
        <v>23697.617490092987</v>
      </c>
      <c r="BU40" s="220">
        <v>24339.48890427122</v>
      </c>
      <c r="BV40" s="219">
        <v>23006.682096653563</v>
      </c>
      <c r="BW40" s="219">
        <v>21455.522443083351</v>
      </c>
      <c r="BX40" s="219">
        <v>21912.367874931093</v>
      </c>
      <c r="BY40" s="219">
        <v>22450.610628173876</v>
      </c>
      <c r="BZ40" s="219">
        <v>23189.181480502706</v>
      </c>
      <c r="CA40" s="219">
        <v>23895.921272366093</v>
      </c>
      <c r="CB40" s="219">
        <v>24039.756904205842</v>
      </c>
      <c r="CC40" s="219">
        <v>24742.918299227029</v>
      </c>
      <c r="CD40" s="219">
        <v>25854.271689375029</v>
      </c>
      <c r="CE40" s="219">
        <v>26278.401367855891</v>
      </c>
      <c r="CF40" s="219">
        <v>26825.903945776583</v>
      </c>
      <c r="CG40" s="220">
        <v>27603.838470002378</v>
      </c>
      <c r="CH40" s="219">
        <v>26118.583130327945</v>
      </c>
      <c r="CI40" s="219">
        <v>24373.708123255004</v>
      </c>
      <c r="CJ40" s="219">
        <v>24927.637194757244</v>
      </c>
      <c r="CK40" s="219">
        <v>25598.525311389592</v>
      </c>
      <c r="CL40" s="219">
        <v>26491.706531066306</v>
      </c>
      <c r="CM40" s="219">
        <v>27346.3198490205</v>
      </c>
      <c r="CN40" s="219">
        <v>27558.481997096635</v>
      </c>
      <c r="CO40" s="219">
        <v>28348.887809269203</v>
      </c>
      <c r="CP40" s="219">
        <v>29622.055574022266</v>
      </c>
      <c r="CQ40" s="219">
        <v>30127.301857424078</v>
      </c>
      <c r="CR40" s="219">
        <v>30759.917537674573</v>
      </c>
      <c r="CS40" s="220">
        <v>31669.217270708541</v>
      </c>
    </row>
    <row r="42" spans="1:97" s="209" customFormat="1" x14ac:dyDescent="0.25">
      <c r="A42" s="219" t="s">
        <v>203</v>
      </c>
      <c r="B42" s="209">
        <v>0</v>
      </c>
      <c r="C42" s="209">
        <v>2496</v>
      </c>
      <c r="D42" s="209">
        <v>2586</v>
      </c>
      <c r="E42" s="209">
        <v>2805</v>
      </c>
      <c r="F42" s="209">
        <v>3133</v>
      </c>
      <c r="G42" s="209">
        <v>3046</v>
      </c>
      <c r="H42" s="209">
        <v>3101</v>
      </c>
      <c r="I42" s="209">
        <v>3127</v>
      </c>
      <c r="J42" s="209">
        <v>3315</v>
      </c>
      <c r="K42" s="209">
        <v>3461</v>
      </c>
      <c r="L42" s="209">
        <v>3650</v>
      </c>
      <c r="M42" s="210">
        <v>4000</v>
      </c>
      <c r="N42" s="205">
        <v>4117</v>
      </c>
      <c r="O42" s="205">
        <v>4156</v>
      </c>
      <c r="P42" s="205">
        <v>4067</v>
      </c>
      <c r="Q42" s="205">
        <v>4326</v>
      </c>
      <c r="R42" s="205">
        <v>4505</v>
      </c>
      <c r="S42" s="205">
        <v>4930</v>
      </c>
      <c r="T42" s="205">
        <v>5819</v>
      </c>
      <c r="U42" s="205">
        <v>6335</v>
      </c>
      <c r="V42" s="209">
        <v>6970</v>
      </c>
      <c r="W42" s="209">
        <v>7724.7592182400003</v>
      </c>
      <c r="X42" s="209">
        <v>8438.9889611520011</v>
      </c>
      <c r="Y42" s="210">
        <v>9212.6747621484792</v>
      </c>
      <c r="Z42" s="209">
        <v>10244.923698985</v>
      </c>
      <c r="AA42" s="209">
        <v>9971.7775109676732</v>
      </c>
      <c r="AB42" s="209">
        <v>9764.5229665469487</v>
      </c>
      <c r="AC42" s="209">
        <v>10074.342287148558</v>
      </c>
      <c r="AD42" s="209">
        <v>10315.069279174604</v>
      </c>
      <c r="AE42" s="209">
        <v>10733.240152274808</v>
      </c>
      <c r="AF42" s="209">
        <v>11536.536904661592</v>
      </c>
      <c r="AG42" s="209">
        <v>11603.932911977012</v>
      </c>
      <c r="AH42" s="209">
        <v>12042.793382315393</v>
      </c>
      <c r="AI42" s="209">
        <v>12856.471758648278</v>
      </c>
      <c r="AJ42" s="209">
        <v>13174.629317775245</v>
      </c>
      <c r="AK42" s="210">
        <v>13772.12079595208</v>
      </c>
      <c r="AL42" s="209">
        <v>14741.670769023571</v>
      </c>
      <c r="AM42" s="209">
        <v>13604.987582562198</v>
      </c>
      <c r="AN42" s="209">
        <v>12888.690637904592</v>
      </c>
      <c r="AO42" s="209">
        <v>13332.133505722135</v>
      </c>
      <c r="AP42" s="209">
        <v>13593.584841810061</v>
      </c>
      <c r="AQ42" s="209">
        <v>14078.253473727724</v>
      </c>
      <c r="AR42" s="209">
        <v>14753.690342790876</v>
      </c>
      <c r="AS42" s="209">
        <v>14796.29660661189</v>
      </c>
      <c r="AT42" s="209">
        <v>15316.34531599786</v>
      </c>
      <c r="AU42" s="209">
        <v>16207.297827850558</v>
      </c>
      <c r="AV42" s="209">
        <v>16397.322116571246</v>
      </c>
      <c r="AW42" s="210">
        <v>16889.254695453907</v>
      </c>
      <c r="AX42" s="209">
        <v>17485.917328914955</v>
      </c>
      <c r="AY42" s="209">
        <v>16409.26958313684</v>
      </c>
      <c r="AZ42" s="209">
        <v>15370.878476241329</v>
      </c>
      <c r="BA42" s="209">
        <v>15857.776013808971</v>
      </c>
      <c r="BB42" s="209">
        <v>16239.304287770374</v>
      </c>
      <c r="BC42" s="209">
        <v>16982.927739549232</v>
      </c>
      <c r="BD42" s="209">
        <v>17730.585025923046</v>
      </c>
      <c r="BE42" s="209">
        <v>17997.242633802016</v>
      </c>
      <c r="BF42" s="209">
        <v>18700.014343896568</v>
      </c>
      <c r="BG42" s="209">
        <v>19771.689823642246</v>
      </c>
      <c r="BH42" s="209">
        <v>20257.859002700628</v>
      </c>
      <c r="BI42" s="210">
        <v>20860.295038489341</v>
      </c>
      <c r="BJ42" s="209">
        <v>21566.585749495702</v>
      </c>
      <c r="BK42" s="209">
        <v>20395.166944903256</v>
      </c>
      <c r="BL42" s="209">
        <v>19078.759395759324</v>
      </c>
      <c r="BM42" s="209">
        <v>19481.313219981057</v>
      </c>
      <c r="BN42" s="209">
        <v>19941.885838528156</v>
      </c>
      <c r="BO42" s="209">
        <v>20659.248859956831</v>
      </c>
      <c r="BP42" s="209">
        <v>21265.829994412954</v>
      </c>
      <c r="BQ42" s="209">
        <v>21388.526263427018</v>
      </c>
      <c r="BR42" s="209">
        <v>21993.455111572857</v>
      </c>
      <c r="BS42" s="209">
        <v>22941.634394022745</v>
      </c>
      <c r="BT42" s="209">
        <v>23255.986312226749</v>
      </c>
      <c r="BU42" s="210">
        <v>23697.617490092987</v>
      </c>
      <c r="BV42" s="209">
        <v>24339.488904271224</v>
      </c>
      <c r="BW42" s="209">
        <v>23006.682096653563</v>
      </c>
      <c r="BX42" s="209">
        <v>21455.522443083351</v>
      </c>
      <c r="BY42" s="209">
        <v>21912.367874931093</v>
      </c>
      <c r="BZ42" s="209">
        <v>22450.610628173876</v>
      </c>
      <c r="CA42" s="209">
        <v>23189.18148050271</v>
      </c>
      <c r="CB42" s="209">
        <v>23895.921272366097</v>
      </c>
      <c r="CC42" s="209">
        <v>24039.756904205846</v>
      </c>
      <c r="CD42" s="209">
        <v>24742.918299227033</v>
      </c>
      <c r="CE42" s="209">
        <v>25854.271689375029</v>
      </c>
      <c r="CF42" s="209">
        <v>26278.401367855891</v>
      </c>
      <c r="CG42" s="210">
        <v>26825.903945776576</v>
      </c>
      <c r="CH42" s="209">
        <v>27603.838470002382</v>
      </c>
      <c r="CI42" s="209">
        <v>26118.583130327945</v>
      </c>
      <c r="CJ42" s="209">
        <v>24373.708123255001</v>
      </c>
      <c r="CK42" s="209">
        <v>24927.637194757241</v>
      </c>
      <c r="CL42" s="209">
        <v>25598.525311389592</v>
      </c>
      <c r="CM42" s="209">
        <v>26491.706531066302</v>
      </c>
      <c r="CN42" s="209">
        <v>27346.3198490205</v>
      </c>
      <c r="CO42" s="209">
        <v>27558.481997096635</v>
      </c>
      <c r="CP42" s="209">
        <v>28348.887809269203</v>
      </c>
      <c r="CQ42" s="209">
        <v>29622.055574022263</v>
      </c>
      <c r="CR42" s="209">
        <v>30127.301857424081</v>
      </c>
      <c r="CS42" s="210">
        <v>30759.917537674573</v>
      </c>
    </row>
    <row r="43" spans="1:97" s="240" customFormat="1" x14ac:dyDescent="0.25">
      <c r="A43" s="231" t="s">
        <v>204</v>
      </c>
      <c r="B43" s="232"/>
      <c r="C43" s="232">
        <v>121</v>
      </c>
      <c r="D43" s="232">
        <v>233</v>
      </c>
      <c r="E43" s="232">
        <v>252</v>
      </c>
      <c r="F43" s="232">
        <v>557</v>
      </c>
      <c r="G43" s="232">
        <v>447</v>
      </c>
      <c r="H43" s="232">
        <v>472</v>
      </c>
      <c r="I43" s="232">
        <v>300</v>
      </c>
      <c r="J43" s="232">
        <v>428</v>
      </c>
      <c r="K43" s="232">
        <v>275</v>
      </c>
      <c r="L43" s="232">
        <v>455</v>
      </c>
      <c r="M43" s="233">
        <v>475</v>
      </c>
      <c r="N43" s="234">
        <v>166</v>
      </c>
      <c r="O43" s="234">
        <v>285</v>
      </c>
      <c r="P43" s="234">
        <v>424</v>
      </c>
      <c r="Q43" s="234">
        <v>366</v>
      </c>
      <c r="R43" s="234">
        <v>323</v>
      </c>
      <c r="S43" s="234">
        <v>411</v>
      </c>
      <c r="T43" s="235">
        <v>410</v>
      </c>
      <c r="U43" s="235">
        <v>417</v>
      </c>
      <c r="V43" s="236">
        <v>496.29999999999836</v>
      </c>
      <c r="W43" s="236">
        <v>655.69000000000233</v>
      </c>
      <c r="X43" s="236">
        <v>619.02296091199969</v>
      </c>
      <c r="Y43" s="237">
        <v>423.89486988160024</v>
      </c>
      <c r="Z43" s="238">
        <v>696.92932135622323</v>
      </c>
      <c r="AA43" s="238">
        <v>648.41140073737915</v>
      </c>
      <c r="AB43" s="238">
        <v>830.90093950071059</v>
      </c>
      <c r="AC43" s="238">
        <v>875.03447645052802</v>
      </c>
      <c r="AD43" s="238">
        <v>937.82873930100504</v>
      </c>
      <c r="AE43" s="238">
        <v>922.37734417534557</v>
      </c>
      <c r="AF43" s="238">
        <v>1148.429447399385</v>
      </c>
      <c r="AG43" s="238">
        <v>1029.4093431104357</v>
      </c>
      <c r="AH43" s="238">
        <v>908.23483527129974</v>
      </c>
      <c r="AI43" s="238">
        <v>1030.5824988376535</v>
      </c>
      <c r="AJ43" s="238">
        <v>986.59264978515421</v>
      </c>
      <c r="AK43" s="239">
        <v>871.45225724515694</v>
      </c>
      <c r="AL43" s="238">
        <v>1671.7429730438544</v>
      </c>
      <c r="AM43" s="238">
        <v>1273.3133735574138</v>
      </c>
      <c r="AN43" s="238">
        <v>1281.0984178641611</v>
      </c>
      <c r="AO43" s="238">
        <v>1292.5559098714639</v>
      </c>
      <c r="AP43" s="238">
        <v>1287.3934305154908</v>
      </c>
      <c r="AQ43" s="238">
        <v>1248.4505486817543</v>
      </c>
      <c r="AR43" s="238">
        <v>1579.7976812074448</v>
      </c>
      <c r="AS43" s="238">
        <v>1336.129840887621</v>
      </c>
      <c r="AT43" s="238">
        <v>1128.6044601189315</v>
      </c>
      <c r="AU43" s="238">
        <v>1517.5984353667372</v>
      </c>
      <c r="AV43" s="238">
        <v>1464.1188603082737</v>
      </c>
      <c r="AW43" s="239">
        <v>1457.1624382273258</v>
      </c>
      <c r="AX43" s="238">
        <v>1684.3762618474357</v>
      </c>
      <c r="AY43" s="238">
        <v>1669.2180023051442</v>
      </c>
      <c r="AZ43" s="238">
        <v>1647.6187218101095</v>
      </c>
      <c r="BA43" s="238">
        <v>1660.192771631293</v>
      </c>
      <c r="BB43" s="238">
        <v>1375.3648229832979</v>
      </c>
      <c r="BC43" s="238">
        <v>1494.1838690385375</v>
      </c>
      <c r="BD43" s="238">
        <v>1853.2704058801028</v>
      </c>
      <c r="BE43" s="238">
        <v>1503.6015481030518</v>
      </c>
      <c r="BF43" s="238">
        <v>1270.5215025749785</v>
      </c>
      <c r="BG43" s="238">
        <v>1741.806680747115</v>
      </c>
      <c r="BH43" s="238">
        <v>1722.9302738756087</v>
      </c>
      <c r="BI43" s="239">
        <v>1765.584376594401</v>
      </c>
      <c r="BJ43" s="238">
        <v>1892.879153787715</v>
      </c>
      <c r="BK43" s="238">
        <v>2066.1785657494293</v>
      </c>
      <c r="BL43" s="238">
        <v>2066.6004346909649</v>
      </c>
      <c r="BM43" s="238">
        <v>1878.503449972508</v>
      </c>
      <c r="BN43" s="238">
        <v>1701.0933356641981</v>
      </c>
      <c r="BO43" s="238">
        <v>1894.3266391549187</v>
      </c>
      <c r="BP43" s="238">
        <v>2244.1183432999096</v>
      </c>
      <c r="BQ43" s="238">
        <v>1849.848477952095</v>
      </c>
      <c r="BR43" s="238">
        <v>1599.608882999928</v>
      </c>
      <c r="BS43" s="238">
        <v>2106.6633356901148</v>
      </c>
      <c r="BT43" s="238">
        <v>2076.9949753445253</v>
      </c>
      <c r="BU43" s="239">
        <v>1976.995261429598</v>
      </c>
      <c r="BV43" s="238">
        <v>2132.1179820082107</v>
      </c>
      <c r="BW43" s="238">
        <v>2382.3566965962127</v>
      </c>
      <c r="BX43" s="238">
        <v>2286.908706561022</v>
      </c>
      <c r="BY43" s="238">
        <v>2102.0344532550844</v>
      </c>
      <c r="BZ43" s="238">
        <v>1989.2241669479263</v>
      </c>
      <c r="CA43" s="238">
        <v>2111.9072266913136</v>
      </c>
      <c r="CB43" s="238">
        <v>2560.5711189320609</v>
      </c>
      <c r="CC43" s="238">
        <v>2097.736764355308</v>
      </c>
      <c r="CD43" s="238">
        <v>1791.8461837092946</v>
      </c>
      <c r="CE43" s="238">
        <v>2376.5880101998409</v>
      </c>
      <c r="CF43" s="238">
        <v>2360.662257126758</v>
      </c>
      <c r="CG43" s="239">
        <v>2240.808355151752</v>
      </c>
      <c r="CH43" s="238">
        <v>2402.5723837041733</v>
      </c>
      <c r="CI43" s="238">
        <v>2697.6720496775961</v>
      </c>
      <c r="CJ43" s="238">
        <v>2595.3118692311546</v>
      </c>
      <c r="CK43" s="238">
        <v>2356.3800090226287</v>
      </c>
      <c r="CL43" s="238">
        <v>2231.9752664930638</v>
      </c>
      <c r="CM43" s="238">
        <v>2372.6281752936557</v>
      </c>
      <c r="CN43" s="238">
        <v>2883.0625235795742</v>
      </c>
      <c r="CO43" s="238">
        <v>2413.7010831715852</v>
      </c>
      <c r="CP43" s="238">
        <v>2046.5315724300672</v>
      </c>
      <c r="CQ43" s="238">
        <v>2696.5672034487725</v>
      </c>
      <c r="CR43" s="238">
        <v>2690.9174711302803</v>
      </c>
      <c r="CS43" s="239">
        <v>2539.6848114681343</v>
      </c>
    </row>
    <row r="44" spans="1:97" s="242" customFormat="1" x14ac:dyDescent="0.25">
      <c r="A44" s="241" t="s">
        <v>205</v>
      </c>
      <c r="C44" s="242">
        <v>4.8477564102564104E-2</v>
      </c>
      <c r="D44" s="242">
        <v>9.0100541376643459E-2</v>
      </c>
      <c r="E44" s="242">
        <v>8.9839572192513373E-2</v>
      </c>
      <c r="F44" s="242">
        <v>0.17778487073092883</v>
      </c>
      <c r="G44" s="242">
        <v>0.14674983585029547</v>
      </c>
      <c r="H44" s="242">
        <v>0.15220896485004837</v>
      </c>
      <c r="I44" s="242">
        <v>9.5938599296450267E-2</v>
      </c>
      <c r="J44" s="242">
        <v>0.12911010558069383</v>
      </c>
      <c r="K44" s="242">
        <v>7.9456804391794283E-2</v>
      </c>
      <c r="L44" s="242">
        <v>0.12465753424657534</v>
      </c>
      <c r="M44" s="243">
        <v>0.11874999999999999</v>
      </c>
      <c r="N44" s="208">
        <v>4.0320621811999031E-2</v>
      </c>
      <c r="O44" s="208">
        <v>6.8575553416746871E-2</v>
      </c>
      <c r="P44" s="208">
        <v>0.10425374969264814</v>
      </c>
      <c r="Q44" s="208">
        <v>8.4604715672676842E-2</v>
      </c>
      <c r="R44" s="208">
        <v>7.1698113207547168E-2</v>
      </c>
      <c r="S44" s="208">
        <v>8.3367139959432054E-2</v>
      </c>
      <c r="T44" s="244">
        <v>7.0458841725382373E-2</v>
      </c>
      <c r="U44" s="244">
        <v>6.5824782951854774E-2</v>
      </c>
      <c r="V44" s="245">
        <v>7.120516499282617E-2</v>
      </c>
      <c r="W44" s="245">
        <v>8.4881610089769757E-2</v>
      </c>
      <c r="X44" s="245">
        <v>7.3352739737142306E-2</v>
      </c>
      <c r="Y44" s="246">
        <v>4.601213880069116E-2</v>
      </c>
      <c r="Z44" s="242">
        <v>6.8026794716418482E-2</v>
      </c>
      <c r="AA44" s="242">
        <v>6.5024655837357975E-2</v>
      </c>
      <c r="AB44" s="242">
        <v>8.5093858895857979E-2</v>
      </c>
      <c r="AC44" s="242">
        <v>8.6857727433658383E-2</v>
      </c>
      <c r="AD44" s="242">
        <v>9.0918317067866419E-2</v>
      </c>
      <c r="AE44" s="242">
        <v>8.5936523462568429E-2</v>
      </c>
      <c r="AF44" s="242">
        <v>9.9547156732566491E-2</v>
      </c>
      <c r="AG44" s="242">
        <v>8.8712107431087414E-2</v>
      </c>
      <c r="AH44" s="242">
        <v>7.5417289530602172E-2</v>
      </c>
      <c r="AI44" s="242">
        <v>8.0160600683029715E-2</v>
      </c>
      <c r="AJ44" s="242">
        <v>7.4885799515743548E-2</v>
      </c>
      <c r="AK44" s="243">
        <v>6.3276547610684283E-2</v>
      </c>
      <c r="AL44" s="242">
        <v>0.11340254434094812</v>
      </c>
      <c r="AM44" s="242">
        <v>9.3591660104816746E-2</v>
      </c>
      <c r="AN44" s="242">
        <v>9.9397095783845937E-2</v>
      </c>
      <c r="AO44" s="242">
        <v>9.6950417524449523E-2</v>
      </c>
      <c r="AP44" s="242">
        <v>9.470595472033462E-2</v>
      </c>
      <c r="AQ44" s="242">
        <v>8.8679362891964056E-2</v>
      </c>
      <c r="AR44" s="242">
        <v>0.10707813736780672</v>
      </c>
      <c r="AS44" s="242">
        <v>9.0301639417701085E-2</v>
      </c>
      <c r="AT44" s="242">
        <v>7.3686276773879525E-2</v>
      </c>
      <c r="AU44" s="242">
        <v>9.3636733987753462E-2</v>
      </c>
      <c r="AV44" s="242">
        <v>8.9290120051287225E-2</v>
      </c>
      <c r="AW44" s="243">
        <v>8.6277486159264991E-2</v>
      </c>
      <c r="AX44" s="242">
        <v>9.6327589234459429E-2</v>
      </c>
      <c r="AY44" s="242">
        <v>0.10172408917094845</v>
      </c>
      <c r="AZ44" s="242">
        <v>0.1071909275944653</v>
      </c>
      <c r="BA44" s="242">
        <v>0.10469266120202449</v>
      </c>
      <c r="BB44" s="242">
        <v>8.469358037825972E-2</v>
      </c>
      <c r="BC44" s="242">
        <v>8.7981524266804473E-2</v>
      </c>
      <c r="BD44" s="242">
        <v>0.1045239287463174</v>
      </c>
      <c r="BE44" s="242">
        <v>8.3546217534402806E-2</v>
      </c>
      <c r="BF44" s="242">
        <v>6.7942274225562801E-2</v>
      </c>
      <c r="BG44" s="242">
        <v>8.809599464100068E-2</v>
      </c>
      <c r="BH44" s="242">
        <v>8.5049968688493696E-2</v>
      </c>
      <c r="BI44" s="243">
        <v>8.463851414070224E-2</v>
      </c>
      <c r="BJ44" s="242">
        <v>8.7769069048492146E-2</v>
      </c>
      <c r="BK44" s="242">
        <v>0.10130726418328076</v>
      </c>
      <c r="BL44" s="242">
        <v>0.10831943481347706</v>
      </c>
      <c r="BM44" s="242">
        <v>9.642591486316314E-2</v>
      </c>
      <c r="BN44" s="242">
        <v>8.5302531036340043E-2</v>
      </c>
      <c r="BO44" s="242">
        <v>9.1693877739506394E-2</v>
      </c>
      <c r="BP44" s="242">
        <v>0.10552695774815719</v>
      </c>
      <c r="BQ44" s="242">
        <v>8.6487888654358344E-2</v>
      </c>
      <c r="BR44" s="242">
        <v>7.2731131824677289E-2</v>
      </c>
      <c r="BS44" s="242">
        <v>9.1827081693839074E-2</v>
      </c>
      <c r="BT44" s="242">
        <v>8.9310122024476468E-2</v>
      </c>
      <c r="BU44" s="243">
        <v>8.3425908206008453E-2</v>
      </c>
      <c r="BV44" s="242">
        <v>8.7599127097284901E-2</v>
      </c>
      <c r="BW44" s="242">
        <v>0.10355064179127065</v>
      </c>
      <c r="BX44" s="242">
        <v>0.10658834864672596</v>
      </c>
      <c r="BY44" s="242">
        <v>9.5929133047274309E-2</v>
      </c>
      <c r="BZ44" s="242">
        <v>8.8604457130070008E-2</v>
      </c>
      <c r="CA44" s="242">
        <v>9.1072952638151086E-2</v>
      </c>
      <c r="CB44" s="242">
        <v>0.10715515379158769</v>
      </c>
      <c r="CC44" s="242">
        <v>8.7261147136987113E-2</v>
      </c>
      <c r="CD44" s="242">
        <v>7.2418546674232517E-2</v>
      </c>
      <c r="CE44" s="242">
        <v>9.1922450523969482E-2</v>
      </c>
      <c r="CF44" s="242">
        <v>8.9832795537340152E-2</v>
      </c>
      <c r="CG44" s="243">
        <v>8.3531513408872132E-2</v>
      </c>
      <c r="CH44" s="242">
        <v>8.7037619290342344E-2</v>
      </c>
      <c r="CI44" s="242">
        <v>0.10328554333198717</v>
      </c>
      <c r="CJ44" s="242">
        <v>0.10647997654304241</v>
      </c>
      <c r="CK44" s="242">
        <v>9.4528815170585867E-2</v>
      </c>
      <c r="CL44" s="242">
        <v>8.719155651907759E-2</v>
      </c>
      <c r="CM44" s="242">
        <v>8.9561167851203591E-2</v>
      </c>
      <c r="CN44" s="242">
        <v>0.10542780672123385</v>
      </c>
      <c r="CO44" s="242">
        <v>8.758468929550893E-2</v>
      </c>
      <c r="CP44" s="242">
        <v>7.2190894619891047E-2</v>
      </c>
      <c r="CQ44" s="242">
        <v>9.1032413220289432E-2</v>
      </c>
      <c r="CR44" s="242">
        <v>8.9318236457579567E-2</v>
      </c>
      <c r="CS44" s="243">
        <v>8.2564747072469968E-2</v>
      </c>
    </row>
    <row r="46" spans="1:97" s="194" customFormat="1" x14ac:dyDescent="0.25">
      <c r="A46" s="72"/>
      <c r="B46" s="72">
        <v>1</v>
      </c>
      <c r="C46" s="190">
        <v>2</v>
      </c>
      <c r="D46" s="190">
        <v>3</v>
      </c>
      <c r="E46" s="190">
        <v>4</v>
      </c>
      <c r="F46" s="190">
        <v>5</v>
      </c>
      <c r="G46" s="190">
        <v>6</v>
      </c>
      <c r="H46" s="190">
        <v>7</v>
      </c>
      <c r="I46" s="190">
        <v>8</v>
      </c>
      <c r="J46" s="190">
        <v>9</v>
      </c>
      <c r="K46" s="190">
        <v>10</v>
      </c>
      <c r="L46" s="190">
        <v>11</v>
      </c>
      <c r="M46" s="191">
        <v>12</v>
      </c>
      <c r="N46" s="193">
        <v>13</v>
      </c>
      <c r="O46" s="193">
        <v>14</v>
      </c>
      <c r="P46" s="193">
        <v>15</v>
      </c>
      <c r="Q46" s="193">
        <v>16</v>
      </c>
      <c r="R46" s="193">
        <v>17</v>
      </c>
      <c r="S46" s="193">
        <v>18</v>
      </c>
      <c r="T46" s="193">
        <v>19</v>
      </c>
      <c r="U46" s="193">
        <v>20</v>
      </c>
      <c r="V46" s="190">
        <v>21</v>
      </c>
      <c r="W46" s="190">
        <v>22</v>
      </c>
      <c r="X46" s="190">
        <v>23</v>
      </c>
      <c r="Y46" s="191">
        <v>24</v>
      </c>
      <c r="Z46" s="190">
        <v>25</v>
      </c>
      <c r="AA46" s="190">
        <v>26</v>
      </c>
      <c r="AB46" s="190">
        <v>27</v>
      </c>
      <c r="AC46" s="190">
        <v>28</v>
      </c>
      <c r="AD46" s="190">
        <v>29</v>
      </c>
      <c r="AE46" s="190">
        <v>30</v>
      </c>
      <c r="AF46" s="190">
        <v>31</v>
      </c>
      <c r="AG46" s="190">
        <v>32</v>
      </c>
      <c r="AH46" s="190">
        <v>33</v>
      </c>
      <c r="AI46" s="190">
        <v>34</v>
      </c>
      <c r="AJ46" s="190">
        <v>35</v>
      </c>
      <c r="AK46" s="191">
        <v>36</v>
      </c>
      <c r="AL46" s="190">
        <v>37</v>
      </c>
      <c r="AM46" s="190">
        <v>38</v>
      </c>
      <c r="AN46" s="190">
        <v>39</v>
      </c>
      <c r="AO46" s="190">
        <v>40</v>
      </c>
      <c r="AP46" s="190">
        <v>41</v>
      </c>
      <c r="AQ46" s="190">
        <v>42</v>
      </c>
      <c r="AR46" s="190">
        <v>43</v>
      </c>
      <c r="AS46" s="190">
        <v>44</v>
      </c>
      <c r="AT46" s="190">
        <v>45</v>
      </c>
      <c r="AU46" s="190">
        <v>46</v>
      </c>
      <c r="AV46" s="190">
        <v>47</v>
      </c>
      <c r="AW46" s="191">
        <v>48</v>
      </c>
      <c r="AX46" s="190">
        <v>49</v>
      </c>
      <c r="AY46" s="190">
        <v>50</v>
      </c>
      <c r="AZ46" s="190">
        <v>51</v>
      </c>
      <c r="BA46" s="190">
        <v>52</v>
      </c>
      <c r="BB46" s="190">
        <v>53</v>
      </c>
      <c r="BC46" s="190">
        <v>54</v>
      </c>
      <c r="BD46" s="190">
        <v>55</v>
      </c>
      <c r="BE46" s="190">
        <v>56</v>
      </c>
      <c r="BF46" s="190">
        <v>57</v>
      </c>
      <c r="BG46" s="190">
        <v>58</v>
      </c>
      <c r="BH46" s="190">
        <v>59</v>
      </c>
      <c r="BI46" s="191">
        <v>60</v>
      </c>
      <c r="BJ46" s="190">
        <v>61</v>
      </c>
      <c r="BK46" s="190">
        <v>62</v>
      </c>
      <c r="BL46" s="190">
        <v>63</v>
      </c>
      <c r="BM46" s="190">
        <v>64</v>
      </c>
      <c r="BN46" s="190">
        <v>65</v>
      </c>
      <c r="BO46" s="190">
        <v>66</v>
      </c>
      <c r="BP46" s="190">
        <v>67</v>
      </c>
      <c r="BQ46" s="190">
        <v>68</v>
      </c>
      <c r="BR46" s="190">
        <v>69</v>
      </c>
      <c r="BS46" s="190">
        <v>70</v>
      </c>
      <c r="BT46" s="190">
        <v>71</v>
      </c>
      <c r="BU46" s="191">
        <v>72</v>
      </c>
      <c r="BV46" s="190">
        <v>73</v>
      </c>
      <c r="BW46" s="190">
        <v>74</v>
      </c>
      <c r="BX46" s="190">
        <v>75</v>
      </c>
      <c r="BY46" s="190">
        <v>76</v>
      </c>
      <c r="BZ46" s="190">
        <v>77</v>
      </c>
      <c r="CA46" s="190">
        <v>78</v>
      </c>
      <c r="CB46" s="190">
        <v>79</v>
      </c>
      <c r="CC46" s="190">
        <v>80</v>
      </c>
      <c r="CD46" s="190">
        <v>81</v>
      </c>
      <c r="CE46" s="190">
        <v>82</v>
      </c>
      <c r="CF46" s="190">
        <v>83</v>
      </c>
      <c r="CG46" s="191">
        <v>84</v>
      </c>
      <c r="CH46" s="190">
        <v>85</v>
      </c>
      <c r="CI46" s="190">
        <v>86</v>
      </c>
      <c r="CJ46" s="190">
        <v>87</v>
      </c>
      <c r="CK46" s="190">
        <v>88</v>
      </c>
      <c r="CL46" s="190">
        <v>89</v>
      </c>
      <c r="CM46" s="190">
        <v>90</v>
      </c>
      <c r="CN46" s="190">
        <v>91</v>
      </c>
      <c r="CO46" s="190">
        <v>92</v>
      </c>
      <c r="CP46" s="190">
        <v>93</v>
      </c>
      <c r="CQ46" s="190">
        <v>94</v>
      </c>
      <c r="CR46" s="190">
        <v>95</v>
      </c>
      <c r="CS46" s="191">
        <v>96</v>
      </c>
    </row>
    <row r="47" spans="1:97" s="227" customFormat="1" x14ac:dyDescent="0.25">
      <c r="A47" s="227" t="s">
        <v>10</v>
      </c>
      <c r="B47" s="228">
        <v>42005</v>
      </c>
      <c r="C47" s="228">
        <v>42036</v>
      </c>
      <c r="D47" s="228">
        <v>42064</v>
      </c>
      <c r="E47" s="228">
        <v>42095</v>
      </c>
      <c r="F47" s="228">
        <v>42125</v>
      </c>
      <c r="G47" s="228">
        <v>42156</v>
      </c>
      <c r="H47" s="228">
        <v>42186</v>
      </c>
      <c r="I47" s="228">
        <v>42217</v>
      </c>
      <c r="J47" s="228">
        <v>42248</v>
      </c>
      <c r="K47" s="228">
        <v>42278</v>
      </c>
      <c r="L47" s="228">
        <v>42309</v>
      </c>
      <c r="M47" s="229">
        <v>42339</v>
      </c>
      <c r="N47" s="230">
        <v>42370</v>
      </c>
      <c r="O47" s="230">
        <v>42401</v>
      </c>
      <c r="P47" s="230">
        <v>42430</v>
      </c>
      <c r="Q47" s="230">
        <v>42461</v>
      </c>
      <c r="R47" s="230">
        <v>42491</v>
      </c>
      <c r="S47" s="230">
        <v>42522</v>
      </c>
      <c r="T47" s="230">
        <v>42552</v>
      </c>
      <c r="U47" s="230">
        <v>42583</v>
      </c>
      <c r="V47" s="228">
        <v>42614</v>
      </c>
      <c r="W47" s="228">
        <v>42644</v>
      </c>
      <c r="X47" s="228">
        <v>42675</v>
      </c>
      <c r="Y47" s="229">
        <v>42705</v>
      </c>
      <c r="Z47" s="228">
        <v>42752</v>
      </c>
      <c r="AA47" s="228">
        <v>42783</v>
      </c>
      <c r="AB47" s="228">
        <v>42811</v>
      </c>
      <c r="AC47" s="228">
        <v>42842</v>
      </c>
      <c r="AD47" s="228">
        <v>42872</v>
      </c>
      <c r="AE47" s="228">
        <v>42903</v>
      </c>
      <c r="AF47" s="228">
        <v>42933</v>
      </c>
      <c r="AG47" s="228">
        <v>42964</v>
      </c>
      <c r="AH47" s="228">
        <v>42995</v>
      </c>
      <c r="AI47" s="228">
        <v>43025</v>
      </c>
      <c r="AJ47" s="228">
        <v>43056</v>
      </c>
      <c r="AK47" s="229">
        <v>43086</v>
      </c>
      <c r="AL47" s="228">
        <v>43118</v>
      </c>
      <c r="AM47" s="228">
        <v>43149</v>
      </c>
      <c r="AN47" s="228">
        <v>43177</v>
      </c>
      <c r="AO47" s="228">
        <v>43208</v>
      </c>
      <c r="AP47" s="228">
        <v>43238</v>
      </c>
      <c r="AQ47" s="228">
        <v>43269</v>
      </c>
      <c r="AR47" s="228">
        <v>43299</v>
      </c>
      <c r="AS47" s="228">
        <v>43330</v>
      </c>
      <c r="AT47" s="228">
        <v>43361</v>
      </c>
      <c r="AU47" s="228">
        <v>43391</v>
      </c>
      <c r="AV47" s="228">
        <v>43422</v>
      </c>
      <c r="AW47" s="229">
        <v>43452</v>
      </c>
      <c r="AX47" s="228">
        <v>43483</v>
      </c>
      <c r="AY47" s="228">
        <v>43514</v>
      </c>
      <c r="AZ47" s="228">
        <v>43542</v>
      </c>
      <c r="BA47" s="228">
        <v>43573</v>
      </c>
      <c r="BB47" s="228">
        <v>43603</v>
      </c>
      <c r="BC47" s="228">
        <v>43634</v>
      </c>
      <c r="BD47" s="228">
        <v>43664</v>
      </c>
      <c r="BE47" s="228">
        <v>43695</v>
      </c>
      <c r="BF47" s="228">
        <v>43726</v>
      </c>
      <c r="BG47" s="228">
        <v>43756</v>
      </c>
      <c r="BH47" s="228">
        <v>43787</v>
      </c>
      <c r="BI47" s="229">
        <v>43817</v>
      </c>
      <c r="BJ47" s="228">
        <v>43848</v>
      </c>
      <c r="BK47" s="228">
        <v>43879</v>
      </c>
      <c r="BL47" s="228">
        <v>43908</v>
      </c>
      <c r="BM47" s="228">
        <v>43939</v>
      </c>
      <c r="BN47" s="228">
        <v>43969</v>
      </c>
      <c r="BO47" s="228">
        <v>44000</v>
      </c>
      <c r="BP47" s="228">
        <v>44030</v>
      </c>
      <c r="BQ47" s="228">
        <v>44061</v>
      </c>
      <c r="BR47" s="228">
        <v>44092</v>
      </c>
      <c r="BS47" s="228">
        <v>44122</v>
      </c>
      <c r="BT47" s="228">
        <v>44153</v>
      </c>
      <c r="BU47" s="229">
        <v>44183</v>
      </c>
      <c r="BV47" s="228">
        <v>44214</v>
      </c>
      <c r="BW47" s="228">
        <v>44245</v>
      </c>
      <c r="BX47" s="228">
        <v>44273</v>
      </c>
      <c r="BY47" s="228">
        <v>44304</v>
      </c>
      <c r="BZ47" s="228">
        <v>44334</v>
      </c>
      <c r="CA47" s="228">
        <v>44365</v>
      </c>
      <c r="CB47" s="228">
        <v>44395</v>
      </c>
      <c r="CC47" s="228">
        <v>44426</v>
      </c>
      <c r="CD47" s="228">
        <v>44457</v>
      </c>
      <c r="CE47" s="228">
        <v>44487</v>
      </c>
      <c r="CF47" s="228">
        <v>44518</v>
      </c>
      <c r="CG47" s="229">
        <v>44548</v>
      </c>
      <c r="CH47" s="228">
        <v>44579</v>
      </c>
      <c r="CI47" s="228">
        <v>44610</v>
      </c>
      <c r="CJ47" s="228">
        <v>44638</v>
      </c>
      <c r="CK47" s="228">
        <v>44669</v>
      </c>
      <c r="CL47" s="228">
        <v>44699</v>
      </c>
      <c r="CM47" s="228">
        <v>44730</v>
      </c>
      <c r="CN47" s="228">
        <v>44760</v>
      </c>
      <c r="CO47" s="228">
        <v>44791</v>
      </c>
      <c r="CP47" s="228">
        <v>44822</v>
      </c>
      <c r="CQ47" s="228">
        <v>44852</v>
      </c>
      <c r="CR47" s="228">
        <v>44883</v>
      </c>
      <c r="CS47" s="229">
        <v>44913</v>
      </c>
    </row>
    <row r="48" spans="1:97" s="201" customFormat="1" x14ac:dyDescent="0.25">
      <c r="A48" s="201" t="s">
        <v>4</v>
      </c>
      <c r="B48" s="201">
        <v>38</v>
      </c>
      <c r="C48" s="201">
        <v>30</v>
      </c>
      <c r="D48" s="201">
        <v>41</v>
      </c>
      <c r="E48" s="201">
        <v>53</v>
      </c>
      <c r="F48" s="201">
        <v>59</v>
      </c>
      <c r="G48" s="201">
        <v>54</v>
      </c>
      <c r="H48" s="201">
        <v>52</v>
      </c>
      <c r="I48" s="201">
        <v>47</v>
      </c>
      <c r="J48" s="201">
        <v>65</v>
      </c>
      <c r="K48" s="201">
        <v>61</v>
      </c>
      <c r="L48" s="201">
        <v>54</v>
      </c>
      <c r="M48" s="202">
        <v>57</v>
      </c>
      <c r="N48" s="200">
        <v>45</v>
      </c>
      <c r="O48" s="200">
        <v>41</v>
      </c>
      <c r="P48" s="200">
        <v>65</v>
      </c>
      <c r="Q48" s="200">
        <v>51</v>
      </c>
      <c r="R48" s="200">
        <v>50</v>
      </c>
      <c r="S48" s="200">
        <v>64</v>
      </c>
      <c r="T48" s="205">
        <v>46</v>
      </c>
      <c r="U48" s="205">
        <v>47</v>
      </c>
      <c r="V48" s="209">
        <v>53.44</v>
      </c>
      <c r="W48" s="209">
        <v>49.42</v>
      </c>
      <c r="X48" s="209">
        <v>57.2</v>
      </c>
      <c r="Y48" s="210">
        <v>57.980000000000004</v>
      </c>
      <c r="Z48" s="201">
        <v>45.5</v>
      </c>
      <c r="AA48" s="201">
        <v>45.5</v>
      </c>
      <c r="AB48" s="201">
        <v>50</v>
      </c>
      <c r="AC48" s="201">
        <v>48.28</v>
      </c>
      <c r="AD48" s="201">
        <v>48.762799999999999</v>
      </c>
      <c r="AE48" s="201">
        <v>49.250427999999999</v>
      </c>
      <c r="AF48" s="201">
        <v>49.742932280000005</v>
      </c>
      <c r="AG48" s="201">
        <v>50.2403616028</v>
      </c>
      <c r="AH48" s="201">
        <v>50.742765218827998</v>
      </c>
      <c r="AI48" s="201">
        <v>51.250192871016282</v>
      </c>
      <c r="AJ48" s="201">
        <v>51.762694799726447</v>
      </c>
      <c r="AK48" s="202">
        <v>52.280321747723704</v>
      </c>
      <c r="AL48" s="201">
        <v>60.69</v>
      </c>
      <c r="AM48" s="201">
        <v>60.69</v>
      </c>
      <c r="AN48" s="201">
        <v>65.209999999999994</v>
      </c>
      <c r="AO48" s="201">
        <v>63.905799999999999</v>
      </c>
      <c r="AP48" s="201">
        <v>64.113658000000001</v>
      </c>
      <c r="AQ48" s="201">
        <v>64.323594579999991</v>
      </c>
      <c r="AR48" s="201">
        <v>64.535630525800002</v>
      </c>
      <c r="AS48" s="201">
        <v>64.749786831058003</v>
      </c>
      <c r="AT48" s="201">
        <v>65.397284699368583</v>
      </c>
      <c r="AU48" s="201">
        <v>65.615745546362263</v>
      </c>
      <c r="AV48" s="201">
        <v>66.271903001825876</v>
      </c>
      <c r="AW48" s="202">
        <v>66.934622031844142</v>
      </c>
      <c r="AX48" s="201">
        <v>77.290499999999994</v>
      </c>
      <c r="AY48" s="201">
        <v>77.290499999999994</v>
      </c>
      <c r="AZ48" s="201">
        <v>86.136799999999994</v>
      </c>
      <c r="BA48" s="201">
        <v>82.375664</v>
      </c>
      <c r="BB48" s="201">
        <v>82.669436640000001</v>
      </c>
      <c r="BC48" s="201">
        <v>82.683432412000002</v>
      </c>
      <c r="BD48" s="201">
        <v>82.980282736120003</v>
      </c>
      <c r="BE48" s="201">
        <v>83.280101563481196</v>
      </c>
      <c r="BF48" s="201">
        <v>84.11290257911601</v>
      </c>
      <c r="BG48" s="201">
        <v>84.418747764907167</v>
      </c>
      <c r="BH48" s="201">
        <v>85.262935242556239</v>
      </c>
      <c r="BI48" s="202">
        <v>86.715779072630966</v>
      </c>
      <c r="BJ48" s="201">
        <v>91.927499999999995</v>
      </c>
      <c r="BK48" s="201">
        <v>91.927499999999995</v>
      </c>
      <c r="BL48" s="201">
        <v>102.27100000000002</v>
      </c>
      <c r="BM48" s="201">
        <v>99.096620000000001</v>
      </c>
      <c r="BN48" s="201">
        <v>99.463835799999998</v>
      </c>
      <c r="BO48" s="201">
        <v>99.481330514999996</v>
      </c>
      <c r="BP48" s="201">
        <v>100.83868695435152</v>
      </c>
      <c r="BQ48" s="201">
        <v>101.21720822389501</v>
      </c>
      <c r="BR48" s="201">
        <v>103.46465070613397</v>
      </c>
      <c r="BS48" s="201">
        <v>103.8507802531953</v>
      </c>
      <c r="BT48" s="201">
        <v>104.88928805572725</v>
      </c>
      <c r="BU48" s="202">
        <v>106.69595171431661</v>
      </c>
      <c r="BV48" s="201">
        <v>106.56450000000001</v>
      </c>
      <c r="BW48" s="201">
        <v>106.56450000000001</v>
      </c>
      <c r="BX48" s="201">
        <v>118.40520000000001</v>
      </c>
      <c r="BY48" s="201">
        <v>114.757608</v>
      </c>
      <c r="BZ48" s="201">
        <v>118.73285256</v>
      </c>
      <c r="CA48" s="201">
        <v>118.75384621800001</v>
      </c>
      <c r="CB48" s="201">
        <v>120.37655874522181</v>
      </c>
      <c r="CC48" s="201">
        <v>121.74831982604752</v>
      </c>
      <c r="CD48" s="201">
        <v>124.43577480030798</v>
      </c>
      <c r="CE48" s="201">
        <v>124.90839736591107</v>
      </c>
      <c r="CF48" s="201">
        <v>126.63015024071888</v>
      </c>
      <c r="CG48" s="202">
        <v>131.26550062225672</v>
      </c>
      <c r="CH48" s="201">
        <v>121.20150000000001</v>
      </c>
      <c r="CI48" s="201">
        <v>121.20150000000001</v>
      </c>
      <c r="CJ48" s="201">
        <v>134.5394</v>
      </c>
      <c r="CK48" s="201">
        <v>130.41859600000001</v>
      </c>
      <c r="CL48" s="201">
        <v>134.88311732</v>
      </c>
      <c r="CM48" s="201">
        <v>134.90760992099999</v>
      </c>
      <c r="CN48" s="201">
        <v>136.76510253609212</v>
      </c>
      <c r="CO48" s="201">
        <v>138.3654904637221</v>
      </c>
      <c r="CP48" s="201">
        <v>141.39205500035931</v>
      </c>
      <c r="CQ48" s="201">
        <v>143.05726183983415</v>
      </c>
      <c r="CR48" s="201">
        <v>146.79261611533548</v>
      </c>
      <c r="CS48" s="202">
        <v>152.26971044265431</v>
      </c>
    </row>
    <row r="49" spans="1:97" s="201" customFormat="1" x14ac:dyDescent="0.25">
      <c r="A49" s="201" t="s">
        <v>5</v>
      </c>
      <c r="B49" s="201">
        <v>122</v>
      </c>
      <c r="C49" s="201">
        <v>72</v>
      </c>
      <c r="D49" s="201">
        <v>140</v>
      </c>
      <c r="E49" s="201">
        <v>166</v>
      </c>
      <c r="F49" s="201">
        <v>159</v>
      </c>
      <c r="G49" s="201">
        <v>205</v>
      </c>
      <c r="H49" s="201">
        <v>242</v>
      </c>
      <c r="I49" s="201">
        <v>175</v>
      </c>
      <c r="J49" s="201">
        <v>269</v>
      </c>
      <c r="K49" s="201">
        <v>202</v>
      </c>
      <c r="L49" s="201">
        <v>376</v>
      </c>
      <c r="M49" s="202">
        <v>276</v>
      </c>
      <c r="N49" s="200">
        <v>59</v>
      </c>
      <c r="O49" s="200">
        <v>63</v>
      </c>
      <c r="P49" s="200">
        <v>301</v>
      </c>
      <c r="Q49" s="200">
        <v>244</v>
      </c>
      <c r="R49" s="200">
        <v>299</v>
      </c>
      <c r="S49" s="200">
        <v>576</v>
      </c>
      <c r="T49" s="205">
        <v>359</v>
      </c>
      <c r="U49" s="205">
        <v>409</v>
      </c>
      <c r="V49" s="209">
        <v>531.45977762880011</v>
      </c>
      <c r="W49" s="209">
        <v>581.86999586432</v>
      </c>
      <c r="X49" s="209">
        <v>607.43994114218242</v>
      </c>
      <c r="Y49" s="210">
        <v>656.79631925820479</v>
      </c>
      <c r="Z49" s="201">
        <v>63.567470000834575</v>
      </c>
      <c r="AA49" s="201">
        <v>66.173528447498086</v>
      </c>
      <c r="AB49" s="201">
        <v>399.25209103581221</v>
      </c>
      <c r="AC49" s="201">
        <v>379.78740745883977</v>
      </c>
      <c r="AD49" s="201">
        <v>466.1895237592953</v>
      </c>
      <c r="AE49" s="201">
        <v>599.43824192314094</v>
      </c>
      <c r="AF49" s="201">
        <v>426.36600282411422</v>
      </c>
      <c r="AG49" s="201">
        <v>520.10351198808621</v>
      </c>
      <c r="AH49" s="201">
        <v>615.9211791365683</v>
      </c>
      <c r="AI49" s="201">
        <v>487.24944603970346</v>
      </c>
      <c r="AJ49" s="201">
        <v>578.15782765574181</v>
      </c>
      <c r="AK49" s="202">
        <v>678.53916618296171</v>
      </c>
      <c r="AL49" s="201">
        <v>81.864147347119982</v>
      </c>
      <c r="AM49" s="201">
        <v>85.223513621670492</v>
      </c>
      <c r="AN49" s="201">
        <v>607.32727532445574</v>
      </c>
      <c r="AO49" s="201">
        <v>536.04779930667314</v>
      </c>
      <c r="AP49" s="201">
        <v>615.1506505775593</v>
      </c>
      <c r="AQ49" s="201">
        <v>674.22923017615426</v>
      </c>
      <c r="AR49" s="201">
        <v>571.58977648606242</v>
      </c>
      <c r="AS49" s="201">
        <v>661.18625807286912</v>
      </c>
      <c r="AT49" s="201">
        <v>726.09490543102584</v>
      </c>
      <c r="AU49" s="201">
        <v>617.0948518926939</v>
      </c>
      <c r="AV49" s="201">
        <v>714.94717889832009</v>
      </c>
      <c r="AW49" s="202">
        <v>758.15540575664954</v>
      </c>
      <c r="AX49" s="201">
        <v>94.737372868917333</v>
      </c>
      <c r="AY49" s="201">
        <v>98.344360354784286</v>
      </c>
      <c r="AZ49" s="201">
        <v>802.44729364258421</v>
      </c>
      <c r="BA49" s="201">
        <v>741.83022418079804</v>
      </c>
      <c r="BB49" s="201">
        <v>774.75703634123477</v>
      </c>
      <c r="BC49" s="201">
        <v>822.56944870600171</v>
      </c>
      <c r="BD49" s="201">
        <v>783.13360492248887</v>
      </c>
      <c r="BE49" s="201">
        <v>823.18406638453916</v>
      </c>
      <c r="BF49" s="201">
        <v>882.14891123450786</v>
      </c>
      <c r="BG49" s="201">
        <v>844.99173383681682</v>
      </c>
      <c r="BH49" s="201">
        <v>890.68909045309124</v>
      </c>
      <c r="BI49" s="202">
        <v>955.65601897040756</v>
      </c>
      <c r="BJ49" s="201">
        <v>112.4625290375066</v>
      </c>
      <c r="BK49" s="201">
        <v>116.88138104062878</v>
      </c>
      <c r="BL49" s="201">
        <v>928.21597991597798</v>
      </c>
      <c r="BM49" s="201">
        <v>856.07173376451658</v>
      </c>
      <c r="BN49" s="201">
        <v>890.73628629336235</v>
      </c>
      <c r="BO49" s="201">
        <v>924.70925764459116</v>
      </c>
      <c r="BP49" s="201">
        <v>889.4966841562308</v>
      </c>
      <c r="BQ49" s="201">
        <v>931.77277730989476</v>
      </c>
      <c r="BR49" s="201">
        <v>983.56810243371297</v>
      </c>
      <c r="BS49" s="201">
        <v>940.61026092252791</v>
      </c>
      <c r="BT49" s="201">
        <v>988.31238286841358</v>
      </c>
      <c r="BU49" s="202">
        <v>1037.914345950526</v>
      </c>
      <c r="BV49" s="201">
        <v>126.90494432899722</v>
      </c>
      <c r="BW49" s="201">
        <v>131.97917004462363</v>
      </c>
      <c r="BX49" s="201">
        <v>1050.046311121604</v>
      </c>
      <c r="BY49" s="201">
        <v>983.53202628491545</v>
      </c>
      <c r="BZ49" s="201">
        <v>1022.6149466424073</v>
      </c>
      <c r="CA49" s="201">
        <v>1060.899653919872</v>
      </c>
      <c r="CB49" s="201">
        <v>1034.3847127333095</v>
      </c>
      <c r="CC49" s="201">
        <v>1095.8045592345095</v>
      </c>
      <c r="CD49" s="201">
        <v>1155.1855407468875</v>
      </c>
      <c r="CE49" s="201">
        <v>1121.4187760366488</v>
      </c>
      <c r="CF49" s="201">
        <v>1183.5075915416776</v>
      </c>
      <c r="CG49" s="202">
        <v>1240.8028544004669</v>
      </c>
      <c r="CH49" s="201">
        <v>145.53051043502563</v>
      </c>
      <c r="CI49" s="201">
        <v>151.17389039798252</v>
      </c>
      <c r="CJ49" s="201">
        <v>1204.7186627081785</v>
      </c>
      <c r="CK49" s="201">
        <v>1127.3705336542494</v>
      </c>
      <c r="CL49" s="201">
        <v>1171.3350614511046</v>
      </c>
      <c r="CM49" s="201">
        <v>1214.3566653199755</v>
      </c>
      <c r="CN49" s="201">
        <v>1183.6315966973432</v>
      </c>
      <c r="CO49" s="201">
        <v>1253.4758228212745</v>
      </c>
      <c r="CP49" s="201">
        <v>1320.660267922892</v>
      </c>
      <c r="CQ49" s="201">
        <v>1298.5196062443656</v>
      </c>
      <c r="CR49" s="201">
        <v>1379.5193490293186</v>
      </c>
      <c r="CS49" s="202">
        <v>1445.9190034340895</v>
      </c>
    </row>
    <row r="50" spans="1:97" s="201" customFormat="1" x14ac:dyDescent="0.25">
      <c r="A50" s="201" t="s">
        <v>6</v>
      </c>
      <c r="B50" s="201">
        <v>106</v>
      </c>
      <c r="C50" s="201">
        <v>106</v>
      </c>
      <c r="D50" s="201">
        <v>71</v>
      </c>
      <c r="E50" s="201">
        <v>140</v>
      </c>
      <c r="F50" s="201">
        <v>162</v>
      </c>
      <c r="G50" s="201">
        <v>149</v>
      </c>
      <c r="H50" s="201">
        <v>168</v>
      </c>
      <c r="I50" s="201">
        <v>132</v>
      </c>
      <c r="J50" s="201">
        <v>174</v>
      </c>
      <c r="K50" s="201">
        <v>203</v>
      </c>
      <c r="L50" s="201">
        <v>121</v>
      </c>
      <c r="M50" s="202">
        <v>320</v>
      </c>
      <c r="N50" s="200">
        <v>104</v>
      </c>
      <c r="O50" s="200">
        <v>56</v>
      </c>
      <c r="P50" s="200">
        <v>49</v>
      </c>
      <c r="Q50" s="200">
        <v>169</v>
      </c>
      <c r="R50" s="200">
        <v>162</v>
      </c>
      <c r="S50" s="200">
        <v>232</v>
      </c>
      <c r="T50" s="205">
        <v>300</v>
      </c>
      <c r="U50" s="205">
        <v>228</v>
      </c>
      <c r="V50" s="209">
        <v>320.36</v>
      </c>
      <c r="W50" s="209">
        <v>387.82835765440001</v>
      </c>
      <c r="X50" s="209">
        <v>448.03293490688009</v>
      </c>
      <c r="Y50" s="210">
        <v>470.06793075308798</v>
      </c>
      <c r="Z50" s="201">
        <v>218.421571007718</v>
      </c>
      <c r="AA50" s="201">
        <v>63.567470000834575</v>
      </c>
      <c r="AB50" s="201">
        <v>110.28921407916347</v>
      </c>
      <c r="AC50" s="201">
        <v>277.28463703161879</v>
      </c>
      <c r="AD50" s="201">
        <v>273.9894868095916</v>
      </c>
      <c r="AE50" s="201">
        <v>336.32244214063445</v>
      </c>
      <c r="AF50" s="201">
        <v>432.45187453026597</v>
      </c>
      <c r="AG50" s="201">
        <v>307.59261632311103</v>
      </c>
      <c r="AH50" s="201">
        <v>375.21753364854794</v>
      </c>
      <c r="AI50" s="201">
        <v>444.34313637709579</v>
      </c>
      <c r="AJ50" s="201">
        <v>351.51567178578614</v>
      </c>
      <c r="AK50" s="202">
        <v>417.09957566592811</v>
      </c>
      <c r="AL50" s="201">
        <v>281.67334123844728</v>
      </c>
      <c r="AM50" s="201">
        <v>81.864147347119982</v>
      </c>
      <c r="AN50" s="201">
        <v>140.06387068693388</v>
      </c>
      <c r="AO50" s="201">
        <v>425.12909272711897</v>
      </c>
      <c r="AP50" s="201">
        <v>385.07239027764354</v>
      </c>
      <c r="AQ50" s="201">
        <v>443.78725505952491</v>
      </c>
      <c r="AR50" s="201">
        <v>484.39700662153427</v>
      </c>
      <c r="AS50" s="201">
        <v>412.36119589351654</v>
      </c>
      <c r="AT50" s="201">
        <v>476.99865760971284</v>
      </c>
      <c r="AU50" s="201">
        <v>521.65014254413325</v>
      </c>
      <c r="AV50" s="201">
        <v>445.1898574368721</v>
      </c>
      <c r="AW50" s="202">
        <v>515.78332191950255</v>
      </c>
      <c r="AX50" s="201">
        <v>320.66579495980289</v>
      </c>
      <c r="AY50" s="201">
        <v>94.737372868917333</v>
      </c>
      <c r="AZ50" s="201">
        <v>169.4023135353701</v>
      </c>
      <c r="BA50" s="201">
        <v>553.90078953362479</v>
      </c>
      <c r="BB50" s="201">
        <v>533.25434355314667</v>
      </c>
      <c r="BC50" s="201">
        <v>555.56960991206154</v>
      </c>
      <c r="BD50" s="201">
        <v>591.20533305707272</v>
      </c>
      <c r="BE50" s="201">
        <v>564.97495783693853</v>
      </c>
      <c r="BF50" s="201">
        <v>593.8685050345606</v>
      </c>
      <c r="BG50" s="201">
        <v>634.04679987771738</v>
      </c>
      <c r="BH50" s="201">
        <v>609.60117941084673</v>
      </c>
      <c r="BI50" s="202">
        <v>642.56855811258743</v>
      </c>
      <c r="BJ50" s="201">
        <v>385.45108042742493</v>
      </c>
      <c r="BK50" s="201">
        <v>112.4625290375066</v>
      </c>
      <c r="BL50" s="201">
        <v>201.34171278073177</v>
      </c>
      <c r="BM50" s="201">
        <v>645.46298585711179</v>
      </c>
      <c r="BN50" s="201">
        <v>615.37252883213421</v>
      </c>
      <c r="BO50" s="201">
        <v>638.73730913456325</v>
      </c>
      <c r="BP50" s="201">
        <v>671.29597534927632</v>
      </c>
      <c r="BQ50" s="201">
        <v>641.70832214128086</v>
      </c>
      <c r="BR50" s="201">
        <v>676.90121115617319</v>
      </c>
      <c r="BS50" s="201">
        <v>707.01367892442977</v>
      </c>
      <c r="BT50" s="201">
        <v>678.5831168083954</v>
      </c>
      <c r="BU50" s="202">
        <v>712.99679049792724</v>
      </c>
      <c r="BV50" s="201">
        <v>415.544817276397</v>
      </c>
      <c r="BW50" s="201">
        <v>126.90494432899722</v>
      </c>
      <c r="BX50" s="201">
        <v>227.32724268783346</v>
      </c>
      <c r="BY50" s="201">
        <v>730.15015593929866</v>
      </c>
      <c r="BZ50" s="201">
        <v>706.97574078783487</v>
      </c>
      <c r="CA50" s="201">
        <v>733.32560227291015</v>
      </c>
      <c r="CB50" s="201">
        <v>770.14088980050929</v>
      </c>
      <c r="CC50" s="201">
        <v>755.7494962419853</v>
      </c>
      <c r="CD50" s="201">
        <v>796.04615772619616</v>
      </c>
      <c r="CE50" s="201">
        <v>830.38611419293568</v>
      </c>
      <c r="CF50" s="201">
        <v>814.12427162744279</v>
      </c>
      <c r="CG50" s="202">
        <v>853.81619104078197</v>
      </c>
      <c r="CH50" s="201">
        <v>478.63793501922737</v>
      </c>
      <c r="CI50" s="201">
        <v>145.53051043502563</v>
      </c>
      <c r="CJ50" s="201">
        <v>260.46970375296723</v>
      </c>
      <c r="CK50" s="201">
        <v>837.81260781777837</v>
      </c>
      <c r="CL50" s="201">
        <v>810.42675983341189</v>
      </c>
      <c r="CM50" s="201">
        <v>839.91741864591097</v>
      </c>
      <c r="CN50" s="201">
        <v>881.60302010123428</v>
      </c>
      <c r="CO50" s="201">
        <v>864.91010681901525</v>
      </c>
      <c r="CP50" s="201">
        <v>910.46795696030472</v>
      </c>
      <c r="CQ50" s="201">
        <v>961.65855436446486</v>
      </c>
      <c r="CR50" s="201">
        <v>949.2768816831408</v>
      </c>
      <c r="CS50" s="202">
        <v>995.22467322829448</v>
      </c>
    </row>
    <row r="51" spans="1:97" s="201" customFormat="1" x14ac:dyDescent="0.25">
      <c r="A51" s="201" t="s">
        <v>7</v>
      </c>
      <c r="B51" s="201">
        <v>124</v>
      </c>
      <c r="C51" s="201">
        <v>116</v>
      </c>
      <c r="D51" s="201">
        <v>176</v>
      </c>
      <c r="E51" s="201">
        <v>110</v>
      </c>
      <c r="F51" s="201">
        <v>136</v>
      </c>
      <c r="G51" s="201">
        <v>257</v>
      </c>
      <c r="H51" s="201">
        <v>234</v>
      </c>
      <c r="I51" s="201">
        <v>160</v>
      </c>
      <c r="J51" s="201">
        <v>270</v>
      </c>
      <c r="K51" s="201">
        <v>210</v>
      </c>
      <c r="L51" s="201">
        <v>266</v>
      </c>
      <c r="M51" s="202">
        <v>290</v>
      </c>
      <c r="N51" s="200">
        <v>147</v>
      </c>
      <c r="O51" s="200">
        <v>177</v>
      </c>
      <c r="P51" s="200">
        <v>150</v>
      </c>
      <c r="Q51" s="200">
        <v>62</v>
      </c>
      <c r="R51" s="200">
        <v>150</v>
      </c>
      <c r="S51" s="200">
        <v>250</v>
      </c>
      <c r="T51" s="205">
        <v>203</v>
      </c>
      <c r="U51" s="205">
        <v>307</v>
      </c>
      <c r="V51" s="209">
        <v>212.91399999999999</v>
      </c>
      <c r="W51" s="209">
        <v>186.67499999999998</v>
      </c>
      <c r="X51" s="209">
        <v>244.52933079872003</v>
      </c>
      <c r="Y51" s="210">
        <v>291.65036134351999</v>
      </c>
      <c r="Z51" s="201">
        <v>158.76879885756671</v>
      </c>
      <c r="AA51" s="201">
        <v>166.00039396586567</v>
      </c>
      <c r="AB51" s="201">
        <v>88.570674867829496</v>
      </c>
      <c r="AC51" s="201">
        <v>89.573954212298432</v>
      </c>
      <c r="AD51" s="201">
        <v>234.12805612401758</v>
      </c>
      <c r="AE51" s="201">
        <v>231.34576308254674</v>
      </c>
      <c r="AF51" s="201">
        <v>283.97721724586603</v>
      </c>
      <c r="AG51" s="201">
        <v>365.14506477837534</v>
      </c>
      <c r="AH51" s="201">
        <v>259.71890151858196</v>
      </c>
      <c r="AI51" s="201">
        <v>316.81867671148791</v>
      </c>
      <c r="AJ51" s="201">
        <v>375.1855706313645</v>
      </c>
      <c r="AK51" s="202">
        <v>296.80577262904632</v>
      </c>
      <c r="AL51" s="201">
        <v>184.19730239941975</v>
      </c>
      <c r="AM51" s="201">
        <v>214.07173934121988</v>
      </c>
      <c r="AN51" s="201">
        <v>112.47914048148655</v>
      </c>
      <c r="AO51" s="201">
        <v>114.75152797639117</v>
      </c>
      <c r="AP51" s="201">
        <v>357.61717066028257</v>
      </c>
      <c r="AQ51" s="201">
        <v>325.13972345483103</v>
      </c>
      <c r="AR51" s="201">
        <v>373.25079970401953</v>
      </c>
      <c r="AS51" s="201">
        <v>409.00545651095854</v>
      </c>
      <c r="AT51" s="201">
        <v>348.18129936464959</v>
      </c>
      <c r="AU51" s="201">
        <v>401.17431638752106</v>
      </c>
      <c r="AV51" s="201">
        <v>440.46051435856424</v>
      </c>
      <c r="AW51" s="202">
        <v>375.90050802539719</v>
      </c>
      <c r="AX51" s="201">
        <v>232.0908376073188</v>
      </c>
      <c r="AY51" s="201">
        <v>243.70600416945013</v>
      </c>
      <c r="AZ51" s="201">
        <v>136.4332164214635</v>
      </c>
      <c r="BA51" s="201">
        <v>136.83038868270461</v>
      </c>
      <c r="BB51" s="201">
        <v>463.19938672894148</v>
      </c>
      <c r="BC51" s="201">
        <v>447.54285067167723</v>
      </c>
      <c r="BD51" s="201">
        <v>467.4075787094896</v>
      </c>
      <c r="BE51" s="201">
        <v>499.19013502006987</v>
      </c>
      <c r="BF51" s="201">
        <v>477.04225539919724</v>
      </c>
      <c r="BG51" s="201">
        <v>499.64254527239041</v>
      </c>
      <c r="BH51" s="201">
        <v>535.3637559447493</v>
      </c>
      <c r="BI51" s="202">
        <v>514.72285184734233</v>
      </c>
      <c r="BJ51" s="201">
        <v>275.40168612326852</v>
      </c>
      <c r="BK51" s="201">
        <v>292.94282112484291</v>
      </c>
      <c r="BL51" s="201">
        <v>161.96458251331322</v>
      </c>
      <c r="BM51" s="201">
        <v>163.84157514294768</v>
      </c>
      <c r="BN51" s="201">
        <v>539.76815965885351</v>
      </c>
      <c r="BO51" s="201">
        <v>516.46413261708244</v>
      </c>
      <c r="BP51" s="201">
        <v>542.71294775197464</v>
      </c>
      <c r="BQ51" s="201">
        <v>566.81546974591481</v>
      </c>
      <c r="BR51" s="201">
        <v>545.61187201651842</v>
      </c>
      <c r="BS51" s="201">
        <v>569.48823841890044</v>
      </c>
      <c r="BT51" s="201">
        <v>596.97406993663139</v>
      </c>
      <c r="BU51" s="202">
        <v>572.96844050833658</v>
      </c>
      <c r="BV51" s="201">
        <v>303.70104407645266</v>
      </c>
      <c r="BW51" s="201">
        <v>315.8140611300617</v>
      </c>
      <c r="BX51" s="201">
        <v>182.74559727487346</v>
      </c>
      <c r="BY51" s="201">
        <v>184.97924719064764</v>
      </c>
      <c r="BZ51" s="201">
        <v>610.58708637372922</v>
      </c>
      <c r="CA51" s="201">
        <v>593.3595655562558</v>
      </c>
      <c r="CB51" s="201">
        <v>623.06357500020101</v>
      </c>
      <c r="CC51" s="201">
        <v>658.51823527637475</v>
      </c>
      <c r="CD51" s="201">
        <v>642.55948822134519</v>
      </c>
      <c r="CE51" s="201">
        <v>669.73495172488231</v>
      </c>
      <c r="CF51" s="201">
        <v>705.53724710148231</v>
      </c>
      <c r="CG51" s="202">
        <v>687.41396999134736</v>
      </c>
      <c r="CH51" s="201">
        <v>350.41010444772917</v>
      </c>
      <c r="CI51" s="201">
        <v>363.76483061461278</v>
      </c>
      <c r="CJ51" s="201">
        <v>209.63222185903993</v>
      </c>
      <c r="CK51" s="201">
        <v>211.97687781406881</v>
      </c>
      <c r="CL51" s="201">
        <v>700.62210082639444</v>
      </c>
      <c r="CM51" s="201">
        <v>680.1388715360988</v>
      </c>
      <c r="CN51" s="201">
        <v>713.67982912561274</v>
      </c>
      <c r="CO51" s="201">
        <v>753.92965819276492</v>
      </c>
      <c r="CP51" s="201">
        <v>735.27448223254009</v>
      </c>
      <c r="CQ51" s="201">
        <v>775.95356978617542</v>
      </c>
      <c r="CR51" s="201">
        <v>822.84263110345955</v>
      </c>
      <c r="CS51" s="202">
        <v>801.53142781797658</v>
      </c>
    </row>
    <row r="52" spans="1:97" s="201" customFormat="1" x14ac:dyDescent="0.25">
      <c r="A52" s="201" t="s">
        <v>8</v>
      </c>
      <c r="B52" s="201">
        <v>81</v>
      </c>
      <c r="C52" s="201">
        <v>65</v>
      </c>
      <c r="D52" s="201">
        <v>124</v>
      </c>
      <c r="E52" s="201">
        <v>142</v>
      </c>
      <c r="F52" s="201">
        <v>182</v>
      </c>
      <c r="G52" s="201">
        <v>143</v>
      </c>
      <c r="H52" s="201">
        <v>132</v>
      </c>
      <c r="I52" s="201">
        <v>140</v>
      </c>
      <c r="J52" s="201">
        <v>260</v>
      </c>
      <c r="K52" s="201">
        <v>192</v>
      </c>
      <c r="L52" s="201">
        <v>199</v>
      </c>
      <c r="M52" s="202">
        <v>233</v>
      </c>
      <c r="N52" s="200">
        <v>124</v>
      </c>
      <c r="O52" s="200">
        <v>121</v>
      </c>
      <c r="P52" s="200">
        <v>256</v>
      </c>
      <c r="Q52" s="200">
        <v>184</v>
      </c>
      <c r="R52" s="200">
        <v>132</v>
      </c>
      <c r="S52" s="200">
        <v>114</v>
      </c>
      <c r="T52" s="205">
        <v>113</v>
      </c>
      <c r="U52" s="205">
        <v>155</v>
      </c>
      <c r="V52" s="209">
        <v>394.94400000000007</v>
      </c>
      <c r="W52" s="209">
        <v>372.47700000000003</v>
      </c>
      <c r="X52" s="209">
        <v>447.81000000000006</v>
      </c>
      <c r="Y52" s="210">
        <v>506.67269689600005</v>
      </c>
      <c r="Z52" s="201">
        <v>260.28772470976003</v>
      </c>
      <c r="AA52" s="201">
        <v>282.37463605091847</v>
      </c>
      <c r="AB52" s="201">
        <v>570.79506546690118</v>
      </c>
      <c r="AC52" s="201">
        <v>410.83477040301034</v>
      </c>
      <c r="AD52" s="201">
        <v>287.67611576896189</v>
      </c>
      <c r="AE52" s="201">
        <v>281.0861016034836</v>
      </c>
      <c r="AF52" s="201">
        <v>376.95637207585855</v>
      </c>
      <c r="AG52" s="201">
        <v>497.00074296101189</v>
      </c>
      <c r="AH52" s="201">
        <v>591.1857323776336</v>
      </c>
      <c r="AI52" s="201">
        <v>595.96422832837948</v>
      </c>
      <c r="AJ52" s="201">
        <v>615.34497353983625</v>
      </c>
      <c r="AK52" s="202">
        <v>635.70040000124914</v>
      </c>
      <c r="AL52" s="201">
        <v>322.85990462151972</v>
      </c>
      <c r="AM52" s="201">
        <v>330.94239353054837</v>
      </c>
      <c r="AN52" s="201">
        <v>656.99979571762651</v>
      </c>
      <c r="AO52" s="201">
        <v>506.15913694021879</v>
      </c>
      <c r="AP52" s="201">
        <v>366.99208847432237</v>
      </c>
      <c r="AQ52" s="201">
        <v>402.61687918777704</v>
      </c>
      <c r="AR52" s="201">
        <v>538.59926120802709</v>
      </c>
      <c r="AS52" s="201">
        <v>691.97695613498172</v>
      </c>
      <c r="AT52" s="201">
        <v>731.52705761861944</v>
      </c>
      <c r="AU52" s="201">
        <v>734.73834720714035</v>
      </c>
      <c r="AV52" s="201">
        <v>755.66426223863255</v>
      </c>
      <c r="AW52" s="202">
        <v>785.93767756491548</v>
      </c>
      <c r="AX52" s="201">
        <v>405.60140418044375</v>
      </c>
      <c r="AY52" s="201">
        <v>413.73363245004936</v>
      </c>
      <c r="AZ52" s="201">
        <v>831.13036167571283</v>
      </c>
      <c r="BA52" s="201">
        <v>616.96931003064697</v>
      </c>
      <c r="BB52" s="201">
        <v>431.29021035960932</v>
      </c>
      <c r="BC52" s="201">
        <v>507.81099039688718</v>
      </c>
      <c r="BD52" s="201">
        <v>713.16362841200498</v>
      </c>
      <c r="BE52" s="201">
        <v>905.1109303624479</v>
      </c>
      <c r="BF52" s="201">
        <v>933.59055880499386</v>
      </c>
      <c r="BG52" s="201">
        <v>947.10914759957507</v>
      </c>
      <c r="BH52" s="201">
        <v>968.82868698415928</v>
      </c>
      <c r="BI52" s="202">
        <v>998.788210929966</v>
      </c>
      <c r="BJ52" s="201">
        <v>493.13550185129941</v>
      </c>
      <c r="BK52" s="201">
        <v>501.37154788643704</v>
      </c>
      <c r="BL52" s="201">
        <v>1021.6100615018171</v>
      </c>
      <c r="BM52" s="201">
        <v>745.21297186226775</v>
      </c>
      <c r="BN52" s="201">
        <v>520.82185714356592</v>
      </c>
      <c r="BO52" s="201">
        <v>596.78312710040097</v>
      </c>
      <c r="BP52" s="201">
        <v>837.93495246828547</v>
      </c>
      <c r="BQ52" s="201">
        <v>1056.3317092706634</v>
      </c>
      <c r="BR52" s="201">
        <v>1083.1709306054465</v>
      </c>
      <c r="BS52" s="201">
        <v>1089.9818424913581</v>
      </c>
      <c r="BT52" s="201">
        <v>1106.6111582624737</v>
      </c>
      <c r="BU52" s="202">
        <v>1129.913695304994</v>
      </c>
      <c r="BV52" s="201">
        <v>549.40075164391703</v>
      </c>
      <c r="BW52" s="201">
        <v>554.1191631158697</v>
      </c>
      <c r="BX52" s="201">
        <v>1117.9591487099854</v>
      </c>
      <c r="BY52" s="201">
        <v>816.67326463582185</v>
      </c>
      <c r="BZ52" s="201">
        <v>573.22329568298528</v>
      </c>
      <c r="CA52" s="201">
        <v>674.42095669163041</v>
      </c>
      <c r="CB52" s="201">
        <v>954.24286921234466</v>
      </c>
      <c r="CC52" s="201">
        <v>1223.3522017735047</v>
      </c>
      <c r="CD52" s="201">
        <v>1259.4072115095407</v>
      </c>
      <c r="CE52" s="201">
        <v>1273.2281905540199</v>
      </c>
      <c r="CF52" s="201">
        <v>1305.9954957252705</v>
      </c>
      <c r="CG52" s="202">
        <v>1337.4561751377466</v>
      </c>
      <c r="CH52" s="201">
        <v>629.34372728485107</v>
      </c>
      <c r="CI52" s="201">
        <v>637.27512398466592</v>
      </c>
      <c r="CJ52" s="201">
        <v>1291.1244056580667</v>
      </c>
      <c r="CK52" s="201">
        <v>941.78407269231934</v>
      </c>
      <c r="CL52" s="201">
        <v>659.62479247052852</v>
      </c>
      <c r="CM52" s="201">
        <v>774.27130916978103</v>
      </c>
      <c r="CN52" s="201">
        <v>1095.1686088994966</v>
      </c>
      <c r="CO52" s="201">
        <v>1403.6177278059672</v>
      </c>
      <c r="CP52" s="201">
        <v>1443.6003348284207</v>
      </c>
      <c r="CQ52" s="201">
        <v>1478.2098760372305</v>
      </c>
      <c r="CR52" s="201">
        <v>1525.50000825691</v>
      </c>
      <c r="CS52" s="202">
        <v>1561.5326932418056</v>
      </c>
    </row>
    <row r="53" spans="1:97" s="201" customFormat="1" x14ac:dyDescent="0.25">
      <c r="A53" s="201" t="s">
        <v>1</v>
      </c>
      <c r="B53" s="201">
        <v>63</v>
      </c>
      <c r="C53" s="201">
        <v>59</v>
      </c>
      <c r="D53" s="201">
        <v>70</v>
      </c>
      <c r="E53" s="201">
        <v>112</v>
      </c>
      <c r="F53" s="201">
        <v>142</v>
      </c>
      <c r="G53" s="201">
        <v>150</v>
      </c>
      <c r="H53" s="201">
        <v>146</v>
      </c>
      <c r="I53" s="201">
        <v>126</v>
      </c>
      <c r="J53" s="201">
        <v>213</v>
      </c>
      <c r="K53" s="201">
        <v>185</v>
      </c>
      <c r="L53" s="201">
        <v>224</v>
      </c>
      <c r="M53" s="202">
        <v>252</v>
      </c>
      <c r="N53" s="200">
        <v>99</v>
      </c>
      <c r="O53" s="200">
        <v>110</v>
      </c>
      <c r="P53" s="200">
        <v>189</v>
      </c>
      <c r="Q53" s="200">
        <v>184</v>
      </c>
      <c r="R53" s="200">
        <v>186</v>
      </c>
      <c r="S53" s="200">
        <v>236</v>
      </c>
      <c r="T53" s="205">
        <v>167</v>
      </c>
      <c r="U53" s="205">
        <v>137</v>
      </c>
      <c r="V53" s="209">
        <v>273.83249999999998</v>
      </c>
      <c r="W53" s="209">
        <v>266.33550000000002</v>
      </c>
      <c r="X53" s="209">
        <v>348.84399999999999</v>
      </c>
      <c r="Y53" s="210">
        <v>566.42700000000002</v>
      </c>
      <c r="Z53" s="201">
        <v>279.86</v>
      </c>
      <c r="AA53" s="201">
        <v>333.21000000000004</v>
      </c>
      <c r="AB53" s="201">
        <v>702.41255222400014</v>
      </c>
      <c r="AC53" s="201">
        <v>743.01451842141432</v>
      </c>
      <c r="AD53" s="201">
        <v>771.81918261568069</v>
      </c>
      <c r="AE53" s="201">
        <v>795.86412089978182</v>
      </c>
      <c r="AF53" s="201">
        <v>686.99415860525733</v>
      </c>
      <c r="AG53" s="201">
        <v>587.11458859906281</v>
      </c>
      <c r="AH53" s="201">
        <v>584.58076381103558</v>
      </c>
      <c r="AI53" s="201">
        <v>581.25630606681739</v>
      </c>
      <c r="AJ53" s="201">
        <v>609.99953439125852</v>
      </c>
      <c r="AK53" s="202">
        <v>713.57609158468688</v>
      </c>
      <c r="AL53" s="201">
        <v>397.56682967167603</v>
      </c>
      <c r="AM53" s="201">
        <v>437.62773764636472</v>
      </c>
      <c r="AN53" s="201">
        <v>879.92518807437659</v>
      </c>
      <c r="AO53" s="201">
        <v>863.79769869970914</v>
      </c>
      <c r="AP53" s="201">
        <v>882.85044500845993</v>
      </c>
      <c r="AQ53" s="201">
        <v>928.48820864481604</v>
      </c>
      <c r="AR53" s="201">
        <v>812.8090467427221</v>
      </c>
      <c r="AS53" s="201">
        <v>696.85506420278875</v>
      </c>
      <c r="AT53" s="201">
        <v>742.59483360311015</v>
      </c>
      <c r="AU53" s="201">
        <v>757.71791605214821</v>
      </c>
      <c r="AV53" s="201">
        <v>801.94576007908904</v>
      </c>
      <c r="AW53" s="202">
        <v>864.0280452976242</v>
      </c>
      <c r="AX53" s="201">
        <v>490.05856113685024</v>
      </c>
      <c r="AY53" s="201">
        <v>533.95026206319494</v>
      </c>
      <c r="AZ53" s="201">
        <v>1082.4942192807557</v>
      </c>
      <c r="BA53" s="201">
        <v>1030.6851748566423</v>
      </c>
      <c r="BB53" s="201">
        <v>1056.1203464360203</v>
      </c>
      <c r="BC53" s="201">
        <v>1100.2022374224146</v>
      </c>
      <c r="BD53" s="201">
        <v>959.94740766079769</v>
      </c>
      <c r="BE53" s="201">
        <v>828.03468949818875</v>
      </c>
      <c r="BF53" s="201">
        <v>917.01393933820486</v>
      </c>
      <c r="BG53" s="201">
        <v>993.98914769558894</v>
      </c>
      <c r="BH53" s="201">
        <v>1067.2568881742227</v>
      </c>
      <c r="BI53" s="202">
        <v>1157.02793961104</v>
      </c>
      <c r="BJ53" s="201">
        <v>648.34206632646215</v>
      </c>
      <c r="BK53" s="201">
        <v>701.18499930216672</v>
      </c>
      <c r="BL53" s="201">
        <v>1395.7980070457829</v>
      </c>
      <c r="BM53" s="201">
        <v>1372.9954077610096</v>
      </c>
      <c r="BN53" s="201">
        <v>1397.9661882545856</v>
      </c>
      <c r="BO53" s="201">
        <v>1438.9953651909143</v>
      </c>
      <c r="BP53" s="201">
        <v>1250.5631381602889</v>
      </c>
      <c r="BQ53" s="201">
        <v>1069.6156599559238</v>
      </c>
      <c r="BR53" s="201">
        <v>1153.7979645080402</v>
      </c>
      <c r="BS53" s="201">
        <v>1210.0905971900652</v>
      </c>
      <c r="BT53" s="201">
        <v>1278.6935030596228</v>
      </c>
      <c r="BU53" s="202">
        <v>1374.8798096826963</v>
      </c>
      <c r="BV53" s="201">
        <v>762.94147276483216</v>
      </c>
      <c r="BW53" s="201">
        <v>819.28488866963039</v>
      </c>
      <c r="BX53" s="201">
        <v>1618.5083007206949</v>
      </c>
      <c r="BY53" s="201">
        <v>1578.626910780788</v>
      </c>
      <c r="BZ53" s="201">
        <v>1592.3133240975362</v>
      </c>
      <c r="CA53" s="201">
        <v>1630.8713361769667</v>
      </c>
      <c r="CB53" s="201">
        <v>1415.115926712961</v>
      </c>
      <c r="CC53" s="201">
        <v>1218.8829765660885</v>
      </c>
      <c r="CD53" s="201">
        <v>1323.8073068810068</v>
      </c>
      <c r="CE53" s="201">
        <v>1401.6250768818959</v>
      </c>
      <c r="CF53" s="201">
        <v>1497.7221102869391</v>
      </c>
      <c r="CG53" s="202">
        <v>1625.6911681679985</v>
      </c>
      <c r="CH53" s="201">
        <v>871.73091766051834</v>
      </c>
      <c r="CI53" s="201">
        <v>938.29862395173905</v>
      </c>
      <c r="CJ53" s="201">
        <v>1859.4797001824313</v>
      </c>
      <c r="CK53" s="201">
        <v>1821.8684017462417</v>
      </c>
      <c r="CL53" s="201">
        <v>1844.6358602859355</v>
      </c>
      <c r="CM53" s="201">
        <v>1894.6966685644534</v>
      </c>
      <c r="CN53" s="201">
        <v>1644.7816626060749</v>
      </c>
      <c r="CO53" s="201">
        <v>1417.5705414969748</v>
      </c>
      <c r="CP53" s="201">
        <v>1539.5932362938033</v>
      </c>
      <c r="CQ53" s="201">
        <v>1644.4285655127974</v>
      </c>
      <c r="CR53" s="201">
        <v>1770.3306991732854</v>
      </c>
      <c r="CS53" s="202">
        <v>1921.0265280481876</v>
      </c>
    </row>
    <row r="54" spans="1:97" s="201" customFormat="1" x14ac:dyDescent="0.25">
      <c r="A54" s="201" t="s">
        <v>2</v>
      </c>
      <c r="B54" s="201">
        <v>23</v>
      </c>
      <c r="C54" s="201">
        <v>17</v>
      </c>
      <c r="D54" s="201">
        <v>20</v>
      </c>
      <c r="E54" s="201">
        <v>21</v>
      </c>
      <c r="F54" s="201">
        <v>41</v>
      </c>
      <c r="G54" s="201">
        <v>40</v>
      </c>
      <c r="H54" s="201">
        <v>44</v>
      </c>
      <c r="I54" s="201">
        <v>52</v>
      </c>
      <c r="J54" s="201">
        <v>113</v>
      </c>
      <c r="K54" s="201">
        <v>77</v>
      </c>
      <c r="L54" s="201">
        <v>125</v>
      </c>
      <c r="M54" s="202">
        <v>140</v>
      </c>
      <c r="N54" s="200">
        <v>57</v>
      </c>
      <c r="O54" s="200">
        <v>52</v>
      </c>
      <c r="P54" s="200">
        <v>106</v>
      </c>
      <c r="Q54" s="200">
        <v>85</v>
      </c>
      <c r="R54" s="200">
        <v>109</v>
      </c>
      <c r="S54" s="200">
        <v>175</v>
      </c>
      <c r="T54" s="205">
        <v>122</v>
      </c>
      <c r="U54" s="205">
        <v>137</v>
      </c>
      <c r="V54" s="209">
        <v>201.94799999999998</v>
      </c>
      <c r="W54" s="209">
        <v>196.12869999999998</v>
      </c>
      <c r="X54" s="209">
        <v>247.7388</v>
      </c>
      <c r="Y54" s="210">
        <v>295.851</v>
      </c>
      <c r="Z54" s="201">
        <v>123.73</v>
      </c>
      <c r="AA54" s="201">
        <v>123.03999999999999</v>
      </c>
      <c r="AB54" s="201">
        <v>249.19599999999997</v>
      </c>
      <c r="AC54" s="201">
        <v>240.14979999999997</v>
      </c>
      <c r="AD54" s="201">
        <v>262.24322760000001</v>
      </c>
      <c r="AE54" s="201">
        <v>299.50731738399998</v>
      </c>
      <c r="AF54" s="201">
        <v>326.10798767719996</v>
      </c>
      <c r="AG54" s="201">
        <v>389.92289712404238</v>
      </c>
      <c r="AH54" s="201">
        <v>470.0660127376899</v>
      </c>
      <c r="AI54" s="201">
        <v>524.878298765468</v>
      </c>
      <c r="AJ54" s="201">
        <v>592.65189918858925</v>
      </c>
      <c r="AK54" s="202">
        <v>651.35890899613662</v>
      </c>
      <c r="AL54" s="201">
        <v>254.08592140492061</v>
      </c>
      <c r="AM54" s="201">
        <v>238.95142379247841</v>
      </c>
      <c r="AN54" s="201">
        <v>459.57389761643361</v>
      </c>
      <c r="AO54" s="201">
        <v>442.40146971894404</v>
      </c>
      <c r="AP54" s="201">
        <v>444.32756623614966</v>
      </c>
      <c r="AQ54" s="201">
        <v>469.09803976359962</v>
      </c>
      <c r="AR54" s="201">
        <v>457.21630132559767</v>
      </c>
      <c r="AS54" s="201">
        <v>526.76758025760682</v>
      </c>
      <c r="AT54" s="201">
        <v>612.53519347250938</v>
      </c>
      <c r="AU54" s="201">
        <v>629.51024207274884</v>
      </c>
      <c r="AV54" s="201">
        <v>665.71995983583088</v>
      </c>
      <c r="AW54" s="202">
        <v>703.67572425900516</v>
      </c>
      <c r="AX54" s="201">
        <v>322.54735006273859</v>
      </c>
      <c r="AY54" s="201">
        <v>300.84387009091677</v>
      </c>
      <c r="AZ54" s="201">
        <v>611.72690844648173</v>
      </c>
      <c r="BA54" s="201">
        <v>580.15474328682114</v>
      </c>
      <c r="BB54" s="201">
        <v>607.21859157124618</v>
      </c>
      <c r="BC54" s="201">
        <v>635.19078200345871</v>
      </c>
      <c r="BD54" s="201">
        <v>624.91819736531386</v>
      </c>
      <c r="BE54" s="201">
        <v>717.2161420763307</v>
      </c>
      <c r="BF54" s="201">
        <v>820.62855334467929</v>
      </c>
      <c r="BG54" s="201">
        <v>824.28656513952683</v>
      </c>
      <c r="BH54" s="201">
        <v>859.40344776703728</v>
      </c>
      <c r="BI54" s="202">
        <v>887.01810179296444</v>
      </c>
      <c r="BJ54" s="201">
        <v>395.88933916368092</v>
      </c>
      <c r="BK54" s="201">
        <v>362.27933642076198</v>
      </c>
      <c r="BL54" s="201">
        <v>730.87863323050351</v>
      </c>
      <c r="BM54" s="201">
        <v>712.02160815296452</v>
      </c>
      <c r="BN54" s="201">
        <v>738.20318499301857</v>
      </c>
      <c r="BO54" s="201">
        <v>763.92766266223316</v>
      </c>
      <c r="BP54" s="201">
        <v>780.39233744332637</v>
      </c>
      <c r="BQ54" s="201">
        <v>894.10375622612287</v>
      </c>
      <c r="BR54" s="201">
        <v>1025.1577712310823</v>
      </c>
      <c r="BS54" s="201">
        <v>1037.7614959150574</v>
      </c>
      <c r="BT54" s="201">
        <v>1067.5727559183204</v>
      </c>
      <c r="BU54" s="202">
        <v>1102.744061268942</v>
      </c>
      <c r="BV54" s="201">
        <v>488.45305044302847</v>
      </c>
      <c r="BW54" s="201">
        <v>442.13831683854676</v>
      </c>
      <c r="BX54" s="201">
        <v>890.8536539842562</v>
      </c>
      <c r="BY54" s="201">
        <v>866.36223156689243</v>
      </c>
      <c r="BZ54" s="201">
        <v>878.9822684805664</v>
      </c>
      <c r="CA54" s="201">
        <v>899.28183848752565</v>
      </c>
      <c r="CB54" s="201">
        <v>906.45114696314272</v>
      </c>
      <c r="CC54" s="201">
        <v>1045.1092712549473</v>
      </c>
      <c r="CD54" s="201">
        <v>1188.2533549939021</v>
      </c>
      <c r="CE54" s="201">
        <v>1192.102339271242</v>
      </c>
      <c r="CF54" s="201">
        <v>1224.0468938240406</v>
      </c>
      <c r="CG54" s="202">
        <v>1250.6157282306162</v>
      </c>
      <c r="CH54" s="201">
        <v>531.23763455850133</v>
      </c>
      <c r="CI54" s="201">
        <v>479.39074877961008</v>
      </c>
      <c r="CJ54" s="201">
        <v>967.98003172297831</v>
      </c>
      <c r="CK54" s="201">
        <v>947.99239010732344</v>
      </c>
      <c r="CL54" s="201">
        <v>968.19961342061697</v>
      </c>
      <c r="CM54" s="201">
        <v>997.57637917225986</v>
      </c>
      <c r="CN54" s="201">
        <v>1019.3442920743439</v>
      </c>
      <c r="CO54" s="201">
        <v>1178.9702003907289</v>
      </c>
      <c r="CP54" s="201">
        <v>1343.2058670685142</v>
      </c>
      <c r="CQ54" s="201">
        <v>1372.4923265069808</v>
      </c>
      <c r="CR54" s="201">
        <v>1424.3644528715738</v>
      </c>
      <c r="CS54" s="202">
        <v>1459.8438703926793</v>
      </c>
    </row>
    <row r="55" spans="1:97" s="247" customFormat="1" x14ac:dyDescent="0.25">
      <c r="A55" s="247" t="s">
        <v>3</v>
      </c>
      <c r="B55" s="247">
        <v>557</v>
      </c>
      <c r="C55" s="247">
        <v>465</v>
      </c>
      <c r="D55" s="247">
        <v>642</v>
      </c>
      <c r="E55" s="247">
        <v>744</v>
      </c>
      <c r="F55" s="247">
        <v>881</v>
      </c>
      <c r="G55" s="247">
        <v>998</v>
      </c>
      <c r="H55" s="247">
        <v>1018</v>
      </c>
      <c r="I55" s="247">
        <v>832</v>
      </c>
      <c r="J55" s="247">
        <v>1364</v>
      </c>
      <c r="K55" s="247">
        <v>1130</v>
      </c>
      <c r="L55" s="247">
        <v>1365</v>
      </c>
      <c r="M55" s="248">
        <v>1568</v>
      </c>
      <c r="N55" s="249">
        <v>635</v>
      </c>
      <c r="O55" s="249">
        <v>620</v>
      </c>
      <c r="P55" s="249">
        <v>1116</v>
      </c>
      <c r="Q55" s="249">
        <v>979</v>
      </c>
      <c r="R55" s="249">
        <v>1088</v>
      </c>
      <c r="S55" s="249">
        <v>1647</v>
      </c>
      <c r="T55" s="221">
        <v>1310</v>
      </c>
      <c r="U55" s="221">
        <v>1420</v>
      </c>
      <c r="V55" s="219">
        <v>1988.8982776287999</v>
      </c>
      <c r="W55" s="219">
        <v>2040.7345535187198</v>
      </c>
      <c r="X55" s="219">
        <v>2401.5950068477828</v>
      </c>
      <c r="Y55" s="220">
        <v>2845.445308250813</v>
      </c>
      <c r="Z55" s="247">
        <v>1150.1355645758795</v>
      </c>
      <c r="AA55" s="247">
        <v>1079.8660284651169</v>
      </c>
      <c r="AB55" s="247">
        <v>2170.5155976737065</v>
      </c>
      <c r="AC55" s="247">
        <v>2188.9250875271819</v>
      </c>
      <c r="AD55" s="247">
        <v>2344.8083926775471</v>
      </c>
      <c r="AE55" s="247">
        <v>2592.8144150335875</v>
      </c>
      <c r="AF55" s="247">
        <v>2582.5965452385622</v>
      </c>
      <c r="AG55" s="247">
        <v>2717.1197833764895</v>
      </c>
      <c r="AH55" s="247">
        <v>2947.4328884488855</v>
      </c>
      <c r="AI55" s="247">
        <v>3001.7602851599686</v>
      </c>
      <c r="AJ55" s="247">
        <v>3174.6181719923029</v>
      </c>
      <c r="AK55" s="248">
        <v>3445.3602368077322</v>
      </c>
      <c r="AL55" s="247">
        <v>1582.9374466831032</v>
      </c>
      <c r="AM55" s="247">
        <v>1449.3709552794019</v>
      </c>
      <c r="AN55" s="247">
        <v>2921.5791679013128</v>
      </c>
      <c r="AO55" s="247">
        <v>2952.1925253690551</v>
      </c>
      <c r="AP55" s="247">
        <v>3116.1239692344175</v>
      </c>
      <c r="AQ55" s="247">
        <v>3307.6829308667025</v>
      </c>
      <c r="AR55" s="247">
        <v>3302.3978226137633</v>
      </c>
      <c r="AS55" s="247">
        <v>3462.9022979037791</v>
      </c>
      <c r="AT55" s="247">
        <v>3703.3292317989958</v>
      </c>
      <c r="AU55" s="247">
        <v>3727.5015617027479</v>
      </c>
      <c r="AV55" s="247">
        <v>3890.1994358491356</v>
      </c>
      <c r="AW55" s="248">
        <v>4070.4153048549383</v>
      </c>
      <c r="AX55" s="247">
        <v>1942.9918208160716</v>
      </c>
      <c r="AY55" s="247">
        <v>1762.6060019973129</v>
      </c>
      <c r="AZ55" s="247">
        <v>3719.7711130023681</v>
      </c>
      <c r="BA55" s="247">
        <v>3742.7462945712377</v>
      </c>
      <c r="BB55" s="247">
        <v>3948.5093516301986</v>
      </c>
      <c r="BC55" s="247">
        <v>4151.5693515245002</v>
      </c>
      <c r="BD55" s="247">
        <v>4222.7560328632881</v>
      </c>
      <c r="BE55" s="247">
        <v>4420.9910227419959</v>
      </c>
      <c r="BF55" s="247">
        <v>4708.4056257352595</v>
      </c>
      <c r="BG55" s="247">
        <v>4828.4846871865229</v>
      </c>
      <c r="BH55" s="247">
        <v>5016.4059839766633</v>
      </c>
      <c r="BI55" s="248">
        <v>5242.4974603369392</v>
      </c>
      <c r="BJ55" s="247">
        <v>2402.6097029296425</v>
      </c>
      <c r="BK55" s="247">
        <v>2179.050114812344</v>
      </c>
      <c r="BL55" s="247">
        <v>4542.0799769881269</v>
      </c>
      <c r="BM55" s="247">
        <v>4594.7029025408183</v>
      </c>
      <c r="BN55" s="247">
        <v>4802.3320409755197</v>
      </c>
      <c r="BO55" s="247">
        <v>4979.0981848647853</v>
      </c>
      <c r="BP55" s="247">
        <v>5073.2347222837334</v>
      </c>
      <c r="BQ55" s="247">
        <v>5261.5649028736952</v>
      </c>
      <c r="BR55" s="247">
        <v>5571.6725026571075</v>
      </c>
      <c r="BS55" s="247">
        <v>5658.7968941155341</v>
      </c>
      <c r="BT55" s="247">
        <v>5821.6362749095852</v>
      </c>
      <c r="BU55" s="248">
        <v>6038.1130949277394</v>
      </c>
      <c r="BV55" s="247">
        <v>2753.5105805336248</v>
      </c>
      <c r="BW55" s="247">
        <v>2496.8050441277296</v>
      </c>
      <c r="BX55" s="247">
        <v>5205.8454544992474</v>
      </c>
      <c r="BY55" s="247">
        <v>5275.0814443983636</v>
      </c>
      <c r="BZ55" s="247">
        <v>5503.4295146250597</v>
      </c>
      <c r="CA55" s="247">
        <v>5710.9127993231605</v>
      </c>
      <c r="CB55" s="247">
        <v>5823.7756791676902</v>
      </c>
      <c r="CC55" s="247">
        <v>6119.1650601734573</v>
      </c>
      <c r="CD55" s="247">
        <v>6489.6948348791866</v>
      </c>
      <c r="CE55" s="247">
        <v>6613.403846027536</v>
      </c>
      <c r="CF55" s="247">
        <v>6857.5637603475716</v>
      </c>
      <c r="CG55" s="248">
        <v>7127.0615875912154</v>
      </c>
      <c r="CH55" s="247">
        <v>3128.0923294058525</v>
      </c>
      <c r="CI55" s="247">
        <v>2836.6352281636359</v>
      </c>
      <c r="CJ55" s="247">
        <v>5927.9441258836614</v>
      </c>
      <c r="CK55" s="247">
        <v>6019.2234798319814</v>
      </c>
      <c r="CL55" s="247">
        <v>6289.7273056079921</v>
      </c>
      <c r="CM55" s="247">
        <v>6535.8649223294797</v>
      </c>
      <c r="CN55" s="247">
        <v>6674.9741120401977</v>
      </c>
      <c r="CO55" s="247">
        <v>7010.8395479904475</v>
      </c>
      <c r="CP55" s="247">
        <v>7434.1942003068361</v>
      </c>
      <c r="CQ55" s="247">
        <v>7674.3197602918481</v>
      </c>
      <c r="CR55" s="247">
        <v>8018.6266382330241</v>
      </c>
      <c r="CS55" s="248">
        <v>8337.3479066056861</v>
      </c>
    </row>
    <row r="57" spans="1:97" s="194" customFormat="1" x14ac:dyDescent="0.25">
      <c r="A57" s="72"/>
      <c r="B57" s="72">
        <v>1</v>
      </c>
      <c r="C57" s="190">
        <v>2</v>
      </c>
      <c r="D57" s="190">
        <v>3</v>
      </c>
      <c r="E57" s="190">
        <v>4</v>
      </c>
      <c r="F57" s="190">
        <v>5</v>
      </c>
      <c r="G57" s="190">
        <v>6</v>
      </c>
      <c r="H57" s="190">
        <v>7</v>
      </c>
      <c r="I57" s="190">
        <v>8</v>
      </c>
      <c r="J57" s="190">
        <v>9</v>
      </c>
      <c r="K57" s="190">
        <v>10</v>
      </c>
      <c r="L57" s="190">
        <v>11</v>
      </c>
      <c r="M57" s="191">
        <v>12</v>
      </c>
      <c r="N57" s="193">
        <v>13</v>
      </c>
      <c r="O57" s="193">
        <v>14</v>
      </c>
      <c r="P57" s="193">
        <v>15</v>
      </c>
      <c r="Q57" s="193">
        <v>16</v>
      </c>
      <c r="R57" s="193">
        <v>17</v>
      </c>
      <c r="S57" s="193">
        <v>18</v>
      </c>
      <c r="T57" s="193">
        <v>19</v>
      </c>
      <c r="U57" s="193">
        <v>20</v>
      </c>
      <c r="V57" s="190">
        <v>21</v>
      </c>
      <c r="W57" s="190">
        <v>22</v>
      </c>
      <c r="X57" s="190">
        <v>23</v>
      </c>
      <c r="Y57" s="191">
        <v>24</v>
      </c>
      <c r="Z57" s="190">
        <v>25</v>
      </c>
      <c r="AA57" s="190">
        <v>26</v>
      </c>
      <c r="AB57" s="190">
        <v>27</v>
      </c>
      <c r="AC57" s="190">
        <v>28</v>
      </c>
      <c r="AD57" s="190">
        <v>29</v>
      </c>
      <c r="AE57" s="190">
        <v>30</v>
      </c>
      <c r="AF57" s="190">
        <v>31</v>
      </c>
      <c r="AG57" s="190">
        <v>32</v>
      </c>
      <c r="AH57" s="190">
        <v>33</v>
      </c>
      <c r="AI57" s="190">
        <v>34</v>
      </c>
      <c r="AJ57" s="190">
        <v>35</v>
      </c>
      <c r="AK57" s="191">
        <v>36</v>
      </c>
      <c r="AL57" s="190">
        <v>37</v>
      </c>
      <c r="AM57" s="190">
        <v>38</v>
      </c>
      <c r="AN57" s="190">
        <v>39</v>
      </c>
      <c r="AO57" s="190">
        <v>40</v>
      </c>
      <c r="AP57" s="190">
        <v>41</v>
      </c>
      <c r="AQ57" s="190">
        <v>42</v>
      </c>
      <c r="AR57" s="190">
        <v>43</v>
      </c>
      <c r="AS57" s="190">
        <v>44</v>
      </c>
      <c r="AT57" s="190">
        <v>45</v>
      </c>
      <c r="AU57" s="190">
        <v>46</v>
      </c>
      <c r="AV57" s="190">
        <v>47</v>
      </c>
      <c r="AW57" s="191">
        <v>48</v>
      </c>
      <c r="AX57" s="190">
        <v>49</v>
      </c>
      <c r="AY57" s="190">
        <v>50</v>
      </c>
      <c r="AZ57" s="190">
        <v>51</v>
      </c>
      <c r="BA57" s="190">
        <v>52</v>
      </c>
      <c r="BB57" s="190">
        <v>53</v>
      </c>
      <c r="BC57" s="190">
        <v>54</v>
      </c>
      <c r="BD57" s="190">
        <v>55</v>
      </c>
      <c r="BE57" s="190">
        <v>56</v>
      </c>
      <c r="BF57" s="190">
        <v>57</v>
      </c>
      <c r="BG57" s="190">
        <v>58</v>
      </c>
      <c r="BH57" s="190">
        <v>59</v>
      </c>
      <c r="BI57" s="191">
        <v>60</v>
      </c>
      <c r="BJ57" s="190">
        <v>61</v>
      </c>
      <c r="BK57" s="190">
        <v>62</v>
      </c>
      <c r="BL57" s="190">
        <v>63</v>
      </c>
      <c r="BM57" s="190">
        <v>64</v>
      </c>
      <c r="BN57" s="190">
        <v>65</v>
      </c>
      <c r="BO57" s="190">
        <v>66</v>
      </c>
      <c r="BP57" s="190">
        <v>67</v>
      </c>
      <c r="BQ57" s="190">
        <v>68</v>
      </c>
      <c r="BR57" s="190">
        <v>69</v>
      </c>
      <c r="BS57" s="190">
        <v>70</v>
      </c>
      <c r="BT57" s="190">
        <v>71</v>
      </c>
      <c r="BU57" s="191">
        <v>72</v>
      </c>
      <c r="BV57" s="190">
        <v>73</v>
      </c>
      <c r="BW57" s="190">
        <v>74</v>
      </c>
      <c r="BX57" s="190">
        <v>75</v>
      </c>
      <c r="BY57" s="190">
        <v>76</v>
      </c>
      <c r="BZ57" s="190">
        <v>77</v>
      </c>
      <c r="CA57" s="190">
        <v>78</v>
      </c>
      <c r="CB57" s="190">
        <v>79</v>
      </c>
      <c r="CC57" s="190">
        <v>80</v>
      </c>
      <c r="CD57" s="190">
        <v>81</v>
      </c>
      <c r="CE57" s="190">
        <v>82</v>
      </c>
      <c r="CF57" s="190">
        <v>83</v>
      </c>
      <c r="CG57" s="191">
        <v>84</v>
      </c>
      <c r="CH57" s="190">
        <v>85</v>
      </c>
      <c r="CI57" s="190">
        <v>86</v>
      </c>
      <c r="CJ57" s="190">
        <v>87</v>
      </c>
      <c r="CK57" s="190">
        <v>88</v>
      </c>
      <c r="CL57" s="190">
        <v>89</v>
      </c>
      <c r="CM57" s="190">
        <v>90</v>
      </c>
      <c r="CN57" s="190">
        <v>91</v>
      </c>
      <c r="CO57" s="190">
        <v>92</v>
      </c>
      <c r="CP57" s="190">
        <v>93</v>
      </c>
      <c r="CQ57" s="190">
        <v>94</v>
      </c>
      <c r="CR57" s="190">
        <v>95</v>
      </c>
      <c r="CS57" s="191">
        <v>96</v>
      </c>
    </row>
    <row r="58" spans="1:97" s="227" customFormat="1" x14ac:dyDescent="0.25">
      <c r="A58" s="227" t="s">
        <v>11</v>
      </c>
      <c r="B58" s="228">
        <v>42005</v>
      </c>
      <c r="C58" s="228">
        <v>42036</v>
      </c>
      <c r="D58" s="228">
        <v>42064</v>
      </c>
      <c r="E58" s="228">
        <v>42095</v>
      </c>
      <c r="F58" s="228">
        <v>42125</v>
      </c>
      <c r="G58" s="228">
        <v>42156</v>
      </c>
      <c r="H58" s="228">
        <v>42186</v>
      </c>
      <c r="I58" s="228">
        <v>42217</v>
      </c>
      <c r="J58" s="228">
        <v>42248</v>
      </c>
      <c r="K58" s="228">
        <v>42278</v>
      </c>
      <c r="L58" s="228">
        <v>42309</v>
      </c>
      <c r="M58" s="229">
        <v>42339</v>
      </c>
      <c r="N58" s="230">
        <v>42370</v>
      </c>
      <c r="O58" s="230">
        <v>42401</v>
      </c>
      <c r="P58" s="230">
        <v>42430</v>
      </c>
      <c r="Q58" s="230">
        <v>42461</v>
      </c>
      <c r="R58" s="230">
        <v>42491</v>
      </c>
      <c r="S58" s="230">
        <v>42522</v>
      </c>
      <c r="T58" s="230">
        <v>42552</v>
      </c>
      <c r="U58" s="230">
        <v>42583</v>
      </c>
      <c r="V58" s="228">
        <v>42614</v>
      </c>
      <c r="W58" s="228">
        <v>42644</v>
      </c>
      <c r="X58" s="228">
        <v>42675</v>
      </c>
      <c r="Y58" s="229">
        <v>42705</v>
      </c>
      <c r="Z58" s="228">
        <v>42752</v>
      </c>
      <c r="AA58" s="228">
        <v>42783</v>
      </c>
      <c r="AB58" s="228">
        <v>42811</v>
      </c>
      <c r="AC58" s="228">
        <v>42842</v>
      </c>
      <c r="AD58" s="228">
        <v>42872</v>
      </c>
      <c r="AE58" s="228">
        <v>42903</v>
      </c>
      <c r="AF58" s="228">
        <v>42933</v>
      </c>
      <c r="AG58" s="228">
        <v>42964</v>
      </c>
      <c r="AH58" s="228">
        <v>42995</v>
      </c>
      <c r="AI58" s="228">
        <v>43025</v>
      </c>
      <c r="AJ58" s="228">
        <v>43056</v>
      </c>
      <c r="AK58" s="229">
        <v>43086</v>
      </c>
      <c r="AL58" s="228">
        <v>43118</v>
      </c>
      <c r="AM58" s="228">
        <v>43149</v>
      </c>
      <c r="AN58" s="228">
        <v>43177</v>
      </c>
      <c r="AO58" s="228">
        <v>43208</v>
      </c>
      <c r="AP58" s="228">
        <v>43238</v>
      </c>
      <c r="AQ58" s="228">
        <v>43269</v>
      </c>
      <c r="AR58" s="228">
        <v>43299</v>
      </c>
      <c r="AS58" s="228">
        <v>43330</v>
      </c>
      <c r="AT58" s="228">
        <v>43361</v>
      </c>
      <c r="AU58" s="228">
        <v>43391</v>
      </c>
      <c r="AV58" s="228">
        <v>43422</v>
      </c>
      <c r="AW58" s="229">
        <v>43452</v>
      </c>
      <c r="AX58" s="228">
        <v>43483</v>
      </c>
      <c r="AY58" s="228">
        <v>43514</v>
      </c>
      <c r="AZ58" s="228">
        <v>43542</v>
      </c>
      <c r="BA58" s="228">
        <v>43573</v>
      </c>
      <c r="BB58" s="228">
        <v>43603</v>
      </c>
      <c r="BC58" s="228">
        <v>43634</v>
      </c>
      <c r="BD58" s="228">
        <v>43664</v>
      </c>
      <c r="BE58" s="228">
        <v>43695</v>
      </c>
      <c r="BF58" s="228">
        <v>43726</v>
      </c>
      <c r="BG58" s="228">
        <v>43756</v>
      </c>
      <c r="BH58" s="228">
        <v>43787</v>
      </c>
      <c r="BI58" s="229">
        <v>43817</v>
      </c>
      <c r="BJ58" s="228">
        <v>43848</v>
      </c>
      <c r="BK58" s="228">
        <v>43879</v>
      </c>
      <c r="BL58" s="228">
        <v>43908</v>
      </c>
      <c r="BM58" s="228">
        <v>43939</v>
      </c>
      <c r="BN58" s="228">
        <v>43969</v>
      </c>
      <c r="BO58" s="228">
        <v>44000</v>
      </c>
      <c r="BP58" s="228">
        <v>44030</v>
      </c>
      <c r="BQ58" s="228">
        <v>44061</v>
      </c>
      <c r="BR58" s="228">
        <v>44092</v>
      </c>
      <c r="BS58" s="228">
        <v>44122</v>
      </c>
      <c r="BT58" s="228">
        <v>44153</v>
      </c>
      <c r="BU58" s="229">
        <v>44183</v>
      </c>
      <c r="BV58" s="228">
        <v>44214</v>
      </c>
      <c r="BW58" s="228">
        <v>44245</v>
      </c>
      <c r="BX58" s="228">
        <v>44273</v>
      </c>
      <c r="BY58" s="228">
        <v>44304</v>
      </c>
      <c r="BZ58" s="228">
        <v>44334</v>
      </c>
      <c r="CA58" s="228">
        <v>44365</v>
      </c>
      <c r="CB58" s="228">
        <v>44395</v>
      </c>
      <c r="CC58" s="228">
        <v>44426</v>
      </c>
      <c r="CD58" s="228">
        <v>44457</v>
      </c>
      <c r="CE58" s="228">
        <v>44487</v>
      </c>
      <c r="CF58" s="228">
        <v>44518</v>
      </c>
      <c r="CG58" s="229">
        <v>44548</v>
      </c>
      <c r="CH58" s="228">
        <v>44579</v>
      </c>
      <c r="CI58" s="228">
        <v>44610</v>
      </c>
      <c r="CJ58" s="228">
        <v>44638</v>
      </c>
      <c r="CK58" s="228">
        <v>44669</v>
      </c>
      <c r="CL58" s="228">
        <v>44699</v>
      </c>
      <c r="CM58" s="228">
        <v>44730</v>
      </c>
      <c r="CN58" s="228">
        <v>44760</v>
      </c>
      <c r="CO58" s="228">
        <v>44791</v>
      </c>
      <c r="CP58" s="228">
        <v>44822</v>
      </c>
      <c r="CQ58" s="228">
        <v>44852</v>
      </c>
      <c r="CR58" s="228">
        <v>44883</v>
      </c>
      <c r="CS58" s="229">
        <v>44913</v>
      </c>
    </row>
    <row r="59" spans="1:97" s="206" customFormat="1" x14ac:dyDescent="0.25">
      <c r="A59" s="206" t="s">
        <v>4</v>
      </c>
      <c r="B59" s="206">
        <v>0.73076923076923073</v>
      </c>
      <c r="C59" s="206">
        <v>0.52631578947368418</v>
      </c>
      <c r="D59" s="206">
        <v>0.65079365079365081</v>
      </c>
      <c r="E59" s="206">
        <v>0.75714285714285712</v>
      </c>
      <c r="F59" s="206">
        <v>0.83098591549295775</v>
      </c>
      <c r="G59" s="206">
        <v>0.76056338028169013</v>
      </c>
      <c r="H59" s="206">
        <v>0.68421052631578949</v>
      </c>
      <c r="I59" s="206">
        <v>0.61842105263157898</v>
      </c>
      <c r="J59" s="206">
        <v>0.8441558441558441</v>
      </c>
      <c r="K59" s="206">
        <v>0.79220779220779225</v>
      </c>
      <c r="L59" s="206">
        <v>0.73972602739726023</v>
      </c>
      <c r="M59" s="207">
        <v>0.75</v>
      </c>
      <c r="N59" s="208">
        <v>0.38461538461538464</v>
      </c>
      <c r="O59" s="208">
        <v>0.35344827586206895</v>
      </c>
      <c r="P59" s="208">
        <v>0.55084745762711862</v>
      </c>
      <c r="Q59" s="208">
        <v>0.4358974358974359</v>
      </c>
      <c r="R59" s="208">
        <v>0.44642857142857145</v>
      </c>
      <c r="S59" s="208">
        <v>0.59813084112149528</v>
      </c>
      <c r="T59" s="208">
        <v>0.46464646464646464</v>
      </c>
      <c r="U59" s="208">
        <v>0.48958333333333331</v>
      </c>
      <c r="V59" s="206">
        <v>0.55666666666666664</v>
      </c>
      <c r="W59" s="206">
        <v>0.51479166666666665</v>
      </c>
      <c r="X59" s="206">
        <v>0.59583333333333333</v>
      </c>
      <c r="Y59" s="207">
        <v>0.60395833333333337</v>
      </c>
      <c r="Z59" s="206">
        <v>0.35</v>
      </c>
      <c r="AA59" s="206">
        <v>0.35</v>
      </c>
      <c r="AB59" s="206">
        <v>0.38461538461538464</v>
      </c>
      <c r="AC59" s="206">
        <v>0.37138461538461537</v>
      </c>
      <c r="AD59" s="206">
        <v>0.37509846153846155</v>
      </c>
      <c r="AE59" s="206">
        <v>0.37884944615384614</v>
      </c>
      <c r="AF59" s="206">
        <v>0.38263794061538464</v>
      </c>
      <c r="AG59" s="206">
        <v>0.38646432002153847</v>
      </c>
      <c r="AH59" s="206">
        <v>0.39032896322175381</v>
      </c>
      <c r="AI59" s="206">
        <v>0.3942322528539714</v>
      </c>
      <c r="AJ59" s="206">
        <v>0.39817457538251111</v>
      </c>
      <c r="AK59" s="207">
        <v>0.4021563211363362</v>
      </c>
      <c r="AL59" s="206">
        <v>0.35699999999999998</v>
      </c>
      <c r="AM59" s="206">
        <v>0.35699999999999998</v>
      </c>
      <c r="AN59" s="206">
        <v>0.38358823529411762</v>
      </c>
      <c r="AO59" s="206">
        <v>0.3759164705882353</v>
      </c>
      <c r="AP59" s="206">
        <v>0.37713916470588238</v>
      </c>
      <c r="AQ59" s="206">
        <v>0.37837408576470583</v>
      </c>
      <c r="AR59" s="206">
        <v>0.37962135603411767</v>
      </c>
      <c r="AS59" s="206">
        <v>0.38088109900622352</v>
      </c>
      <c r="AT59" s="206">
        <v>0.38468990999628577</v>
      </c>
      <c r="AU59" s="206">
        <v>0.38597497380213097</v>
      </c>
      <c r="AV59" s="206">
        <v>0.38983472354015219</v>
      </c>
      <c r="AW59" s="207">
        <v>0.39373307077555381</v>
      </c>
      <c r="AX59" s="206">
        <v>0.36804999999999999</v>
      </c>
      <c r="AY59" s="206">
        <v>0.36804999999999999</v>
      </c>
      <c r="AZ59" s="206">
        <v>0.41017523809523809</v>
      </c>
      <c r="BA59" s="206">
        <v>0.39226506666666666</v>
      </c>
      <c r="BB59" s="206">
        <v>0.39366398400000002</v>
      </c>
      <c r="BC59" s="206">
        <v>0.39373063053333335</v>
      </c>
      <c r="BD59" s="206">
        <v>0.39514420350533336</v>
      </c>
      <c r="BE59" s="206">
        <v>0.39657191220705329</v>
      </c>
      <c r="BF59" s="206">
        <v>0.40053763132912384</v>
      </c>
      <c r="BG59" s="206">
        <v>0.40199403697574843</v>
      </c>
      <c r="BH59" s="206">
        <v>0.40601397734550587</v>
      </c>
      <c r="BI59" s="207">
        <v>0.41293228129824272</v>
      </c>
      <c r="BJ59" s="206">
        <v>0.36770999999999998</v>
      </c>
      <c r="BK59" s="206">
        <v>0.36770999999999998</v>
      </c>
      <c r="BL59" s="206">
        <v>0.40908400000000006</v>
      </c>
      <c r="BM59" s="206">
        <v>0.39638647999999999</v>
      </c>
      <c r="BN59" s="206">
        <v>0.39785534319999999</v>
      </c>
      <c r="BO59" s="206">
        <v>0.39792532205999998</v>
      </c>
      <c r="BP59" s="206">
        <v>0.40335474781740605</v>
      </c>
      <c r="BQ59" s="206">
        <v>0.40486883289558007</v>
      </c>
      <c r="BR59" s="206">
        <v>0.41385860282453585</v>
      </c>
      <c r="BS59" s="206">
        <v>0.41540312101278121</v>
      </c>
      <c r="BT59" s="206">
        <v>0.41955715222290901</v>
      </c>
      <c r="BU59" s="207">
        <v>0.42678380685726641</v>
      </c>
      <c r="BV59" s="206">
        <v>0.36746379310344829</v>
      </c>
      <c r="BW59" s="206">
        <v>0.36746379310344829</v>
      </c>
      <c r="BX59" s="206">
        <v>0.40829379310344832</v>
      </c>
      <c r="BY59" s="206">
        <v>0.3957158896551724</v>
      </c>
      <c r="BZ59" s="206">
        <v>0.40942362951724137</v>
      </c>
      <c r="CA59" s="206">
        <v>0.40949602144137931</v>
      </c>
      <c r="CB59" s="206">
        <v>0.41509158188007522</v>
      </c>
      <c r="CC59" s="206">
        <v>0.41982179250361212</v>
      </c>
      <c r="CD59" s="206">
        <v>0.42908887862175166</v>
      </c>
      <c r="CE59" s="206">
        <v>0.43071861160658992</v>
      </c>
      <c r="CF59" s="206">
        <v>0.4366556904852375</v>
      </c>
      <c r="CG59" s="207">
        <v>0.45263965731812661</v>
      </c>
      <c r="CH59" s="206">
        <v>0.36727727272727273</v>
      </c>
      <c r="CI59" s="206">
        <v>0.36727727272727273</v>
      </c>
      <c r="CJ59" s="206">
        <v>0.40769515151515151</v>
      </c>
      <c r="CK59" s="206">
        <v>0.39520786666666669</v>
      </c>
      <c r="CL59" s="206">
        <v>0.40873671915151516</v>
      </c>
      <c r="CM59" s="206">
        <v>0.40881093915454542</v>
      </c>
      <c r="CN59" s="206">
        <v>0.4144397046548246</v>
      </c>
      <c r="CO59" s="206">
        <v>0.4192893650415821</v>
      </c>
      <c r="CP59" s="206">
        <v>0.42846077272836153</v>
      </c>
      <c r="CQ59" s="206">
        <v>0.43350685406010347</v>
      </c>
      <c r="CR59" s="206">
        <v>0.44482610944041051</v>
      </c>
      <c r="CS59" s="207">
        <v>0.46142336497774034</v>
      </c>
    </row>
    <row r="60" spans="1:97" s="206" customFormat="1" x14ac:dyDescent="0.25">
      <c r="A60" s="206" t="s">
        <v>5</v>
      </c>
      <c r="B60" s="206">
        <v>0.28110599078341014</v>
      </c>
      <c r="C60" s="206">
        <v>0.34123222748815168</v>
      </c>
      <c r="D60" s="206">
        <v>0.30973451327433627</v>
      </c>
      <c r="E60" s="206">
        <v>0.28620689655172415</v>
      </c>
      <c r="F60" s="206">
        <v>0.33829787234042552</v>
      </c>
      <c r="G60" s="206">
        <v>0.40836653386454186</v>
      </c>
      <c r="H60" s="206">
        <v>0.4859437751004016</v>
      </c>
      <c r="I60" s="206">
        <v>0.35860655737704916</v>
      </c>
      <c r="J60" s="206">
        <v>0.46864111498257838</v>
      </c>
      <c r="K60" s="206">
        <v>0.43534482758620691</v>
      </c>
      <c r="L60" s="206">
        <v>0.46708074534161492</v>
      </c>
      <c r="M60" s="207">
        <v>0.46621621621621623</v>
      </c>
      <c r="N60" s="208">
        <v>0.28780487804878047</v>
      </c>
      <c r="O60" s="208">
        <v>0.32142857142857145</v>
      </c>
      <c r="P60" s="208">
        <v>0.44070278184480233</v>
      </c>
      <c r="Q60" s="208">
        <v>0.44770642201834865</v>
      </c>
      <c r="R60" s="208">
        <v>0.3997326203208556</v>
      </c>
      <c r="S60" s="208">
        <v>0.44307692307692309</v>
      </c>
      <c r="T60" s="208">
        <v>0.38768898488120951</v>
      </c>
      <c r="U60" s="208">
        <v>0.38878326996197721</v>
      </c>
      <c r="V60" s="206">
        <v>0.42480785072385452</v>
      </c>
      <c r="W60" s="206">
        <v>0.42474750719881971</v>
      </c>
      <c r="X60" s="206">
        <v>0.43615719076096365</v>
      </c>
      <c r="Y60" s="207">
        <v>0.45105182347236894</v>
      </c>
      <c r="Z60" s="206">
        <v>0.15</v>
      </c>
      <c r="AA60" s="206">
        <v>0.15</v>
      </c>
      <c r="AB60" s="206">
        <v>0.35</v>
      </c>
      <c r="AC60" s="206">
        <v>0.34038404998640953</v>
      </c>
      <c r="AD60" s="206">
        <v>0.34379768216435214</v>
      </c>
      <c r="AE60" s="206">
        <v>0.34736468671421533</v>
      </c>
      <c r="AF60" s="206">
        <v>0.3506802733654944</v>
      </c>
      <c r="AG60" s="206">
        <v>0.35422883943000627</v>
      </c>
      <c r="AH60" s="206">
        <v>0.35769583216262013</v>
      </c>
      <c r="AI60" s="206">
        <v>0.3612626785735189</v>
      </c>
      <c r="AJ60" s="206">
        <v>0.36497924412611499</v>
      </c>
      <c r="AK60" s="207">
        <v>0.36857052914392957</v>
      </c>
      <c r="AL60" s="206">
        <v>0.15299999999999997</v>
      </c>
      <c r="AM60" s="206">
        <v>0.153</v>
      </c>
      <c r="AN60" s="206">
        <v>0.35216743163349851</v>
      </c>
      <c r="AO60" s="206">
        <v>0.34494549539615255</v>
      </c>
      <c r="AP60" s="206">
        <v>0.34713832185590537</v>
      </c>
      <c r="AQ60" s="206">
        <v>0.35045149937435294</v>
      </c>
      <c r="AR60" s="206">
        <v>0.35231039608698445</v>
      </c>
      <c r="AS60" s="206">
        <v>0.3562083281133766</v>
      </c>
      <c r="AT60" s="206">
        <v>0.35953177627970762</v>
      </c>
      <c r="AU60" s="206">
        <v>0.36137657527512473</v>
      </c>
      <c r="AV60" s="206">
        <v>0.36550530552204746</v>
      </c>
      <c r="AW60" s="207">
        <v>0.36914312528739096</v>
      </c>
      <c r="AX60" s="206">
        <v>0.1558876543784096</v>
      </c>
      <c r="AY60" s="206">
        <v>0.15589753872323941</v>
      </c>
      <c r="AZ60" s="206">
        <v>0.37593871216352887</v>
      </c>
      <c r="BA60" s="206">
        <v>0.36333573863193946</v>
      </c>
      <c r="BB60" s="206">
        <v>0.36562591948659839</v>
      </c>
      <c r="BC60" s="206">
        <v>0.36691691858725928</v>
      </c>
      <c r="BD60" s="206">
        <v>0.36941518760999359</v>
      </c>
      <c r="BE60" s="206">
        <v>0.37309374709200449</v>
      </c>
      <c r="BF60" s="206">
        <v>0.3766331004151795</v>
      </c>
      <c r="BG60" s="206">
        <v>0.37926431299421093</v>
      </c>
      <c r="BH60" s="206">
        <v>0.38303173429121595</v>
      </c>
      <c r="BI60" s="207">
        <v>0.38661177652709899</v>
      </c>
      <c r="BJ60" s="206">
        <v>0.15588178776969461</v>
      </c>
      <c r="BK60" s="206">
        <v>0.15588943617718928</v>
      </c>
      <c r="BL60" s="206">
        <v>0.37592466188188728</v>
      </c>
      <c r="BM60" s="206">
        <v>0.36598712854444315</v>
      </c>
      <c r="BN60" s="206">
        <v>0.36830777767851902</v>
      </c>
      <c r="BO60" s="206">
        <v>0.36974944354281758</v>
      </c>
      <c r="BP60" s="206">
        <v>0.37582017599874207</v>
      </c>
      <c r="BQ60" s="206">
        <v>0.3795752744673675</v>
      </c>
      <c r="BR60" s="206">
        <v>0.38604783387086078</v>
      </c>
      <c r="BS60" s="206">
        <v>0.38851893205116722</v>
      </c>
      <c r="BT60" s="206">
        <v>0.39240138184402773</v>
      </c>
      <c r="BU60" s="207">
        <v>0.39632194934460679</v>
      </c>
      <c r="BV60" s="206">
        <v>0.15876788464237071</v>
      </c>
      <c r="BW60" s="206">
        <v>0.15878204951758398</v>
      </c>
      <c r="BX60" s="206">
        <v>0.38270422864148368</v>
      </c>
      <c r="BY60" s="206">
        <v>0.37251089539552495</v>
      </c>
      <c r="BZ60" s="206">
        <v>0.37488702025474852</v>
      </c>
      <c r="CA60" s="206">
        <v>0.37638613382099273</v>
      </c>
      <c r="CB60" s="206">
        <v>0.38248119016790155</v>
      </c>
      <c r="CC60" s="206">
        <v>0.39123327478584413</v>
      </c>
      <c r="CD60" s="206">
        <v>0.39790083711402141</v>
      </c>
      <c r="CE60" s="206">
        <v>0.40040407520148896</v>
      </c>
      <c r="CF60" s="206">
        <v>0.40696028549646052</v>
      </c>
      <c r="CG60" s="207">
        <v>0.41103297100159664</v>
      </c>
      <c r="CH60" s="206">
        <v>0.15864799567629922</v>
      </c>
      <c r="CI60" s="206">
        <v>0.15866326577244552</v>
      </c>
      <c r="CJ60" s="206">
        <v>0.38254255084960997</v>
      </c>
      <c r="CK60" s="206">
        <v>0.37240524686274118</v>
      </c>
      <c r="CL60" s="206">
        <v>0.3748084509159107</v>
      </c>
      <c r="CM60" s="206">
        <v>0.37628317182358251</v>
      </c>
      <c r="CN60" s="206">
        <v>0.3824057127537015</v>
      </c>
      <c r="CO60" s="206">
        <v>0.39120911497761951</v>
      </c>
      <c r="CP60" s="206">
        <v>0.39782526481555203</v>
      </c>
      <c r="CQ60" s="206">
        <v>0.40555754155487544</v>
      </c>
      <c r="CR60" s="206">
        <v>0.41507615125072256</v>
      </c>
      <c r="CS60" s="207">
        <v>0.41923035165204664</v>
      </c>
    </row>
    <row r="61" spans="1:97" s="206" customFormat="1" x14ac:dyDescent="0.25">
      <c r="A61" s="206" t="s">
        <v>6</v>
      </c>
      <c r="B61" s="206">
        <v>0.26044226044226043</v>
      </c>
      <c r="C61" s="206">
        <v>0.24537037037037038</v>
      </c>
      <c r="D61" s="206">
        <v>0.34134615384615385</v>
      </c>
      <c r="E61" s="206">
        <v>0.31180400890868598</v>
      </c>
      <c r="F61" s="206">
        <v>0.28774422735346361</v>
      </c>
      <c r="G61" s="206">
        <v>0.33710407239819007</v>
      </c>
      <c r="H61" s="206">
        <v>0.34782608695652173</v>
      </c>
      <c r="I61" s="206">
        <v>0.26938775510204083</v>
      </c>
      <c r="J61" s="206">
        <v>0.36864406779661019</v>
      </c>
      <c r="K61" s="206">
        <v>0.35802469135802467</v>
      </c>
      <c r="L61" s="206">
        <v>0.26769911504424782</v>
      </c>
      <c r="M61" s="207">
        <v>0.41397153945666237</v>
      </c>
      <c r="N61" s="208">
        <v>0.17627118644067796</v>
      </c>
      <c r="O61" s="208">
        <v>0.27317073170731709</v>
      </c>
      <c r="P61" s="208">
        <v>0.25520833333333331</v>
      </c>
      <c r="Q61" s="208">
        <v>0.25</v>
      </c>
      <c r="R61" s="208">
        <v>0.29779411764705882</v>
      </c>
      <c r="S61" s="208">
        <v>0.31478968792401629</v>
      </c>
      <c r="T61" s="208">
        <v>0.23255813953488372</v>
      </c>
      <c r="U61" s="208">
        <v>0.24945295404814005</v>
      </c>
      <c r="V61" s="206">
        <v>0.30452471482889737</v>
      </c>
      <c r="W61" s="206">
        <v>0.31</v>
      </c>
      <c r="X61" s="206">
        <v>0.32705049856023605</v>
      </c>
      <c r="Y61" s="207">
        <v>0.33752062427534141</v>
      </c>
      <c r="Z61" s="206">
        <v>0.15</v>
      </c>
      <c r="AA61" s="206">
        <v>0.15</v>
      </c>
      <c r="AB61" s="206">
        <v>0.25</v>
      </c>
      <c r="AC61" s="206">
        <v>0.2430785589858348</v>
      </c>
      <c r="AD61" s="206">
        <v>0.24556277891876691</v>
      </c>
      <c r="AE61" s="206">
        <v>0.24802547070428263</v>
      </c>
      <c r="AF61" s="206">
        <v>0.25059880970096965</v>
      </c>
      <c r="AG61" s="206">
        <v>0.25299076864224956</v>
      </c>
      <c r="AH61" s="206">
        <v>0.25555080558879023</v>
      </c>
      <c r="AI61" s="206">
        <v>0.25805199320303313</v>
      </c>
      <c r="AJ61" s="206">
        <v>0.260625218113753</v>
      </c>
      <c r="AK61" s="207">
        <v>0.26330645469098302</v>
      </c>
      <c r="AL61" s="206">
        <v>0.153</v>
      </c>
      <c r="AM61" s="206">
        <v>0.15299999999999997</v>
      </c>
      <c r="AN61" s="206">
        <v>0.25145375148733318</v>
      </c>
      <c r="AO61" s="206">
        <v>0.24651720214344891</v>
      </c>
      <c r="AP61" s="206">
        <v>0.24779317553304761</v>
      </c>
      <c r="AQ61" s="206">
        <v>0.25043550362461742</v>
      </c>
      <c r="AR61" s="206">
        <v>0.2517803288039186</v>
      </c>
      <c r="AS61" s="206">
        <v>0.25416678574846741</v>
      </c>
      <c r="AT61" s="206">
        <v>0.25697886528179315</v>
      </c>
      <c r="AU61" s="206">
        <v>0.25829929523348083</v>
      </c>
      <c r="AV61" s="206">
        <v>0.2607073864484829</v>
      </c>
      <c r="AW61" s="207">
        <v>0.26368597041233438</v>
      </c>
      <c r="AX61" s="206">
        <v>0.15613101591762824</v>
      </c>
      <c r="AY61" s="206">
        <v>0.1558876543784096</v>
      </c>
      <c r="AZ61" s="206">
        <v>0.26854009359472059</v>
      </c>
      <c r="BA61" s="206">
        <v>0.25949710483587363</v>
      </c>
      <c r="BB61" s="206">
        <v>0.26117884453620205</v>
      </c>
      <c r="BC61" s="206">
        <v>0.26218625960751035</v>
      </c>
      <c r="BD61" s="206">
        <v>0.26371419385791822</v>
      </c>
      <c r="BE61" s="206">
        <v>0.26650667106149545</v>
      </c>
      <c r="BF61" s="206">
        <v>0.26916048897351763</v>
      </c>
      <c r="BG61" s="206">
        <v>0.27070601006816281</v>
      </c>
      <c r="BH61" s="206">
        <v>0.27361211151725234</v>
      </c>
      <c r="BI61" s="207">
        <v>0.27633003688152014</v>
      </c>
      <c r="BJ61" s="206">
        <v>0.15593469199187973</v>
      </c>
      <c r="BK61" s="206">
        <v>0.15588178776969461</v>
      </c>
      <c r="BL61" s="206">
        <v>0.26853760457730652</v>
      </c>
      <c r="BM61" s="206">
        <v>0.26141055526492057</v>
      </c>
      <c r="BN61" s="206">
        <v>0.26308358976183316</v>
      </c>
      <c r="BO61" s="206">
        <v>0.26410950408977546</v>
      </c>
      <c r="BP61" s="206">
        <v>0.26842092396713851</v>
      </c>
      <c r="BQ61" s="206">
        <v>0.27112741268480678</v>
      </c>
      <c r="BR61" s="206">
        <v>0.27574851859665878</v>
      </c>
      <c r="BS61" s="206">
        <v>0.27750096672562546</v>
      </c>
      <c r="BT61" s="206">
        <v>0.28028865812262788</v>
      </c>
      <c r="BU61" s="207">
        <v>0.28308956833033444</v>
      </c>
      <c r="BV61" s="206">
        <v>0.15867352895311104</v>
      </c>
      <c r="BW61" s="206">
        <v>0.15876788464237071</v>
      </c>
      <c r="BX61" s="206">
        <v>0.27349380582520044</v>
      </c>
      <c r="BY61" s="206">
        <v>0.26611355067066927</v>
      </c>
      <c r="BZ61" s="206">
        <v>0.2677657251473175</v>
      </c>
      <c r="CA61" s="206">
        <v>0.26883457044633186</v>
      </c>
      <c r="CB61" s="206">
        <v>0.27323069711489067</v>
      </c>
      <c r="CC61" s="206">
        <v>0.2794511202970123</v>
      </c>
      <c r="CD61" s="206">
        <v>0.28421103247231344</v>
      </c>
      <c r="CE61" s="206">
        <v>0.28602446820066707</v>
      </c>
      <c r="CF61" s="206">
        <v>0.29068416103407463</v>
      </c>
      <c r="CG61" s="207">
        <v>0.29359277739387518</v>
      </c>
      <c r="CH61" s="206">
        <v>0.15855538353035251</v>
      </c>
      <c r="CI61" s="206">
        <v>0.15864799567629922</v>
      </c>
      <c r="CJ61" s="206">
        <v>0.27337375338710423</v>
      </c>
      <c r="CK61" s="206">
        <v>0.26603636355072552</v>
      </c>
      <c r="CL61" s="206">
        <v>0.26770894621634111</v>
      </c>
      <c r="CM61" s="206">
        <v>0.26876011564954377</v>
      </c>
      <c r="CN61" s="206">
        <v>0.27317541062413697</v>
      </c>
      <c r="CO61" s="206">
        <v>0.27943370791121092</v>
      </c>
      <c r="CP61" s="206">
        <v>0.28415654867298401</v>
      </c>
      <c r="CQ61" s="206">
        <v>0.28968242502962999</v>
      </c>
      <c r="CR61" s="206">
        <v>0.29648100539950045</v>
      </c>
      <c r="CS61" s="207">
        <v>0.29944779483087852</v>
      </c>
    </row>
    <row r="62" spans="1:97" s="206" customFormat="1" x14ac:dyDescent="0.25">
      <c r="A62" s="206" t="s">
        <v>7</v>
      </c>
      <c r="B62" s="206">
        <v>0.21869488536155202</v>
      </c>
      <c r="C62" s="206">
        <v>0.15064935064935064</v>
      </c>
      <c r="D62" s="206">
        <v>0.21917808219178081</v>
      </c>
      <c r="E62" s="206">
        <v>0.17944535073409462</v>
      </c>
      <c r="F62" s="206">
        <v>0.25515947467166977</v>
      </c>
      <c r="G62" s="206">
        <v>0.31846344485749689</v>
      </c>
      <c r="H62" s="206">
        <v>0.28192771084337348</v>
      </c>
      <c r="I62" s="206">
        <v>0.19347037484885127</v>
      </c>
      <c r="J62" s="206">
        <v>0.32296650717703351</v>
      </c>
      <c r="K62" s="206">
        <v>0.24764150943396226</v>
      </c>
      <c r="L62" s="206">
        <v>0.29327453142227122</v>
      </c>
      <c r="M62" s="207">
        <v>0.34606205250596661</v>
      </c>
      <c r="N62" s="208">
        <v>0.13473877176901924</v>
      </c>
      <c r="O62" s="208">
        <v>0.1426269137792103</v>
      </c>
      <c r="P62" s="208">
        <v>0.21216407355021216</v>
      </c>
      <c r="Q62" s="208">
        <v>0.16756756756756758</v>
      </c>
      <c r="R62" s="208">
        <v>0.18472906403940886</v>
      </c>
      <c r="S62" s="208">
        <v>0.22202486678507993</v>
      </c>
      <c r="T62" s="208">
        <v>0.16625716625716624</v>
      </c>
      <c r="U62" s="208">
        <v>0.16140904311251314</v>
      </c>
      <c r="V62" s="206">
        <v>0.24203023758099348</v>
      </c>
      <c r="W62" s="206">
        <v>0.18678707224334601</v>
      </c>
      <c r="X62" s="206">
        <v>0.20574509329759094</v>
      </c>
      <c r="Y62" s="207">
        <v>0.2241009971204721</v>
      </c>
      <c r="Z62" s="206">
        <v>0.11999999999999998</v>
      </c>
      <c r="AA62" s="206">
        <v>0.12000000000000001</v>
      </c>
      <c r="AB62" s="206">
        <v>0.21999999999999997</v>
      </c>
      <c r="AC62" s="206">
        <v>0.21372981402191468</v>
      </c>
      <c r="AD62" s="206">
        <v>0.21604822322660991</v>
      </c>
      <c r="AE62" s="206">
        <v>0.21825619790299997</v>
      </c>
      <c r="AF62" s="206">
        <v>0.22044503836196636</v>
      </c>
      <c r="AG62" s="206">
        <v>0.22273222206222179</v>
      </c>
      <c r="AH62" s="206">
        <v>0.22485819516923136</v>
      </c>
      <c r="AI62" s="206">
        <v>0.22713355600731677</v>
      </c>
      <c r="AJ62" s="206">
        <v>0.22935661155885581</v>
      </c>
      <c r="AK62" s="207">
        <v>0.23164369385950359</v>
      </c>
      <c r="AL62" s="206">
        <v>0.12239999999999999</v>
      </c>
      <c r="AM62" s="206">
        <v>0.12239999999999999</v>
      </c>
      <c r="AN62" s="206">
        <v>0.22128199168153695</v>
      </c>
      <c r="AO62" s="206">
        <v>0.21685371528267611</v>
      </c>
      <c r="AP62" s="206">
        <v>0.21828362715133248</v>
      </c>
      <c r="AQ62" s="206">
        <v>0.22023857441377268</v>
      </c>
      <c r="AR62" s="206">
        <v>0.22171660178557159</v>
      </c>
      <c r="AS62" s="206">
        <v>0.2237823562409228</v>
      </c>
      <c r="AT62" s="206">
        <v>0.2259034391732378</v>
      </c>
      <c r="AU62" s="206">
        <v>0.22750438207029325</v>
      </c>
      <c r="AV62" s="206">
        <v>0.22957641360351774</v>
      </c>
      <c r="AW62" s="207">
        <v>0.23171672507541149</v>
      </c>
      <c r="AX62" s="206">
        <v>0.12489760747338048</v>
      </c>
      <c r="AY62" s="206">
        <v>0.12490481273410257</v>
      </c>
      <c r="AZ62" s="206">
        <v>0.23631261036007209</v>
      </c>
      <c r="BA62" s="206">
        <v>0.22832252260507835</v>
      </c>
      <c r="BB62" s="206">
        <v>0.22842566772579953</v>
      </c>
      <c r="BC62" s="206">
        <v>0.2307356034586879</v>
      </c>
      <c r="BD62" s="206">
        <v>0.23219004250703609</v>
      </c>
      <c r="BE62" s="206">
        <v>0.23438917550091773</v>
      </c>
      <c r="BF62" s="206">
        <v>0.23687112923945705</v>
      </c>
      <c r="BG62" s="206">
        <v>0.23837286795662146</v>
      </c>
      <c r="BH62" s="206">
        <v>0.24060350174858305</v>
      </c>
      <c r="BI62" s="207">
        <v>0.24318644471653375</v>
      </c>
      <c r="BJ62" s="206">
        <v>0.12466703009494932</v>
      </c>
      <c r="BK62" s="206">
        <v>0.12474775359350376</v>
      </c>
      <c r="BL62" s="206">
        <v>0.23631102445852661</v>
      </c>
      <c r="BM62" s="206">
        <v>0.2300233166130641</v>
      </c>
      <c r="BN62" s="206">
        <v>0.23010996907800055</v>
      </c>
      <c r="BO62" s="206">
        <v>0.23241931406295571</v>
      </c>
      <c r="BP62" s="206">
        <v>0.23621546257466908</v>
      </c>
      <c r="BQ62" s="206">
        <v>0.23857251722199266</v>
      </c>
      <c r="BR62" s="206">
        <v>0.24265875465914594</v>
      </c>
      <c r="BS62" s="206">
        <v>0.24420190671702752</v>
      </c>
      <c r="BT62" s="206">
        <v>0.24664285922573592</v>
      </c>
      <c r="BU62" s="207">
        <v>0.24912055933939165</v>
      </c>
      <c r="BV62" s="206">
        <v>0.12692844833149328</v>
      </c>
      <c r="BW62" s="206">
        <v>0.12693882316248883</v>
      </c>
      <c r="BX62" s="206">
        <v>0.24066195090016176</v>
      </c>
      <c r="BY62" s="206">
        <v>0.23425852952257967</v>
      </c>
      <c r="BZ62" s="206">
        <v>0.23424957791123321</v>
      </c>
      <c r="CA62" s="206">
        <v>0.23656190904419372</v>
      </c>
      <c r="CB62" s="206">
        <v>0.24043463313858043</v>
      </c>
      <c r="CC62" s="206">
        <v>0.24592546892233449</v>
      </c>
      <c r="CD62" s="206">
        <v>0.25010232224165835</v>
      </c>
      <c r="CE62" s="206">
        <v>0.25169931914530519</v>
      </c>
      <c r="CF62" s="206">
        <v>0.25581113785983178</v>
      </c>
      <c r="CG62" s="207">
        <v>0.25836008232708541</v>
      </c>
      <c r="CH62" s="206">
        <v>0.12683350581739192</v>
      </c>
      <c r="CI62" s="206">
        <v>0.12684430682428202</v>
      </c>
      <c r="CJ62" s="206">
        <v>0.2405553217722316</v>
      </c>
      <c r="CK62" s="206">
        <v>0.23418791790513738</v>
      </c>
      <c r="CL62" s="206">
        <v>0.23418244653791451</v>
      </c>
      <c r="CM62" s="206">
        <v>0.23649562064926968</v>
      </c>
      <c r="CN62" s="206">
        <v>0.2403853786906241</v>
      </c>
      <c r="CO62" s="206">
        <v>0.24590975549215005</v>
      </c>
      <c r="CP62" s="206">
        <v>0.2500539448007601</v>
      </c>
      <c r="CQ62" s="206">
        <v>0.25492071832582758</v>
      </c>
      <c r="CR62" s="206">
        <v>0.26091222427950267</v>
      </c>
      <c r="CS62" s="207">
        <v>0.26351231759907595</v>
      </c>
    </row>
    <row r="63" spans="1:97" s="206" customFormat="1" x14ac:dyDescent="0.25">
      <c r="A63" s="206" t="s">
        <v>8</v>
      </c>
      <c r="B63" s="206">
        <v>0.15976331360946747</v>
      </c>
      <c r="C63" s="206">
        <v>0.12720156555772993</v>
      </c>
      <c r="D63" s="206">
        <v>0.21088435374149661</v>
      </c>
      <c r="E63" s="206">
        <v>0.21547799696509864</v>
      </c>
      <c r="F63" s="206">
        <v>0.27245508982035926</v>
      </c>
      <c r="G63" s="206">
        <v>0.28830645161290325</v>
      </c>
      <c r="H63" s="206">
        <v>0.27049180327868855</v>
      </c>
      <c r="I63" s="206">
        <v>0.22116903633491311</v>
      </c>
      <c r="J63" s="206">
        <v>0.36568213783403658</v>
      </c>
      <c r="K63" s="206">
        <v>0.24552429667519182</v>
      </c>
      <c r="L63" s="206">
        <v>0.27486187845303867</v>
      </c>
      <c r="M63" s="207">
        <v>0.31700680272108844</v>
      </c>
      <c r="N63" s="208">
        <v>0.13870246085011187</v>
      </c>
      <c r="O63" s="208">
        <v>0.13459399332591768</v>
      </c>
      <c r="P63" s="208">
        <v>0.2257495590828924</v>
      </c>
      <c r="Q63" s="208">
        <v>0.16834400731930466</v>
      </c>
      <c r="R63" s="208">
        <v>0.14027630180658873</v>
      </c>
      <c r="S63" s="208">
        <v>0.20035149384885764</v>
      </c>
      <c r="T63" s="208">
        <v>0.15479452054794521</v>
      </c>
      <c r="U63" s="208">
        <v>0.15946502057613168</v>
      </c>
      <c r="V63" s="206">
        <v>0.20889876229768331</v>
      </c>
      <c r="W63" s="206">
        <v>0.1774037911983235</v>
      </c>
      <c r="X63" s="206">
        <v>0.19729051017710814</v>
      </c>
      <c r="Y63" s="207">
        <v>0.22097968775011018</v>
      </c>
      <c r="Z63" s="206">
        <v>0.1</v>
      </c>
      <c r="AA63" s="206">
        <v>0.1</v>
      </c>
      <c r="AB63" s="206">
        <v>0.19272138275526857</v>
      </c>
      <c r="AC63" s="206">
        <v>0.18725782977908956</v>
      </c>
      <c r="AD63" s="206">
        <v>0.18885556166766351</v>
      </c>
      <c r="AE63" s="206">
        <v>0.19048214694442325</v>
      </c>
      <c r="AF63" s="206">
        <v>0.19273695275944144</v>
      </c>
      <c r="AG63" s="206">
        <v>0.19488200933335276</v>
      </c>
      <c r="AH63" s="206">
        <v>0.19711474496776751</v>
      </c>
      <c r="AI63" s="206">
        <v>0.19903742547872652</v>
      </c>
      <c r="AJ63" s="206">
        <v>0.20102098920414671</v>
      </c>
      <c r="AK63" s="207">
        <v>0.20278723257991677</v>
      </c>
      <c r="AL63" s="206">
        <v>0.10200000000000001</v>
      </c>
      <c r="AM63" s="206">
        <v>0.10200000000000001</v>
      </c>
      <c r="AN63" s="206">
        <v>0.1937535413632484</v>
      </c>
      <c r="AO63" s="206">
        <v>0.18977173145231002</v>
      </c>
      <c r="AP63" s="206">
        <v>0.19066937585221494</v>
      </c>
      <c r="AQ63" s="206">
        <v>0.19258617322165983</v>
      </c>
      <c r="AR63" s="206">
        <v>0.19342107109201293</v>
      </c>
      <c r="AS63" s="206">
        <v>0.19546380555002821</v>
      </c>
      <c r="AT63" s="206">
        <v>0.19707311120442664</v>
      </c>
      <c r="AU63" s="206">
        <v>0.19815582838468371</v>
      </c>
      <c r="AV63" s="206">
        <v>0.20017818787709682</v>
      </c>
      <c r="AW63" s="207">
        <v>0.20212299767457864</v>
      </c>
      <c r="AX63" s="206">
        <v>0.10417411205272233</v>
      </c>
      <c r="AY63" s="206">
        <v>0.10416487360995004</v>
      </c>
      <c r="AZ63" s="206">
        <v>0.20588486218240876</v>
      </c>
      <c r="BA63" s="206">
        <v>0.19918355369079008</v>
      </c>
      <c r="BB63" s="206">
        <v>0.19945287084914726</v>
      </c>
      <c r="BC63" s="206">
        <v>0.20200697888492444</v>
      </c>
      <c r="BD63" s="206">
        <v>0.20341033662066405</v>
      </c>
      <c r="BE63" s="206">
        <v>0.20546863430159568</v>
      </c>
      <c r="BF63" s="206">
        <v>0.20738173832843493</v>
      </c>
      <c r="BG63" s="206">
        <v>0.2087695848387707</v>
      </c>
      <c r="BH63" s="206">
        <v>0.21088298671863726</v>
      </c>
      <c r="BI63" s="207">
        <v>0.21295326234487921</v>
      </c>
      <c r="BJ63" s="206">
        <v>0.10391113691771266</v>
      </c>
      <c r="BK63" s="206">
        <v>0.1039070165185558</v>
      </c>
      <c r="BL63" s="206">
        <v>0.20671820695528237</v>
      </c>
      <c r="BM63" s="206">
        <v>0.20126201036448574</v>
      </c>
      <c r="BN63" s="206">
        <v>0.20124771246804762</v>
      </c>
      <c r="BO63" s="206">
        <v>0.20346918684249804</v>
      </c>
      <c r="BP63" s="206">
        <v>0.20692145835594711</v>
      </c>
      <c r="BQ63" s="206">
        <v>0.20902513716933391</v>
      </c>
      <c r="BR63" s="206">
        <v>0.21250765676645378</v>
      </c>
      <c r="BS63" s="206">
        <v>0.21392490916802523</v>
      </c>
      <c r="BT63" s="206">
        <v>0.21608701573348291</v>
      </c>
      <c r="BU63" s="207">
        <v>0.21827065078053021</v>
      </c>
      <c r="BV63" s="206">
        <v>0.10579375412561866</v>
      </c>
      <c r="BW63" s="206">
        <v>0.10578256357820015</v>
      </c>
      <c r="BX63" s="206">
        <v>0.21050907788517789</v>
      </c>
      <c r="BY63" s="206">
        <v>0.2049969494795465</v>
      </c>
      <c r="BZ63" s="206">
        <v>0.20503048363268211</v>
      </c>
      <c r="CA63" s="206">
        <v>0.20710452311031105</v>
      </c>
      <c r="CB63" s="206">
        <v>0.21057675683516028</v>
      </c>
      <c r="CC63" s="206">
        <v>0.21550477633785761</v>
      </c>
      <c r="CD63" s="206">
        <v>0.21908295192036534</v>
      </c>
      <c r="CE63" s="206">
        <v>0.22053904060031035</v>
      </c>
      <c r="CF63" s="206">
        <v>0.22420556386350007</v>
      </c>
      <c r="CG63" s="207">
        <v>0.22646361761917608</v>
      </c>
      <c r="CH63" s="206">
        <v>0.10571248738245417</v>
      </c>
      <c r="CI63" s="206">
        <v>0.10570243604007466</v>
      </c>
      <c r="CJ63" s="206">
        <v>0.21058471054661204</v>
      </c>
      <c r="CK63" s="206">
        <v>0.20509804269714541</v>
      </c>
      <c r="CL63" s="206">
        <v>0.20513238798388855</v>
      </c>
      <c r="CM63" s="206">
        <v>0.20720497568900564</v>
      </c>
      <c r="CN63" s="206">
        <v>0.21069194783634224</v>
      </c>
      <c r="CO63" s="206">
        <v>0.21565064306931914</v>
      </c>
      <c r="CP63" s="206">
        <v>0.21920014447048222</v>
      </c>
      <c r="CQ63" s="206">
        <v>0.22362076353232041</v>
      </c>
      <c r="CR63" s="206">
        <v>0.22883801013993782</v>
      </c>
      <c r="CS63" s="207">
        <v>0.23114062518238004</v>
      </c>
    </row>
    <row r="64" spans="1:97" s="206" customFormat="1" x14ac:dyDescent="0.25">
      <c r="A64" s="206" t="s">
        <v>1</v>
      </c>
      <c r="B64" s="206">
        <v>0.17166212534059946</v>
      </c>
      <c r="C64" s="206">
        <v>0.13501144164759726</v>
      </c>
      <c r="D64" s="206">
        <v>0.13358778625954199</v>
      </c>
      <c r="E64" s="206">
        <v>0.18791946308724833</v>
      </c>
      <c r="F64" s="206">
        <v>0.25912408759124089</v>
      </c>
      <c r="G64" s="206">
        <v>0.27422303473491771</v>
      </c>
      <c r="H64" s="206">
        <v>0.27969348659003829</v>
      </c>
      <c r="I64" s="206">
        <v>0.22661870503597123</v>
      </c>
      <c r="J64" s="206">
        <v>0.41682974559686886</v>
      </c>
      <c r="K64" s="206">
        <v>0.30629139072847683</v>
      </c>
      <c r="L64" s="206">
        <v>0.31504922644163152</v>
      </c>
      <c r="M64" s="207">
        <v>0.35146443514644349</v>
      </c>
      <c r="N64" s="208">
        <v>0.12421580928481807</v>
      </c>
      <c r="O64" s="208">
        <v>0.12585812356979406</v>
      </c>
      <c r="P64" s="208">
        <v>0.20021186440677965</v>
      </c>
      <c r="Q64" s="208">
        <v>0.17005545286506468</v>
      </c>
      <c r="R64" s="208">
        <v>0.18075801749271136</v>
      </c>
      <c r="S64" s="208">
        <v>0.19633943427620631</v>
      </c>
      <c r="T64" s="208">
        <v>0.13767518549051938</v>
      </c>
      <c r="U64" s="208">
        <v>0.12534309240622141</v>
      </c>
      <c r="V64" s="206">
        <v>0.19530169032166037</v>
      </c>
      <c r="W64" s="206">
        <v>0.1855737876254181</v>
      </c>
      <c r="X64" s="206">
        <v>0.21491128634795464</v>
      </c>
      <c r="Y64" s="207">
        <v>0.23991994578338768</v>
      </c>
      <c r="Z64" s="206">
        <v>9.9999999999999992E-2</v>
      </c>
      <c r="AA64" s="206">
        <v>0.1</v>
      </c>
      <c r="AB64" s="206">
        <v>0.19010798936823917</v>
      </c>
      <c r="AC64" s="206">
        <v>0.18467851859643075</v>
      </c>
      <c r="AD64" s="206">
        <v>0.1868139926488244</v>
      </c>
      <c r="AE64" s="206">
        <v>0.18847129306999957</v>
      </c>
      <c r="AF64" s="206">
        <v>0.19056036027258949</v>
      </c>
      <c r="AG64" s="206">
        <v>0.19243709821944865</v>
      </c>
      <c r="AH64" s="206">
        <v>0.19429744652536915</v>
      </c>
      <c r="AI64" s="206">
        <v>0.19617482824796009</v>
      </c>
      <c r="AJ64" s="206">
        <v>0.19818946497250042</v>
      </c>
      <c r="AK64" s="207">
        <v>0.19974694757805075</v>
      </c>
      <c r="AL64" s="206">
        <v>0.10200000000000001</v>
      </c>
      <c r="AM64" s="206">
        <v>0.10200000000000001</v>
      </c>
      <c r="AN64" s="206">
        <v>0.19120208820120355</v>
      </c>
      <c r="AO64" s="206">
        <v>0.18742297176103245</v>
      </c>
      <c r="AP64" s="206">
        <v>0.18854912947756386</v>
      </c>
      <c r="AQ64" s="206">
        <v>0.19027155769251561</v>
      </c>
      <c r="AR64" s="206">
        <v>0.19140785788956832</v>
      </c>
      <c r="AS64" s="206">
        <v>0.19341754592587704</v>
      </c>
      <c r="AT64" s="206">
        <v>0.19523172890735596</v>
      </c>
      <c r="AU64" s="206">
        <v>0.19640284834788668</v>
      </c>
      <c r="AV64" s="206">
        <v>0.19838747663573561</v>
      </c>
      <c r="AW64" s="207">
        <v>0.19996925512159489</v>
      </c>
      <c r="AX64" s="206">
        <v>0.10453518387199844</v>
      </c>
      <c r="AY64" s="206">
        <v>0.10448841858100558</v>
      </c>
      <c r="AZ64" s="206">
        <v>0.20437664201500744</v>
      </c>
      <c r="BA64" s="206">
        <v>0.19691542776332358</v>
      </c>
      <c r="BB64" s="206">
        <v>0.19691723424717786</v>
      </c>
      <c r="BC64" s="206">
        <v>0.19880483111958119</v>
      </c>
      <c r="BD64" s="206">
        <v>0.20004346715264176</v>
      </c>
      <c r="BE64" s="206">
        <v>0.20203639421045741</v>
      </c>
      <c r="BF64" s="206">
        <v>0.20392694231090072</v>
      </c>
      <c r="BG64" s="206">
        <v>0.20518226863329797</v>
      </c>
      <c r="BH64" s="206">
        <v>0.20722519617990801</v>
      </c>
      <c r="BI64" s="207">
        <v>0.20907751578598752</v>
      </c>
      <c r="BJ64" s="206">
        <v>0.10453113410363372</v>
      </c>
      <c r="BK64" s="206">
        <v>0.10448842218474694</v>
      </c>
      <c r="BL64" s="206">
        <v>0.20449061879830863</v>
      </c>
      <c r="BM64" s="206">
        <v>0.198750129279645</v>
      </c>
      <c r="BN64" s="206">
        <v>0.19878226383992581</v>
      </c>
      <c r="BO64" s="206">
        <v>0.20078216611133354</v>
      </c>
      <c r="BP64" s="206">
        <v>0.20392803887939984</v>
      </c>
      <c r="BQ64" s="206">
        <v>0.20601309699885581</v>
      </c>
      <c r="BR64" s="206">
        <v>0.20990862959406759</v>
      </c>
      <c r="BS64" s="206">
        <v>0.21104320712860811</v>
      </c>
      <c r="BT64" s="206">
        <v>0.21311964841754064</v>
      </c>
      <c r="BU64" s="207">
        <v>0.21499682856525407</v>
      </c>
      <c r="BV64" s="206">
        <v>0.10718709480553572</v>
      </c>
      <c r="BW64" s="206">
        <v>0.10709508352496873</v>
      </c>
      <c r="BX64" s="206">
        <v>0.20924199588664638</v>
      </c>
      <c r="BY64" s="206">
        <v>0.20332568930227543</v>
      </c>
      <c r="BZ64" s="206">
        <v>0.20337928130446942</v>
      </c>
      <c r="CA64" s="206">
        <v>0.20540664174138684</v>
      </c>
      <c r="CB64" s="206">
        <v>0.20857931161636503</v>
      </c>
      <c r="CC64" s="206">
        <v>0.21298242573608853</v>
      </c>
      <c r="CD64" s="206">
        <v>0.21700092937165372</v>
      </c>
      <c r="CE64" s="206">
        <v>0.21815834127952768</v>
      </c>
      <c r="CF64" s="206">
        <v>0.22149588057779288</v>
      </c>
      <c r="CG64" s="207">
        <v>0.22345836884978582</v>
      </c>
      <c r="CH64" s="206">
        <v>0.10718540933009134</v>
      </c>
      <c r="CI64" s="206">
        <v>0.10709025018116454</v>
      </c>
      <c r="CJ64" s="206">
        <v>0.20924744159524669</v>
      </c>
      <c r="CK64" s="206">
        <v>0.20333226026799542</v>
      </c>
      <c r="CL64" s="206">
        <v>0.20338515126528128</v>
      </c>
      <c r="CM64" s="206">
        <v>0.20541342584178737</v>
      </c>
      <c r="CN64" s="206">
        <v>0.20858840055651015</v>
      </c>
      <c r="CO64" s="206">
        <v>0.21299590973213076</v>
      </c>
      <c r="CP64" s="206">
        <v>0.21701447517457176</v>
      </c>
      <c r="CQ64" s="206">
        <v>0.22052457580258245</v>
      </c>
      <c r="CR64" s="206">
        <v>0.2259429393828484</v>
      </c>
      <c r="CS64" s="207">
        <v>0.22793213185484923</v>
      </c>
    </row>
    <row r="65" spans="1:97" s="206" customFormat="1" x14ac:dyDescent="0.25">
      <c r="A65" s="206" t="s">
        <v>2</v>
      </c>
      <c r="B65" s="206">
        <v>0.1419753086419753</v>
      </c>
      <c r="C65" s="206">
        <v>0.10119047619047619</v>
      </c>
      <c r="D65" s="206">
        <v>0.11976047904191617</v>
      </c>
      <c r="E65" s="206">
        <v>0.12650602409638553</v>
      </c>
      <c r="F65" s="206">
        <v>0.21243523316062177</v>
      </c>
      <c r="G65" s="206">
        <v>0.16949152542372881</v>
      </c>
      <c r="H65" s="206">
        <v>0.19130434782608696</v>
      </c>
      <c r="I65" s="206">
        <v>0.21224489795918366</v>
      </c>
      <c r="J65" s="206">
        <v>0.40357142857142858</v>
      </c>
      <c r="K65" s="206">
        <v>0.25</v>
      </c>
      <c r="L65" s="206">
        <v>0.38109756097560976</v>
      </c>
      <c r="M65" s="207">
        <v>0.36269430051813473</v>
      </c>
      <c r="N65" s="208">
        <v>0.12337662337662338</v>
      </c>
      <c r="O65" s="208">
        <v>9.7014925373134331E-2</v>
      </c>
      <c r="P65" s="208">
        <v>0.19343065693430658</v>
      </c>
      <c r="Q65" s="208">
        <v>0.13665594855305466</v>
      </c>
      <c r="R65" s="208">
        <v>0.14650537634408603</v>
      </c>
      <c r="S65" s="208">
        <v>0.22493573264781491</v>
      </c>
      <c r="T65" s="208">
        <v>0.1425233644859813</v>
      </c>
      <c r="U65" s="208">
        <v>0.14558979808714134</v>
      </c>
      <c r="V65" s="206">
        <v>0.17510448278851989</v>
      </c>
      <c r="W65" s="206">
        <v>0.16511790606241739</v>
      </c>
      <c r="X65" s="206">
        <v>0.19468056013956339</v>
      </c>
      <c r="Y65" s="207">
        <v>0.21997992415792994</v>
      </c>
      <c r="Z65" s="206">
        <v>0.1</v>
      </c>
      <c r="AA65" s="206">
        <v>9.9999999999999992E-2</v>
      </c>
      <c r="AB65" s="206">
        <v>0.19120386710657561</v>
      </c>
      <c r="AC65" s="206">
        <v>0.18583849874250336</v>
      </c>
      <c r="AD65" s="206">
        <v>0.18825112350597611</v>
      </c>
      <c r="AE65" s="206">
        <v>0.19119522335397382</v>
      </c>
      <c r="AF65" s="206">
        <v>0.1937313536964296</v>
      </c>
      <c r="AG65" s="206">
        <v>0.19612841261709291</v>
      </c>
      <c r="AH65" s="206">
        <v>0.19805856493150573</v>
      </c>
      <c r="AI65" s="206">
        <v>0.20018721046046312</v>
      </c>
      <c r="AJ65" s="206">
        <v>0.2019586919639253</v>
      </c>
      <c r="AK65" s="207">
        <v>0.20367274338448563</v>
      </c>
      <c r="AL65" s="206">
        <v>0.10199999999999999</v>
      </c>
      <c r="AM65" s="206">
        <v>0.10200000000000001</v>
      </c>
      <c r="AN65" s="206">
        <v>0.19315546310572645</v>
      </c>
      <c r="AO65" s="206">
        <v>0.18907206042200997</v>
      </c>
      <c r="AP65" s="206">
        <v>0.19014545193164556</v>
      </c>
      <c r="AQ65" s="206">
        <v>0.19217075608631529</v>
      </c>
      <c r="AR65" s="206">
        <v>0.19328732446232649</v>
      </c>
      <c r="AS65" s="206">
        <v>0.1953134513507801</v>
      </c>
      <c r="AT65" s="206">
        <v>0.19729527287197648</v>
      </c>
      <c r="AU65" s="206">
        <v>0.19852649647682657</v>
      </c>
      <c r="AV65" s="206">
        <v>0.20053479911448607</v>
      </c>
      <c r="AW65" s="207">
        <v>0.20252098020458484</v>
      </c>
      <c r="AX65" s="206">
        <v>0.10411488070283692</v>
      </c>
      <c r="AY65" s="206">
        <v>0.10412921948192773</v>
      </c>
      <c r="AZ65" s="206">
        <v>0.20585388916695982</v>
      </c>
      <c r="BA65" s="206">
        <v>0.19853771327616465</v>
      </c>
      <c r="BB65" s="206">
        <v>0.19851586909222879</v>
      </c>
      <c r="BC65" s="206">
        <v>0.20023606583223105</v>
      </c>
      <c r="BD65" s="206">
        <v>0.20108664385964617</v>
      </c>
      <c r="BE65" s="206">
        <v>0.20315345649078131</v>
      </c>
      <c r="BF65" s="206">
        <v>0.20512565952806786</v>
      </c>
      <c r="BG65" s="206">
        <v>0.20604140063831614</v>
      </c>
      <c r="BH65" s="206">
        <v>0.20821477578961911</v>
      </c>
      <c r="BI65" s="207">
        <v>0.21026236030248668</v>
      </c>
      <c r="BJ65" s="206">
        <v>0.10432942696416625</v>
      </c>
      <c r="BK65" s="206">
        <v>0.10430093277131101</v>
      </c>
      <c r="BL65" s="206">
        <v>0.20534755419869627</v>
      </c>
      <c r="BM65" s="206">
        <v>0.19997663958644984</v>
      </c>
      <c r="BN65" s="206">
        <v>0.20030447952585526</v>
      </c>
      <c r="BO65" s="206">
        <v>0.20239946350059471</v>
      </c>
      <c r="BP65" s="206">
        <v>0.20583417728095346</v>
      </c>
      <c r="BQ65" s="206">
        <v>0.20791123538280754</v>
      </c>
      <c r="BR65" s="206">
        <v>0.21151071525029375</v>
      </c>
      <c r="BS65" s="206">
        <v>0.21282477332402713</v>
      </c>
      <c r="BT65" s="206">
        <v>0.21495236744410587</v>
      </c>
      <c r="BU65" s="207">
        <v>0.2170549219897894</v>
      </c>
      <c r="BV65" s="206">
        <v>0.10630490336265995</v>
      </c>
      <c r="BW65" s="206">
        <v>0.10631554371562224</v>
      </c>
      <c r="BX65" s="206">
        <v>0.20999666117493079</v>
      </c>
      <c r="BY65" s="206">
        <v>0.20437506029676608</v>
      </c>
      <c r="BZ65" s="206">
        <v>0.20443980127897984</v>
      </c>
      <c r="CA65" s="206">
        <v>0.20649091254071758</v>
      </c>
      <c r="CB65" s="206">
        <v>0.20986629506797447</v>
      </c>
      <c r="CC65" s="206">
        <v>0.21458877194510398</v>
      </c>
      <c r="CD65" s="206">
        <v>0.21834950428508579</v>
      </c>
      <c r="CE65" s="206">
        <v>0.21971931061669642</v>
      </c>
      <c r="CF65" s="206">
        <v>0.22327904879696367</v>
      </c>
      <c r="CG65" s="207">
        <v>0.22552815434019102</v>
      </c>
      <c r="CH65" s="206">
        <v>0.10617344639441119</v>
      </c>
      <c r="CI65" s="206">
        <v>0.10617550754314946</v>
      </c>
      <c r="CJ65" s="206">
        <v>0.21013366548791065</v>
      </c>
      <c r="CK65" s="206">
        <v>0.20453216126409887</v>
      </c>
      <c r="CL65" s="206">
        <v>0.20459693011449337</v>
      </c>
      <c r="CM65" s="206">
        <v>0.20664642692181964</v>
      </c>
      <c r="CN65" s="206">
        <v>0.21000702981173786</v>
      </c>
      <c r="CO65" s="206">
        <v>0.21476702455776833</v>
      </c>
      <c r="CP65" s="206">
        <v>0.21849287184035743</v>
      </c>
      <c r="CQ65" s="206">
        <v>0.22263913240460265</v>
      </c>
      <c r="CR65" s="206">
        <v>0.22792497393059113</v>
      </c>
      <c r="CS65" s="207">
        <v>0.23021774627134498</v>
      </c>
    </row>
    <row r="66" spans="1:97" s="241" customFormat="1" x14ac:dyDescent="0.25">
      <c r="A66" s="241" t="s">
        <v>3</v>
      </c>
      <c r="B66" s="241">
        <v>0.22315705128205129</v>
      </c>
      <c r="C66" s="241">
        <v>0.17981438515081208</v>
      </c>
      <c r="D66" s="241">
        <v>0.22887700534759359</v>
      </c>
      <c r="E66" s="241">
        <v>0.23747207149696775</v>
      </c>
      <c r="F66" s="241">
        <v>0.28923177938279709</v>
      </c>
      <c r="G66" s="241">
        <v>0.3218316672041277</v>
      </c>
      <c r="H66" s="241">
        <v>0.32555164694595456</v>
      </c>
      <c r="I66" s="241">
        <v>0.25098039215686274</v>
      </c>
      <c r="J66" s="241">
        <v>0.3941057497832996</v>
      </c>
      <c r="K66" s="241">
        <v>0.30958904109589042</v>
      </c>
      <c r="L66" s="241">
        <v>0.34125</v>
      </c>
      <c r="M66" s="250">
        <v>0.38085984940490647</v>
      </c>
      <c r="N66" s="251">
        <v>0.15279114533205004</v>
      </c>
      <c r="O66" s="251">
        <v>0.15244652077698551</v>
      </c>
      <c r="P66" s="251">
        <v>0.2579750346740638</v>
      </c>
      <c r="Q66" s="251">
        <v>0.21731409544950056</v>
      </c>
      <c r="R66" s="251">
        <v>0.22068965517241379</v>
      </c>
      <c r="S66" s="251">
        <v>0.28303832273586527</v>
      </c>
      <c r="T66" s="251">
        <v>0.20678768745067089</v>
      </c>
      <c r="U66" s="251">
        <v>0.20373027259684362</v>
      </c>
      <c r="V66" s="241">
        <v>0.25747058535268463</v>
      </c>
      <c r="W66" s="241">
        <v>0.24182216174390408</v>
      </c>
      <c r="X66" s="241">
        <v>0.26068379367033129</v>
      </c>
      <c r="Y66" s="250">
        <v>0.27774197171743908</v>
      </c>
      <c r="Z66" s="241">
        <v>0.11533907202711635</v>
      </c>
      <c r="AA66" s="241">
        <v>0.11059076128600601</v>
      </c>
      <c r="AB66" s="241">
        <v>0.21544985625935578</v>
      </c>
      <c r="AC66" s="241">
        <v>0.21220653281955817</v>
      </c>
      <c r="AD66" s="241">
        <v>0.21846230582855145</v>
      </c>
      <c r="AE66" s="241">
        <v>0.22474807097317945</v>
      </c>
      <c r="AF66" s="241">
        <v>0.22256217480996743</v>
      </c>
      <c r="AG66" s="241">
        <v>0.22562205437872304</v>
      </c>
      <c r="AH66" s="241">
        <v>0.22925674662383244</v>
      </c>
      <c r="AI66" s="241">
        <v>0.22784400325480014</v>
      </c>
      <c r="AJ66" s="241">
        <v>0.23051047976034242</v>
      </c>
      <c r="AK66" s="250">
        <v>0.2337157226470836</v>
      </c>
      <c r="AL66" s="241">
        <v>0.116349789889701</v>
      </c>
      <c r="AM66" s="241">
        <v>0.11245292450552885</v>
      </c>
      <c r="AN66" s="241">
        <v>0.21913815719347357</v>
      </c>
      <c r="AO66" s="241">
        <v>0.21717542206298204</v>
      </c>
      <c r="AP66" s="241">
        <v>0.22134307888756258</v>
      </c>
      <c r="AQ66" s="241">
        <v>0.22419359861940863</v>
      </c>
      <c r="AR66" s="241">
        <v>0.22319083689752817</v>
      </c>
      <c r="AS66" s="241">
        <v>0.22609194468126748</v>
      </c>
      <c r="AT66" s="241">
        <v>0.22849763551794608</v>
      </c>
      <c r="AU66" s="241">
        <v>0.22732379928889174</v>
      </c>
      <c r="AV66" s="241">
        <v>0.23033576708960782</v>
      </c>
      <c r="AW66" s="250">
        <v>0.23278248594507778</v>
      </c>
      <c r="AX66" s="241">
        <v>0.118408184530822</v>
      </c>
      <c r="AY66" s="241">
        <v>0.11467178045300155</v>
      </c>
      <c r="AZ66" s="241">
        <v>0.23457079414939314</v>
      </c>
      <c r="BA66" s="241">
        <v>0.23047454670763545</v>
      </c>
      <c r="BB66" s="241">
        <v>0.23249874298381731</v>
      </c>
      <c r="BC66" s="241">
        <v>0.23414734175181967</v>
      </c>
      <c r="BD66" s="241">
        <v>0.23463350018586751</v>
      </c>
      <c r="BE66" s="241">
        <v>0.23641645088817526</v>
      </c>
      <c r="BF66" s="241">
        <v>0.23813875635986984</v>
      </c>
      <c r="BG66" s="241">
        <v>0.23835118442392283</v>
      </c>
      <c r="BH66" s="241">
        <v>0.24047627201441252</v>
      </c>
      <c r="BI66" s="250">
        <v>0.24308425641548412</v>
      </c>
      <c r="BJ66" s="241">
        <v>0.11780289464755049</v>
      </c>
      <c r="BK66" s="241">
        <v>0.11421340715144644</v>
      </c>
      <c r="BL66" s="241">
        <v>0.23315060569579732</v>
      </c>
      <c r="BM66" s="241">
        <v>0.2304046337314675</v>
      </c>
      <c r="BN66" s="241">
        <v>0.23245433914510455</v>
      </c>
      <c r="BO66" s="241">
        <v>0.23413608526791163</v>
      </c>
      <c r="BP66" s="241">
        <v>0.23719421617929015</v>
      </c>
      <c r="BQ66" s="241">
        <v>0.23923321170692652</v>
      </c>
      <c r="BR66" s="241">
        <v>0.24286292802699191</v>
      </c>
      <c r="BS66" s="241">
        <v>0.24332646305095404</v>
      </c>
      <c r="BT66" s="241">
        <v>0.2456633573963026</v>
      </c>
      <c r="BU66" s="250">
        <v>0.24807887785466767</v>
      </c>
      <c r="BV66" s="241">
        <v>0.11968308028797149</v>
      </c>
      <c r="BW66" s="241">
        <v>0.11637120702845567</v>
      </c>
      <c r="BX66" s="241">
        <v>0.23757566887397003</v>
      </c>
      <c r="BY66" s="241">
        <v>0.23496382934807669</v>
      </c>
      <c r="BZ66" s="241">
        <v>0.23732745889510171</v>
      </c>
      <c r="CA66" s="241">
        <v>0.23899111209105875</v>
      </c>
      <c r="CB66" s="241">
        <v>0.24225601375148681</v>
      </c>
      <c r="CC66" s="241">
        <v>0.24730975490326945</v>
      </c>
      <c r="CD66" s="241">
        <v>0.25101054529206351</v>
      </c>
      <c r="CE66" s="241">
        <v>0.25166690140128328</v>
      </c>
      <c r="CF66" s="241">
        <v>0.2556321596546689</v>
      </c>
      <c r="CG66" s="250">
        <v>0.25819096120767154</v>
      </c>
      <c r="CH66" s="241">
        <v>0.11976500845383248</v>
      </c>
      <c r="CI66" s="241">
        <v>0.11638094678984018</v>
      </c>
      <c r="CJ66" s="241">
        <v>0.2378060976886498</v>
      </c>
      <c r="CK66" s="241">
        <v>0.23513946239527472</v>
      </c>
      <c r="CL66" s="241">
        <v>0.23742250421776914</v>
      </c>
      <c r="CM66" s="241">
        <v>0.23900345488585309</v>
      </c>
      <c r="CN66" s="241">
        <v>0.24221124054450552</v>
      </c>
      <c r="CO66" s="241">
        <v>0.24730562959503904</v>
      </c>
      <c r="CP66" s="241">
        <v>0.25096820785207158</v>
      </c>
      <c r="CQ66" s="241">
        <v>0.25472973970952245</v>
      </c>
      <c r="CR66" s="241">
        <v>0.26068426966398256</v>
      </c>
      <c r="CS66" s="250">
        <v>0.26326346607615897</v>
      </c>
    </row>
    <row r="68" spans="1:97" s="194" customFormat="1" x14ac:dyDescent="0.25">
      <c r="A68" s="72"/>
      <c r="B68" s="72">
        <v>1</v>
      </c>
      <c r="C68" s="190">
        <v>2</v>
      </c>
      <c r="D68" s="190">
        <v>3</v>
      </c>
      <c r="E68" s="190">
        <v>4</v>
      </c>
      <c r="F68" s="190">
        <v>5</v>
      </c>
      <c r="G68" s="190">
        <v>6</v>
      </c>
      <c r="H68" s="190">
        <v>7</v>
      </c>
      <c r="I68" s="190">
        <v>8</v>
      </c>
      <c r="J68" s="190">
        <v>9</v>
      </c>
      <c r="K68" s="190">
        <v>10</v>
      </c>
      <c r="L68" s="190">
        <v>11</v>
      </c>
      <c r="M68" s="191">
        <v>12</v>
      </c>
      <c r="N68" s="193">
        <v>13</v>
      </c>
      <c r="O68" s="193">
        <v>14</v>
      </c>
      <c r="P68" s="193">
        <v>15</v>
      </c>
      <c r="Q68" s="193">
        <v>16</v>
      </c>
      <c r="R68" s="193">
        <v>17</v>
      </c>
      <c r="S68" s="193">
        <v>18</v>
      </c>
      <c r="T68" s="193">
        <v>19</v>
      </c>
      <c r="U68" s="193">
        <v>20</v>
      </c>
      <c r="V68" s="190">
        <v>21</v>
      </c>
      <c r="W68" s="190">
        <v>22</v>
      </c>
      <c r="X68" s="190">
        <v>23</v>
      </c>
      <c r="Y68" s="191">
        <v>24</v>
      </c>
      <c r="Z68" s="190">
        <v>25</v>
      </c>
      <c r="AA68" s="190">
        <v>26</v>
      </c>
      <c r="AB68" s="190">
        <v>27</v>
      </c>
      <c r="AC68" s="190">
        <v>28</v>
      </c>
      <c r="AD68" s="190">
        <v>29</v>
      </c>
      <c r="AE68" s="190">
        <v>30</v>
      </c>
      <c r="AF68" s="190">
        <v>31</v>
      </c>
      <c r="AG68" s="190">
        <v>32</v>
      </c>
      <c r="AH68" s="190">
        <v>33</v>
      </c>
      <c r="AI68" s="190">
        <v>34</v>
      </c>
      <c r="AJ68" s="190">
        <v>35</v>
      </c>
      <c r="AK68" s="191">
        <v>36</v>
      </c>
      <c r="AL68" s="190">
        <v>37</v>
      </c>
      <c r="AM68" s="190">
        <v>38</v>
      </c>
      <c r="AN68" s="190">
        <v>39</v>
      </c>
      <c r="AO68" s="190">
        <v>40</v>
      </c>
      <c r="AP68" s="190">
        <v>41</v>
      </c>
      <c r="AQ68" s="190">
        <v>42</v>
      </c>
      <c r="AR68" s="190">
        <v>43</v>
      </c>
      <c r="AS68" s="190">
        <v>44</v>
      </c>
      <c r="AT68" s="190">
        <v>45</v>
      </c>
      <c r="AU68" s="190">
        <v>46</v>
      </c>
      <c r="AV68" s="190">
        <v>47</v>
      </c>
      <c r="AW68" s="191">
        <v>48</v>
      </c>
      <c r="AX68" s="190">
        <v>49</v>
      </c>
      <c r="AY68" s="190">
        <v>50</v>
      </c>
      <c r="AZ68" s="190">
        <v>51</v>
      </c>
      <c r="BA68" s="190">
        <v>52</v>
      </c>
      <c r="BB68" s="190">
        <v>53</v>
      </c>
      <c r="BC68" s="190">
        <v>54</v>
      </c>
      <c r="BD68" s="190">
        <v>55</v>
      </c>
      <c r="BE68" s="190">
        <v>56</v>
      </c>
      <c r="BF68" s="190">
        <v>57</v>
      </c>
      <c r="BG68" s="190">
        <v>58</v>
      </c>
      <c r="BH68" s="190">
        <v>59</v>
      </c>
      <c r="BI68" s="191">
        <v>60</v>
      </c>
      <c r="BJ68" s="190">
        <v>61</v>
      </c>
      <c r="BK68" s="190">
        <v>62</v>
      </c>
      <c r="BL68" s="190">
        <v>63</v>
      </c>
      <c r="BM68" s="190">
        <v>64</v>
      </c>
      <c r="BN68" s="190">
        <v>65</v>
      </c>
      <c r="BO68" s="190">
        <v>66</v>
      </c>
      <c r="BP68" s="190">
        <v>67</v>
      </c>
      <c r="BQ68" s="190">
        <v>68</v>
      </c>
      <c r="BR68" s="190">
        <v>69</v>
      </c>
      <c r="BS68" s="190">
        <v>70</v>
      </c>
      <c r="BT68" s="190">
        <v>71</v>
      </c>
      <c r="BU68" s="191">
        <v>72</v>
      </c>
      <c r="BV68" s="190">
        <v>73</v>
      </c>
      <c r="BW68" s="190">
        <v>74</v>
      </c>
      <c r="BX68" s="190">
        <v>75</v>
      </c>
      <c r="BY68" s="190">
        <v>76</v>
      </c>
      <c r="BZ68" s="190">
        <v>77</v>
      </c>
      <c r="CA68" s="190">
        <v>78</v>
      </c>
      <c r="CB68" s="190">
        <v>79</v>
      </c>
      <c r="CC68" s="190">
        <v>80</v>
      </c>
      <c r="CD68" s="190">
        <v>81</v>
      </c>
      <c r="CE68" s="190">
        <v>82</v>
      </c>
      <c r="CF68" s="190">
        <v>83</v>
      </c>
      <c r="CG68" s="191">
        <v>84</v>
      </c>
      <c r="CH68" s="190">
        <v>85</v>
      </c>
      <c r="CI68" s="190">
        <v>86</v>
      </c>
      <c r="CJ68" s="190">
        <v>87</v>
      </c>
      <c r="CK68" s="190">
        <v>88</v>
      </c>
      <c r="CL68" s="190">
        <v>89</v>
      </c>
      <c r="CM68" s="190">
        <v>90</v>
      </c>
      <c r="CN68" s="190">
        <v>91</v>
      </c>
      <c r="CO68" s="190">
        <v>92</v>
      </c>
      <c r="CP68" s="190">
        <v>93</v>
      </c>
      <c r="CQ68" s="190">
        <v>94</v>
      </c>
      <c r="CR68" s="190">
        <v>95</v>
      </c>
      <c r="CS68" s="191">
        <v>96</v>
      </c>
    </row>
    <row r="69" spans="1:97" s="227" customFormat="1" x14ac:dyDescent="0.25">
      <c r="A69" s="227" t="s">
        <v>12</v>
      </c>
      <c r="B69" s="228">
        <v>42005</v>
      </c>
      <c r="C69" s="228">
        <v>42036</v>
      </c>
      <c r="D69" s="228">
        <v>42064</v>
      </c>
      <c r="E69" s="228">
        <v>42095</v>
      </c>
      <c r="F69" s="228">
        <v>42125</v>
      </c>
      <c r="G69" s="228">
        <v>42156</v>
      </c>
      <c r="H69" s="228">
        <v>42186</v>
      </c>
      <c r="I69" s="228">
        <v>42217</v>
      </c>
      <c r="J69" s="228">
        <v>42248</v>
      </c>
      <c r="K69" s="228">
        <v>42278</v>
      </c>
      <c r="L69" s="228">
        <v>42309</v>
      </c>
      <c r="M69" s="229">
        <v>42339</v>
      </c>
      <c r="N69" s="230">
        <v>42370</v>
      </c>
      <c r="O69" s="230">
        <v>42401</v>
      </c>
      <c r="P69" s="230">
        <v>42430</v>
      </c>
      <c r="Q69" s="230">
        <v>42461</v>
      </c>
      <c r="R69" s="230">
        <v>42491</v>
      </c>
      <c r="S69" s="230">
        <v>42522</v>
      </c>
      <c r="T69" s="230">
        <v>42552</v>
      </c>
      <c r="U69" s="230">
        <v>42583</v>
      </c>
      <c r="V69" s="228">
        <v>42614</v>
      </c>
      <c r="W69" s="228">
        <v>42644</v>
      </c>
      <c r="X69" s="228">
        <v>42675</v>
      </c>
      <c r="Y69" s="229">
        <v>42705</v>
      </c>
      <c r="Z69" s="228">
        <v>42752</v>
      </c>
      <c r="AA69" s="228">
        <v>42783</v>
      </c>
      <c r="AB69" s="228">
        <v>42811</v>
      </c>
      <c r="AC69" s="228">
        <v>42842</v>
      </c>
      <c r="AD69" s="228">
        <v>42872</v>
      </c>
      <c r="AE69" s="228">
        <v>42903</v>
      </c>
      <c r="AF69" s="228">
        <v>42933</v>
      </c>
      <c r="AG69" s="228">
        <v>42964</v>
      </c>
      <c r="AH69" s="228">
        <v>42995</v>
      </c>
      <c r="AI69" s="228">
        <v>43025</v>
      </c>
      <c r="AJ69" s="228">
        <v>43056</v>
      </c>
      <c r="AK69" s="229">
        <v>43086</v>
      </c>
      <c r="AL69" s="228">
        <v>43118</v>
      </c>
      <c r="AM69" s="228">
        <v>43149</v>
      </c>
      <c r="AN69" s="228">
        <v>43177</v>
      </c>
      <c r="AO69" s="228">
        <v>43208</v>
      </c>
      <c r="AP69" s="228">
        <v>43238</v>
      </c>
      <c r="AQ69" s="228">
        <v>43269</v>
      </c>
      <c r="AR69" s="228">
        <v>43299</v>
      </c>
      <c r="AS69" s="228">
        <v>43330</v>
      </c>
      <c r="AT69" s="228">
        <v>43361</v>
      </c>
      <c r="AU69" s="228">
        <v>43391</v>
      </c>
      <c r="AV69" s="228">
        <v>43422</v>
      </c>
      <c r="AW69" s="229">
        <v>43452</v>
      </c>
      <c r="AX69" s="228">
        <v>43483</v>
      </c>
      <c r="AY69" s="228">
        <v>43514</v>
      </c>
      <c r="AZ69" s="228">
        <v>43542</v>
      </c>
      <c r="BA69" s="228">
        <v>43573</v>
      </c>
      <c r="BB69" s="228">
        <v>43603</v>
      </c>
      <c r="BC69" s="228">
        <v>43634</v>
      </c>
      <c r="BD69" s="228">
        <v>43664</v>
      </c>
      <c r="BE69" s="228">
        <v>43695</v>
      </c>
      <c r="BF69" s="228">
        <v>43726</v>
      </c>
      <c r="BG69" s="228">
        <v>43756</v>
      </c>
      <c r="BH69" s="228">
        <v>43787</v>
      </c>
      <c r="BI69" s="229">
        <v>43817</v>
      </c>
      <c r="BJ69" s="228">
        <v>43848</v>
      </c>
      <c r="BK69" s="228">
        <v>43879</v>
      </c>
      <c r="BL69" s="228">
        <v>43908</v>
      </c>
      <c r="BM69" s="228">
        <v>43939</v>
      </c>
      <c r="BN69" s="228">
        <v>43969</v>
      </c>
      <c r="BO69" s="228">
        <v>44000</v>
      </c>
      <c r="BP69" s="228">
        <v>44030</v>
      </c>
      <c r="BQ69" s="228">
        <v>44061</v>
      </c>
      <c r="BR69" s="228">
        <v>44092</v>
      </c>
      <c r="BS69" s="228">
        <v>44122</v>
      </c>
      <c r="BT69" s="228">
        <v>44153</v>
      </c>
      <c r="BU69" s="229">
        <v>44183</v>
      </c>
      <c r="BV69" s="228">
        <v>44214</v>
      </c>
      <c r="BW69" s="228">
        <v>44245</v>
      </c>
      <c r="BX69" s="228">
        <v>44273</v>
      </c>
      <c r="BY69" s="228">
        <v>44304</v>
      </c>
      <c r="BZ69" s="228">
        <v>44334</v>
      </c>
      <c r="CA69" s="228">
        <v>44365</v>
      </c>
      <c r="CB69" s="228">
        <v>44395</v>
      </c>
      <c r="CC69" s="228">
        <v>44426</v>
      </c>
      <c r="CD69" s="228">
        <v>44457</v>
      </c>
      <c r="CE69" s="228">
        <v>44487</v>
      </c>
      <c r="CF69" s="228">
        <v>44518</v>
      </c>
      <c r="CG69" s="229">
        <v>44548</v>
      </c>
      <c r="CH69" s="228">
        <v>44579</v>
      </c>
      <c r="CI69" s="228">
        <v>44610</v>
      </c>
      <c r="CJ69" s="228">
        <v>44638</v>
      </c>
      <c r="CK69" s="228">
        <v>44669</v>
      </c>
      <c r="CL69" s="228">
        <v>44699</v>
      </c>
      <c r="CM69" s="228">
        <v>44730</v>
      </c>
      <c r="CN69" s="228">
        <v>44760</v>
      </c>
      <c r="CO69" s="228">
        <v>44791</v>
      </c>
      <c r="CP69" s="228">
        <v>44822</v>
      </c>
      <c r="CQ69" s="228">
        <v>44852</v>
      </c>
      <c r="CR69" s="228">
        <v>44883</v>
      </c>
      <c r="CS69" s="229">
        <v>44913</v>
      </c>
    </row>
    <row r="70" spans="1:97" s="209" customFormat="1" x14ac:dyDescent="0.25">
      <c r="A70" s="209" t="s">
        <v>4</v>
      </c>
      <c r="B70" s="209">
        <v>82</v>
      </c>
      <c r="C70" s="209">
        <v>66</v>
      </c>
      <c r="D70" s="209">
        <v>156</v>
      </c>
      <c r="E70" s="209">
        <v>169</v>
      </c>
      <c r="F70" s="209">
        <v>118.5</v>
      </c>
      <c r="G70" s="209">
        <v>147.5</v>
      </c>
      <c r="H70" s="209">
        <v>172</v>
      </c>
      <c r="I70" s="209">
        <v>93.5</v>
      </c>
      <c r="J70" s="209">
        <v>193.5</v>
      </c>
      <c r="K70" s="209">
        <v>175.5</v>
      </c>
      <c r="L70" s="209">
        <v>178</v>
      </c>
      <c r="M70" s="210">
        <v>292.5</v>
      </c>
      <c r="N70" s="205">
        <v>64</v>
      </c>
      <c r="O70" s="205">
        <v>67</v>
      </c>
      <c r="P70" s="205">
        <v>164</v>
      </c>
      <c r="Q70" s="205">
        <v>177</v>
      </c>
      <c r="R70" s="205">
        <v>112</v>
      </c>
      <c r="S70" s="205">
        <v>134</v>
      </c>
      <c r="T70" s="205">
        <v>110</v>
      </c>
      <c r="U70" s="205">
        <v>103.5</v>
      </c>
      <c r="V70" s="209">
        <v>178.65600000000001</v>
      </c>
      <c r="W70" s="209">
        <v>147.22399999999999</v>
      </c>
      <c r="X70" s="209">
        <v>182.78</v>
      </c>
      <c r="Y70" s="210">
        <v>191.69800000000001</v>
      </c>
      <c r="Z70" s="209">
        <v>63.93333333333333</v>
      </c>
      <c r="AA70" s="209">
        <v>65.099999999999994</v>
      </c>
      <c r="AB70" s="209">
        <v>122.85</v>
      </c>
      <c r="AC70" s="209">
        <v>119.36959999999999</v>
      </c>
      <c r="AD70" s="209">
        <v>153.37456</v>
      </c>
      <c r="AE70" s="209">
        <v>156.30788280000002</v>
      </c>
      <c r="AF70" s="209">
        <v>148.493161926</v>
      </c>
      <c r="AG70" s="209">
        <v>159.44967124428001</v>
      </c>
      <c r="AH70" s="209">
        <v>163.92813953419719</v>
      </c>
      <c r="AI70" s="209">
        <v>155.61418338944395</v>
      </c>
      <c r="AJ70" s="209">
        <v>165.75212543574378</v>
      </c>
      <c r="AK70" s="210">
        <v>168.89532609022291</v>
      </c>
      <c r="AL70" s="209">
        <v>88.186139999999995</v>
      </c>
      <c r="AM70" s="209">
        <v>89.171459999999996</v>
      </c>
      <c r="AN70" s="209">
        <v>160.07192249999997</v>
      </c>
      <c r="AO70" s="209">
        <v>159.81193200000001</v>
      </c>
      <c r="AP70" s="209">
        <v>201.58357548000001</v>
      </c>
      <c r="AQ70" s="209">
        <v>204.20001507654001</v>
      </c>
      <c r="AR70" s="209">
        <v>195.86853477845011</v>
      </c>
      <c r="AS70" s="209">
        <v>210.6872799624829</v>
      </c>
      <c r="AT70" s="209">
        <v>217.38183054897513</v>
      </c>
      <c r="AU70" s="209">
        <v>205.26312113063778</v>
      </c>
      <c r="AV70" s="209">
        <v>218.72911097829814</v>
      </c>
      <c r="AW70" s="210">
        <v>223.32476267964842</v>
      </c>
      <c r="AX70" s="209">
        <v>117.96517005</v>
      </c>
      <c r="AY70" s="209">
        <v>119.3979717</v>
      </c>
      <c r="AZ70" s="209">
        <v>219.47396499000001</v>
      </c>
      <c r="BA70" s="209">
        <v>214.52804385600001</v>
      </c>
      <c r="BB70" s="209">
        <v>268.51908329232003</v>
      </c>
      <c r="BC70" s="209">
        <v>271.75979240251382</v>
      </c>
      <c r="BD70" s="209">
        <v>260.40394318032168</v>
      </c>
      <c r="BE70" s="209">
        <v>280.46035914484986</v>
      </c>
      <c r="BF70" s="209">
        <v>290.00884908299344</v>
      </c>
      <c r="BG70" s="209">
        <v>273.67146832923754</v>
      </c>
      <c r="BH70" s="209">
        <v>291.69392689585834</v>
      </c>
      <c r="BI70" s="210">
        <v>299.70214045539018</v>
      </c>
      <c r="BJ70" s="209">
        <v>144.0205374825</v>
      </c>
      <c r="BK70" s="209">
        <v>145.909350405</v>
      </c>
      <c r="BL70" s="209">
        <v>265.25513736225008</v>
      </c>
      <c r="BM70" s="209">
        <v>264.046042238832</v>
      </c>
      <c r="BN70" s="209">
        <v>329.5355269724281</v>
      </c>
      <c r="BO70" s="209">
        <v>333.66743108792514</v>
      </c>
      <c r="BP70" s="209">
        <v>322.73998193426723</v>
      </c>
      <c r="BQ70" s="209">
        <v>347.77724480558044</v>
      </c>
      <c r="BR70" s="209">
        <v>364.98932876072081</v>
      </c>
      <c r="BS70" s="209">
        <v>344.37434502736687</v>
      </c>
      <c r="BT70" s="209">
        <v>367.07459204777848</v>
      </c>
      <c r="BU70" s="210">
        <v>377.30162643594201</v>
      </c>
      <c r="BV70" s="209">
        <v>172.98193443804001</v>
      </c>
      <c r="BW70" s="209">
        <v>175.36531740336002</v>
      </c>
      <c r="BX70" s="209">
        <v>316.37997376694108</v>
      </c>
      <c r="BY70" s="209">
        <v>315.8672633627092</v>
      </c>
      <c r="BZ70" s="209">
        <v>407.70224413848223</v>
      </c>
      <c r="CA70" s="209">
        <v>412.80927762523663</v>
      </c>
      <c r="CB70" s="209">
        <v>399.29428021512484</v>
      </c>
      <c r="CC70" s="209">
        <v>432.49647912952912</v>
      </c>
      <c r="CD70" s="209">
        <v>454.0198120865374</v>
      </c>
      <c r="CE70" s="209">
        <v>428.33656651765745</v>
      </c>
      <c r="CF70" s="209">
        <v>457.81486135966151</v>
      </c>
      <c r="CG70" s="210">
        <v>477.34329633008781</v>
      </c>
      <c r="CH70" s="209">
        <v>204.95849810927405</v>
      </c>
      <c r="CI70" s="209">
        <v>207.85076420988605</v>
      </c>
      <c r="CJ70" s="209">
        <v>373.54534166982353</v>
      </c>
      <c r="CK70" s="209">
        <v>373.49711668119954</v>
      </c>
      <c r="CL70" s="209">
        <v>481.29634357952983</v>
      </c>
      <c r="CM70" s="209">
        <v>487.43329548611302</v>
      </c>
      <c r="CN70" s="209">
        <v>471.38147449907183</v>
      </c>
      <c r="CO70" s="209">
        <v>510.74999327347638</v>
      </c>
      <c r="CP70" s="209">
        <v>536.34834894737571</v>
      </c>
      <c r="CQ70" s="209">
        <v>508.75030389912081</v>
      </c>
      <c r="CR70" s="209">
        <v>551.63274014290994</v>
      </c>
      <c r="CS70" s="210">
        <v>575.47363353190519</v>
      </c>
    </row>
    <row r="71" spans="1:97" s="209" customFormat="1" x14ac:dyDescent="0.25">
      <c r="A71" s="209" t="s">
        <v>5</v>
      </c>
      <c r="B71" s="209">
        <v>154</v>
      </c>
      <c r="C71" s="209">
        <v>85</v>
      </c>
      <c r="D71" s="209">
        <v>199</v>
      </c>
      <c r="E71" s="209">
        <v>240</v>
      </c>
      <c r="F71" s="209">
        <v>196.5</v>
      </c>
      <c r="G71" s="209">
        <v>273</v>
      </c>
      <c r="H71" s="209">
        <v>350</v>
      </c>
      <c r="I71" s="209">
        <v>227</v>
      </c>
      <c r="J71" s="209">
        <v>406</v>
      </c>
      <c r="K71" s="209">
        <v>269</v>
      </c>
      <c r="L71" s="209">
        <v>631</v>
      </c>
      <c r="M71" s="210">
        <v>524</v>
      </c>
      <c r="N71" s="205">
        <v>82</v>
      </c>
      <c r="O71" s="205">
        <v>82</v>
      </c>
      <c r="P71" s="205">
        <v>536</v>
      </c>
      <c r="Q71" s="205">
        <v>351</v>
      </c>
      <c r="R71" s="205">
        <v>406</v>
      </c>
      <c r="S71" s="205">
        <v>955</v>
      </c>
      <c r="T71" s="205">
        <v>503</v>
      </c>
      <c r="U71" s="205">
        <v>579</v>
      </c>
      <c r="V71" s="209">
        <v>918.05817461184006</v>
      </c>
      <c r="W71" s="209">
        <v>907.5760156266241</v>
      </c>
      <c r="X71" s="209">
        <v>970.86193585602427</v>
      </c>
      <c r="Y71" s="210">
        <v>1093.0268187796205</v>
      </c>
      <c r="Z71" s="209">
        <v>87.879610157043629</v>
      </c>
      <c r="AA71" s="209">
        <v>84.082368909937856</v>
      </c>
      <c r="AB71" s="209">
        <v>545.88178955444391</v>
      </c>
      <c r="AC71" s="209">
        <v>524.54590667077161</v>
      </c>
      <c r="AD71" s="209">
        <v>721.19823498823416</v>
      </c>
      <c r="AE71" s="209">
        <v>950.32037947312972</v>
      </c>
      <c r="AF71" s="209">
        <v>625.35511203005876</v>
      </c>
      <c r="AG71" s="209">
        <v>804.21311445371225</v>
      </c>
      <c r="AH71" s="209">
        <v>993.32455919769814</v>
      </c>
      <c r="AI71" s="209">
        <v>723.94691318074899</v>
      </c>
      <c r="AJ71" s="209">
        <v>893.46151274757085</v>
      </c>
      <c r="AK71" s="210">
        <v>1093.3454772143461</v>
      </c>
      <c r="AL71" s="209">
        <v>117.20601831443756</v>
      </c>
      <c r="AM71" s="209">
        <v>110.90802662833315</v>
      </c>
      <c r="AN71" s="209">
        <v>850.21466252959817</v>
      </c>
      <c r="AO71" s="209">
        <v>766.53652273100045</v>
      </c>
      <c r="AP71" s="209">
        <v>982.77873762208105</v>
      </c>
      <c r="AQ71" s="209">
        <v>1111.4882855677656</v>
      </c>
      <c r="AR71" s="209">
        <v>890.24491707609877</v>
      </c>
      <c r="AS71" s="209">
        <v>1082.2700641437305</v>
      </c>
      <c r="AT71" s="209">
        <v>1239.5376061456825</v>
      </c>
      <c r="AU71" s="209">
        <v>985.36293455217947</v>
      </c>
      <c r="AV71" s="209">
        <v>1182.6820121982241</v>
      </c>
      <c r="AW71" s="210">
        <v>1303.2035041353367</v>
      </c>
      <c r="AX71" s="209">
        <v>142.36898399717845</v>
      </c>
      <c r="AY71" s="209">
        <v>133.74851907490907</v>
      </c>
      <c r="AZ71" s="209">
        <v>1178.6330536370133</v>
      </c>
      <c r="BA71" s="209">
        <v>1102.7404153007078</v>
      </c>
      <c r="BB71" s="209">
        <v>1289.2013599719562</v>
      </c>
      <c r="BC71" s="209">
        <v>1412.7629482263953</v>
      </c>
      <c r="BD71" s="209">
        <v>1257.752157479805</v>
      </c>
      <c r="BE71" s="209">
        <v>1401.9283940984974</v>
      </c>
      <c r="BF71" s="209">
        <v>1568.1626850885355</v>
      </c>
      <c r="BG71" s="209">
        <v>1393.005283057543</v>
      </c>
      <c r="BH71" s="209">
        <v>1532.5738614790648</v>
      </c>
      <c r="BI71" s="210">
        <v>1716.9081523594486</v>
      </c>
      <c r="BJ71" s="209">
        <v>173.04545117582319</v>
      </c>
      <c r="BK71" s="209">
        <v>162.79102971575526</v>
      </c>
      <c r="BL71" s="209">
        <v>1394.9453969478263</v>
      </c>
      <c r="BM71" s="209">
        <v>1303.1641923209163</v>
      </c>
      <c r="BN71" s="209">
        <v>1518.0756419411787</v>
      </c>
      <c r="BO71" s="209">
        <v>1622.6047752585796</v>
      </c>
      <c r="BP71" s="209">
        <v>1462.5352123793518</v>
      </c>
      <c r="BQ71" s="209">
        <v>1624.3237187506622</v>
      </c>
      <c r="BR71" s="209">
        <v>1787.1539384893858</v>
      </c>
      <c r="BS71" s="209">
        <v>1588.063593890196</v>
      </c>
      <c r="BT71" s="209">
        <v>1741.3984084188098</v>
      </c>
      <c r="BU71" s="210">
        <v>1905.3734479714926</v>
      </c>
      <c r="BV71" s="209">
        <v>201.91057165523574</v>
      </c>
      <c r="BW71" s="209">
        <v>190.21447363096706</v>
      </c>
      <c r="BX71" s="209">
        <v>1633.3782796198086</v>
      </c>
      <c r="BY71" s="209">
        <v>1548.8265610403728</v>
      </c>
      <c r="BZ71" s="209">
        <v>1803.8411287995627</v>
      </c>
      <c r="CA71" s="209">
        <v>1926.365310293827</v>
      </c>
      <c r="CB71" s="209">
        <v>1760.5252233679416</v>
      </c>
      <c r="CC71" s="209">
        <v>1974.968763316414</v>
      </c>
      <c r="CD71" s="209">
        <v>2170.044850094625</v>
      </c>
      <c r="CE71" s="209">
        <v>1957.467887783142</v>
      </c>
      <c r="CF71" s="209">
        <v>2154.7985167989</v>
      </c>
      <c r="CG71" s="210">
        <v>2353.9069701172139</v>
      </c>
      <c r="CH71" s="209">
        <v>240.23909246321961</v>
      </c>
      <c r="CI71" s="209">
        <v>225.95202265440707</v>
      </c>
      <c r="CJ71" s="209">
        <v>1942.2855838599439</v>
      </c>
      <c r="CK71" s="209">
        <v>1840.4802485406326</v>
      </c>
      <c r="CL71" s="209">
        <v>2141.4223069878667</v>
      </c>
      <c r="CM71" s="209">
        <v>2285.8237873774719</v>
      </c>
      <c r="CN71" s="209">
        <v>2087.9194939760996</v>
      </c>
      <c r="CO71" s="209">
        <v>2341.2673362953756</v>
      </c>
      <c r="CP71" s="209">
        <v>2571.7955479509815</v>
      </c>
      <c r="CQ71" s="209">
        <v>2346.4442499518409</v>
      </c>
      <c r="CR71" s="209">
        <v>2603.1365792762699</v>
      </c>
      <c r="CS71" s="210">
        <v>2843.4457793690462</v>
      </c>
    </row>
    <row r="72" spans="1:97" s="209" customFormat="1" x14ac:dyDescent="0.25">
      <c r="A72" s="209" t="s">
        <v>6</v>
      </c>
      <c r="B72" s="209">
        <v>143</v>
      </c>
      <c r="C72" s="209">
        <v>130</v>
      </c>
      <c r="D72" s="209">
        <v>117</v>
      </c>
      <c r="E72" s="209">
        <v>198</v>
      </c>
      <c r="F72" s="209">
        <v>236.5</v>
      </c>
      <c r="G72" s="209">
        <v>219</v>
      </c>
      <c r="H72" s="209">
        <v>241</v>
      </c>
      <c r="I72" s="209">
        <v>176</v>
      </c>
      <c r="J72" s="209">
        <v>299.5</v>
      </c>
      <c r="K72" s="209">
        <v>288</v>
      </c>
      <c r="L72" s="209">
        <v>231</v>
      </c>
      <c r="M72" s="210">
        <v>613.5</v>
      </c>
      <c r="N72" s="205">
        <v>135</v>
      </c>
      <c r="O72" s="205">
        <v>82</v>
      </c>
      <c r="P72" s="205">
        <v>90</v>
      </c>
      <c r="Q72" s="205">
        <v>250</v>
      </c>
      <c r="R72" s="205">
        <v>256</v>
      </c>
      <c r="S72" s="205">
        <v>433.5</v>
      </c>
      <c r="T72" s="205">
        <v>399</v>
      </c>
      <c r="U72" s="205">
        <v>337</v>
      </c>
      <c r="V72" s="209">
        <v>535.42399999999998</v>
      </c>
      <c r="W72" s="209">
        <v>565.24080169792001</v>
      </c>
      <c r="X72" s="209">
        <v>664.54106136678411</v>
      </c>
      <c r="Y72" s="210">
        <v>796.74974020841591</v>
      </c>
      <c r="Z72" s="209">
        <v>262.51836260084525</v>
      </c>
      <c r="AA72" s="209">
        <v>90.913209732893364</v>
      </c>
      <c r="AB72" s="209">
        <v>184.849164564359</v>
      </c>
      <c r="AC72" s="209">
        <v>430.80760276493004</v>
      </c>
      <c r="AD72" s="209">
        <v>451.41345066117015</v>
      </c>
      <c r="AE72" s="209">
        <v>569.87914099882732</v>
      </c>
      <c r="AF72" s="209">
        <v>671.57646261260948</v>
      </c>
      <c r="AG72" s="209">
        <v>507.07782754608638</v>
      </c>
      <c r="AH72" s="209">
        <v>641.50638222004932</v>
      </c>
      <c r="AI72" s="209">
        <v>700.8066990382265</v>
      </c>
      <c r="AJ72" s="209">
        <v>580.30665262901323</v>
      </c>
      <c r="AK72" s="210">
        <v>712.83126369217837</v>
      </c>
      <c r="AL72" s="209">
        <v>351.87674171521144</v>
      </c>
      <c r="AM72" s="209">
        <v>120.14361378594873</v>
      </c>
      <c r="AN72" s="209">
        <v>240.18435136382169</v>
      </c>
      <c r="AO72" s="209">
        <v>677.23730994787888</v>
      </c>
      <c r="AP72" s="209">
        <v>659.69568926741192</v>
      </c>
      <c r="AQ72" s="209">
        <v>775.28103400792315</v>
      </c>
      <c r="AR72" s="209">
        <v>799.16580101678142</v>
      </c>
      <c r="AS72" s="209">
        <v>724.36922176827306</v>
      </c>
      <c r="AT72" s="209">
        <v>861.05213447594906</v>
      </c>
      <c r="AU72" s="209">
        <v>880.86799589287239</v>
      </c>
      <c r="AV72" s="209">
        <v>789.85441579182657</v>
      </c>
      <c r="AW72" s="210">
        <v>941.19283654701053</v>
      </c>
      <c r="AX72" s="209">
        <v>425.32053643787134</v>
      </c>
      <c r="AY72" s="209">
        <v>146.17925916973601</v>
      </c>
      <c r="AZ72" s="209">
        <v>302.62226306448093</v>
      </c>
      <c r="BA72" s="209">
        <v>923.77972772507496</v>
      </c>
      <c r="BB72" s="209">
        <v>944.4316884148127</v>
      </c>
      <c r="BC72" s="209">
        <v>1013.4837731625171</v>
      </c>
      <c r="BD72" s="209">
        <v>1014.5576851502185</v>
      </c>
      <c r="BE72" s="209">
        <v>1024.2096362655761</v>
      </c>
      <c r="BF72" s="209">
        <v>1118.6504136900548</v>
      </c>
      <c r="BG72" s="209">
        <v>1113.6423921858491</v>
      </c>
      <c r="BH72" s="209">
        <v>1116.6153459429515</v>
      </c>
      <c r="BI72" s="210">
        <v>1223.6267902229099</v>
      </c>
      <c r="BJ72" s="209">
        <v>520.47759864498562</v>
      </c>
      <c r="BK72" s="209">
        <v>177.66066382032642</v>
      </c>
      <c r="BL72" s="209">
        <v>368.3412019441115</v>
      </c>
      <c r="BM72" s="209">
        <v>1102.6909733785571</v>
      </c>
      <c r="BN72" s="209">
        <v>1116.3035312101345</v>
      </c>
      <c r="BO72" s="209">
        <v>1193.2530882566225</v>
      </c>
      <c r="BP72" s="209">
        <v>1176.4536332209786</v>
      </c>
      <c r="BQ72" s="209">
        <v>1190.9588877365632</v>
      </c>
      <c r="BR72" s="209">
        <v>1306.2300502892504</v>
      </c>
      <c r="BS72" s="209">
        <v>1269.0058885196386</v>
      </c>
      <c r="BT72" s="209">
        <v>1272.971610975475</v>
      </c>
      <c r="BU72" s="210">
        <v>1390.1495647618299</v>
      </c>
      <c r="BV72" s="209">
        <v>578.86596087580097</v>
      </c>
      <c r="BW72" s="209">
        <v>207.23681107975992</v>
      </c>
      <c r="BX72" s="209">
        <v>430.42111434061053</v>
      </c>
      <c r="BY72" s="209">
        <v>1290.9594315874097</v>
      </c>
      <c r="BZ72" s="209">
        <v>1327.2268916948788</v>
      </c>
      <c r="CA72" s="209">
        <v>1417.4656782679954</v>
      </c>
      <c r="CB72" s="209">
        <v>1396.9140899959662</v>
      </c>
      <c r="CC72" s="209">
        <v>1450.057872368466</v>
      </c>
      <c r="CD72" s="209">
        <v>1588.1054254123478</v>
      </c>
      <c r="CE72" s="209">
        <v>1540.9115065257731</v>
      </c>
      <c r="CF72" s="209">
        <v>1578.1123582300029</v>
      </c>
      <c r="CG72" s="210">
        <v>1720.2988462372118</v>
      </c>
      <c r="CH72" s="209">
        <v>691.19349887978456</v>
      </c>
      <c r="CI72" s="209">
        <v>246.62397397374173</v>
      </c>
      <c r="CJ72" s="209">
        <v>511.26477074911361</v>
      </c>
      <c r="CK72" s="209">
        <v>1535.2655855569519</v>
      </c>
      <c r="CL72" s="209">
        <v>1576.8321623190782</v>
      </c>
      <c r="CM72" s="209">
        <v>1682.9944836268978</v>
      </c>
      <c r="CN72" s="209">
        <v>1657.4463963837366</v>
      </c>
      <c r="CO72" s="209">
        <v>1719.8501850461553</v>
      </c>
      <c r="CP72" s="209">
        <v>1882.932910107686</v>
      </c>
      <c r="CQ72" s="209">
        <v>1847.5870644122924</v>
      </c>
      <c r="CR72" s="209">
        <v>1907.1033308567844</v>
      </c>
      <c r="CS72" s="210">
        <v>2078.5960305139906</v>
      </c>
    </row>
    <row r="73" spans="1:97" s="209" customFormat="1" x14ac:dyDescent="0.25">
      <c r="A73" s="209" t="s">
        <v>7</v>
      </c>
      <c r="B73" s="209">
        <v>157</v>
      </c>
      <c r="C73" s="209">
        <v>151</v>
      </c>
      <c r="D73" s="209">
        <v>242</v>
      </c>
      <c r="E73" s="209">
        <v>159</v>
      </c>
      <c r="F73" s="209">
        <v>173.5</v>
      </c>
      <c r="G73" s="209">
        <v>346.5</v>
      </c>
      <c r="H73" s="209">
        <v>323</v>
      </c>
      <c r="I73" s="209">
        <v>189</v>
      </c>
      <c r="J73" s="209">
        <v>391</v>
      </c>
      <c r="K73" s="209">
        <v>287</v>
      </c>
      <c r="L73" s="209">
        <v>508</v>
      </c>
      <c r="M73" s="210">
        <v>469.5</v>
      </c>
      <c r="N73" s="205">
        <v>180.5</v>
      </c>
      <c r="O73" s="205">
        <v>227</v>
      </c>
      <c r="P73" s="205">
        <v>286</v>
      </c>
      <c r="Q73" s="205">
        <v>128</v>
      </c>
      <c r="R73" s="205">
        <v>263</v>
      </c>
      <c r="S73" s="205">
        <v>426.5</v>
      </c>
      <c r="T73" s="205">
        <v>320</v>
      </c>
      <c r="U73" s="205">
        <v>454</v>
      </c>
      <c r="V73" s="209">
        <v>425.82799999999997</v>
      </c>
      <c r="W73" s="209">
        <v>354.68249999999995</v>
      </c>
      <c r="X73" s="209">
        <v>473.58803663263996</v>
      </c>
      <c r="Y73" s="210">
        <v>623.93536671675201</v>
      </c>
      <c r="Z73" s="209">
        <v>195.92659894036399</v>
      </c>
      <c r="AA73" s="209">
        <v>215.41628683151689</v>
      </c>
      <c r="AB73" s="209">
        <v>140.86584178942752</v>
      </c>
      <c r="AC73" s="209">
        <v>149.40975880923716</v>
      </c>
      <c r="AD73" s="209">
        <v>410.13815290654827</v>
      </c>
      <c r="AE73" s="209">
        <v>415.97033523983498</v>
      </c>
      <c r="AF73" s="209">
        <v>469.86766115462308</v>
      </c>
      <c r="AG73" s="209">
        <v>635.28673347583754</v>
      </c>
      <c r="AH73" s="209">
        <v>470.45554422329474</v>
      </c>
      <c r="AI73" s="209">
        <v>527.59392562386938</v>
      </c>
      <c r="AJ73" s="209">
        <v>656.69792417813051</v>
      </c>
      <c r="AK73" s="210">
        <v>538.15411317207679</v>
      </c>
      <c r="AL73" s="209">
        <v>235.04914836958116</v>
      </c>
      <c r="AM73" s="209">
        <v>285.50174533300566</v>
      </c>
      <c r="AN73" s="209">
        <v>182.59199369472623</v>
      </c>
      <c r="AO73" s="209">
        <v>196.0552117167415</v>
      </c>
      <c r="AP73" s="209">
        <v>642.07043617981867</v>
      </c>
      <c r="AQ73" s="209">
        <v>605.69775639340423</v>
      </c>
      <c r="AR73" s="209">
        <v>649.48937663720938</v>
      </c>
      <c r="AS73" s="209">
        <v>758.4534350617389</v>
      </c>
      <c r="AT73" s="209">
        <v>668.93575656060125</v>
      </c>
      <c r="AU73" s="209">
        <v>713.46350209150535</v>
      </c>
      <c r="AV73" s="209">
        <v>825.33926673931921</v>
      </c>
      <c r="AW73" s="210">
        <v>729.58847465604345</v>
      </c>
      <c r="AX73" s="209">
        <v>314.28564956309845</v>
      </c>
      <c r="AY73" s="209">
        <v>343.02464376361939</v>
      </c>
      <c r="AZ73" s="209">
        <v>228.94745185576039</v>
      </c>
      <c r="BA73" s="209">
        <v>242.97533554132977</v>
      </c>
      <c r="BB73" s="209">
        <v>871.41339777763449</v>
      </c>
      <c r="BC73" s="209">
        <v>865.93774724367177</v>
      </c>
      <c r="BD73" s="209">
        <v>848.21023469609281</v>
      </c>
      <c r="BE73" s="209">
        <v>963.22733764486941</v>
      </c>
      <c r="BF73" s="209">
        <v>951.01621114002978</v>
      </c>
      <c r="BG73" s="209">
        <v>926.36581597413419</v>
      </c>
      <c r="BH73" s="209">
        <v>1043.5736970900771</v>
      </c>
      <c r="BI73" s="210">
        <v>1037.4133978764175</v>
      </c>
      <c r="BJ73" s="209">
        <v>379.03763766981911</v>
      </c>
      <c r="BK73" s="209">
        <v>421.08108670959746</v>
      </c>
      <c r="BL73" s="209">
        <v>278.4463512153597</v>
      </c>
      <c r="BM73" s="209">
        <v>298.25802553435261</v>
      </c>
      <c r="BN73" s="209">
        <v>1040.092877091231</v>
      </c>
      <c r="BO73" s="209">
        <v>1023.37287743203</v>
      </c>
      <c r="BP73" s="209">
        <v>1008.6442982768128</v>
      </c>
      <c r="BQ73" s="209">
        <v>1117.0358707228215</v>
      </c>
      <c r="BR73" s="209">
        <v>1114.372974813886</v>
      </c>
      <c r="BS73" s="209">
        <v>1081.78313674213</v>
      </c>
      <c r="BT73" s="209">
        <v>1189.1892084676276</v>
      </c>
      <c r="BU73" s="210">
        <v>1182.45683740356</v>
      </c>
      <c r="BV73" s="209">
        <v>432.51668611948844</v>
      </c>
      <c r="BW73" s="209">
        <v>468.83982070088183</v>
      </c>
      <c r="BX73" s="209">
        <v>325.50522344395779</v>
      </c>
      <c r="BY73" s="209">
        <v>348.50742244952676</v>
      </c>
      <c r="BZ73" s="209">
        <v>1217.4875739220704</v>
      </c>
      <c r="CA73" s="209">
        <v>1216.4022049796972</v>
      </c>
      <c r="CB73" s="209">
        <v>1198.3645589811695</v>
      </c>
      <c r="CC73" s="209">
        <v>1341.5717487164252</v>
      </c>
      <c r="CD73" s="209">
        <v>1356.7362780547378</v>
      </c>
      <c r="CE73" s="209">
        <v>1315.246738027367</v>
      </c>
      <c r="CF73" s="209">
        <v>1452.2835627102343</v>
      </c>
      <c r="CG73" s="210">
        <v>1466.0105472846585</v>
      </c>
      <c r="CH73" s="209">
        <v>517.38306338723874</v>
      </c>
      <c r="CI73" s="209">
        <v>560.05716450865862</v>
      </c>
      <c r="CJ73" s="209">
        <v>386.80056437226398</v>
      </c>
      <c r="CK73" s="209">
        <v>413.98071673963659</v>
      </c>
      <c r="CL73" s="209">
        <v>1448.0290555631059</v>
      </c>
      <c r="CM73" s="209">
        <v>1445.3853213264003</v>
      </c>
      <c r="CN73" s="209">
        <v>1422.7269258198714</v>
      </c>
      <c r="CO73" s="209">
        <v>1591.9062973525399</v>
      </c>
      <c r="CP73" s="209">
        <v>1609.3886525436524</v>
      </c>
      <c r="CQ73" s="209">
        <v>1577.7743621204008</v>
      </c>
      <c r="CR73" s="209">
        <v>1755.5652844054459</v>
      </c>
      <c r="CS73" s="210">
        <v>1771.928363730065</v>
      </c>
    </row>
    <row r="74" spans="1:97" s="209" customFormat="1" x14ac:dyDescent="0.25">
      <c r="A74" s="209" t="s">
        <v>8</v>
      </c>
      <c r="B74" s="209">
        <v>90</v>
      </c>
      <c r="C74" s="209">
        <v>77</v>
      </c>
      <c r="D74" s="209">
        <v>160</v>
      </c>
      <c r="E74" s="209">
        <v>209</v>
      </c>
      <c r="F74" s="209">
        <v>226</v>
      </c>
      <c r="G74" s="209">
        <v>177</v>
      </c>
      <c r="H74" s="209">
        <v>168</v>
      </c>
      <c r="I74" s="209">
        <v>178</v>
      </c>
      <c r="J74" s="209">
        <v>323</v>
      </c>
      <c r="K74" s="209">
        <v>235</v>
      </c>
      <c r="L74" s="209">
        <v>389</v>
      </c>
      <c r="M74" s="210">
        <v>406</v>
      </c>
      <c r="N74" s="205">
        <v>150.5</v>
      </c>
      <c r="O74" s="205">
        <v>144</v>
      </c>
      <c r="P74" s="205">
        <v>396</v>
      </c>
      <c r="Q74" s="205">
        <v>269</v>
      </c>
      <c r="R74" s="205">
        <v>183</v>
      </c>
      <c r="S74" s="205">
        <v>172</v>
      </c>
      <c r="T74" s="205">
        <v>165</v>
      </c>
      <c r="U74" s="205">
        <v>226</v>
      </c>
      <c r="V74" s="209">
        <v>609.58920000000012</v>
      </c>
      <c r="W74" s="209">
        <v>511.83929999999998</v>
      </c>
      <c r="X74" s="209">
        <v>634.45360000000005</v>
      </c>
      <c r="Y74" s="210">
        <v>835.21551681280005</v>
      </c>
      <c r="Z74" s="209">
        <v>319.04518877079857</v>
      </c>
      <c r="AA74" s="209">
        <v>347.6500845187262</v>
      </c>
      <c r="AB74" s="209">
        <v>834.56051556146758</v>
      </c>
      <c r="AC74" s="209">
        <v>593.00178395629598</v>
      </c>
      <c r="AD74" s="209">
        <v>427.84803135498413</v>
      </c>
      <c r="AE74" s="209">
        <v>431.08981401210912</v>
      </c>
      <c r="AF74" s="209">
        <v>530.15066168391002</v>
      </c>
      <c r="AG74" s="209">
        <v>734.32606481026232</v>
      </c>
      <c r="AH74" s="209">
        <v>907.45009876629183</v>
      </c>
      <c r="AI74" s="209">
        <v>844.13554504095646</v>
      </c>
      <c r="AJ74" s="209">
        <v>904.71718896034599</v>
      </c>
      <c r="AK74" s="210">
        <v>980.9077526312285</v>
      </c>
      <c r="AL74" s="209">
        <v>415.7107579923827</v>
      </c>
      <c r="AM74" s="209">
        <v>420.09088457740745</v>
      </c>
      <c r="AN74" s="209">
        <v>989.43256322121943</v>
      </c>
      <c r="AO74" s="209">
        <v>751.05226854386183</v>
      </c>
      <c r="AP74" s="209">
        <v>561.10545876235813</v>
      </c>
      <c r="AQ74" s="209">
        <v>631.2663776666476</v>
      </c>
      <c r="AR74" s="209">
        <v>800.46587258657678</v>
      </c>
      <c r="AS74" s="209">
        <v>1088.2621456144113</v>
      </c>
      <c r="AT74" s="209">
        <v>1205.5384587438225</v>
      </c>
      <c r="AU74" s="209">
        <v>1131.1545213209765</v>
      </c>
      <c r="AV74" s="209">
        <v>1208.0973979257788</v>
      </c>
      <c r="AW74" s="210">
        <v>1309.2228002239565</v>
      </c>
      <c r="AX74" s="209">
        <v>554.70491832642927</v>
      </c>
      <c r="AY74" s="209">
        <v>558.09978677284857</v>
      </c>
      <c r="AZ74" s="209">
        <v>1347.2002425077812</v>
      </c>
      <c r="BA74" s="209">
        <v>969.85661207860846</v>
      </c>
      <c r="BB74" s="209">
        <v>692.31332946424641</v>
      </c>
      <c r="BC74" s="209">
        <v>828.1041495219763</v>
      </c>
      <c r="BD74" s="209">
        <v>1091.0368208831826</v>
      </c>
      <c r="BE74" s="209">
        <v>1467.5421919670298</v>
      </c>
      <c r="BF74" s="209">
        <v>1585.1488546448022</v>
      </c>
      <c r="BG74" s="209">
        <v>1496.1727915547399</v>
      </c>
      <c r="BH74" s="209">
        <v>1587.7077747458893</v>
      </c>
      <c r="BI74" s="210">
        <v>1711.8108235784707</v>
      </c>
      <c r="BJ74" s="209">
        <v>683.96385103131161</v>
      </c>
      <c r="BK74" s="209">
        <v>685.77363364728512</v>
      </c>
      <c r="BL74" s="209">
        <v>1659.7457019904562</v>
      </c>
      <c r="BM74" s="209">
        <v>1188.4910689606199</v>
      </c>
      <c r="BN74" s="209">
        <v>852.22708297404301</v>
      </c>
      <c r="BO74" s="209">
        <v>997.75151050937609</v>
      </c>
      <c r="BP74" s="209">
        <v>1313.9691770495051</v>
      </c>
      <c r="BQ74" s="209">
        <v>1755.0780082230899</v>
      </c>
      <c r="BR74" s="209">
        <v>1883.8565235172432</v>
      </c>
      <c r="BS74" s="209">
        <v>1763.7904803993247</v>
      </c>
      <c r="BT74" s="209">
        <v>1857.6116631041175</v>
      </c>
      <c r="BU74" s="210">
        <v>1981.5739868284345</v>
      </c>
      <c r="BV74" s="209">
        <v>788.08416022276538</v>
      </c>
      <c r="BW74" s="209">
        <v>783.81951740145712</v>
      </c>
      <c r="BX74" s="209">
        <v>1876.4574340247236</v>
      </c>
      <c r="BY74" s="209">
        <v>1345.0882749603404</v>
      </c>
      <c r="BZ74" s="209">
        <v>968.05607064227752</v>
      </c>
      <c r="CA74" s="209">
        <v>1167.8729700887457</v>
      </c>
      <c r="CB74" s="209">
        <v>1550.3030628454956</v>
      </c>
      <c r="CC74" s="209">
        <v>2100.7483843219825</v>
      </c>
      <c r="CD74" s="209">
        <v>2264.0576027461866</v>
      </c>
      <c r="CE74" s="209">
        <v>2129.7978516474159</v>
      </c>
      <c r="CF74" s="209">
        <v>2263.7945257582405</v>
      </c>
      <c r="CG74" s="210">
        <v>2422.4794150228608</v>
      </c>
      <c r="CH74" s="209">
        <v>935.97495845530693</v>
      </c>
      <c r="CI74" s="209">
        <v>934.59536830175057</v>
      </c>
      <c r="CJ74" s="209">
        <v>2243.0260111760863</v>
      </c>
      <c r="CK74" s="209">
        <v>1605.764671743204</v>
      </c>
      <c r="CL74" s="209">
        <v>1153.0432140561461</v>
      </c>
      <c r="CM74" s="209">
        <v>1388.1134927480912</v>
      </c>
      <c r="CN74" s="209">
        <v>1841.6980748578881</v>
      </c>
      <c r="CO74" s="209">
        <v>2494.7398521988416</v>
      </c>
      <c r="CP74" s="209">
        <v>2687.083282348668</v>
      </c>
      <c r="CQ74" s="209">
        <v>2553.9688964253128</v>
      </c>
      <c r="CR74" s="209">
        <v>2737.4772358105402</v>
      </c>
      <c r="CS74" s="210">
        <v>2928.7169239473556</v>
      </c>
    </row>
    <row r="75" spans="1:97" s="209" customFormat="1" x14ac:dyDescent="0.25">
      <c r="A75" s="209" t="s">
        <v>1</v>
      </c>
      <c r="B75" s="209">
        <v>63</v>
      </c>
      <c r="C75" s="209">
        <v>70</v>
      </c>
      <c r="D75" s="209">
        <v>101</v>
      </c>
      <c r="E75" s="209">
        <v>154</v>
      </c>
      <c r="F75" s="209">
        <v>169</v>
      </c>
      <c r="G75" s="209">
        <v>172.5</v>
      </c>
      <c r="H75" s="209">
        <v>204</v>
      </c>
      <c r="I75" s="209">
        <v>152</v>
      </c>
      <c r="J75" s="209">
        <v>302</v>
      </c>
      <c r="K75" s="209">
        <v>231</v>
      </c>
      <c r="L75" s="209">
        <v>455</v>
      </c>
      <c r="M75" s="210">
        <v>450</v>
      </c>
      <c r="N75" s="205">
        <v>116</v>
      </c>
      <c r="O75" s="205">
        <v>139</v>
      </c>
      <c r="P75" s="205">
        <v>298</v>
      </c>
      <c r="Q75" s="205">
        <v>217</v>
      </c>
      <c r="R75" s="205">
        <v>266</v>
      </c>
      <c r="S75" s="205">
        <v>396</v>
      </c>
      <c r="T75" s="205">
        <v>225</v>
      </c>
      <c r="U75" s="205">
        <v>206.5</v>
      </c>
      <c r="V75" s="209">
        <v>425.76690000000002</v>
      </c>
      <c r="W75" s="209">
        <v>372.86969999999997</v>
      </c>
      <c r="X75" s="209">
        <v>505.91999999999996</v>
      </c>
      <c r="Y75" s="210">
        <v>906.28320000000008</v>
      </c>
      <c r="Z75" s="209">
        <v>340.75325925925927</v>
      </c>
      <c r="AA75" s="209">
        <v>442.67354545454549</v>
      </c>
      <c r="AB75" s="209">
        <v>981.86716228974547</v>
      </c>
      <c r="AC75" s="209">
        <v>1008.3270839204595</v>
      </c>
      <c r="AD75" s="209">
        <v>1114.8458387606486</v>
      </c>
      <c r="AE75" s="209">
        <v>1180.7413233683819</v>
      </c>
      <c r="AF75" s="209">
        <v>940.05823359901819</v>
      </c>
      <c r="AG75" s="209">
        <v>848.141702433565</v>
      </c>
      <c r="AH75" s="209">
        <v>876.87114571655343</v>
      </c>
      <c r="AI75" s="209">
        <v>804.36454499573506</v>
      </c>
      <c r="AJ75" s="209">
        <v>881.39228398380374</v>
      </c>
      <c r="AK75" s="210">
        <v>1070.3641373770301</v>
      </c>
      <c r="AL75" s="209">
        <v>500.66947702871937</v>
      </c>
      <c r="AM75" s="209">
        <v>595.36050358832222</v>
      </c>
      <c r="AN75" s="209">
        <v>1259.7173109473674</v>
      </c>
      <c r="AO75" s="209">
        <v>1202.1200146924812</v>
      </c>
      <c r="AP75" s="209">
        <v>1308.2414818629609</v>
      </c>
      <c r="AQ75" s="209">
        <v>1412.6078220630811</v>
      </c>
      <c r="AR75" s="209">
        <v>1163.2933233324447</v>
      </c>
      <c r="AS75" s="209">
        <v>1057.2489290984527</v>
      </c>
      <c r="AT75" s="209">
        <v>1169.5868629248985</v>
      </c>
      <c r="AU75" s="209">
        <v>1112.0770860371981</v>
      </c>
      <c r="AV75" s="209">
        <v>1228.9136931830628</v>
      </c>
      <c r="AW75" s="210">
        <v>1374.8228288468435</v>
      </c>
      <c r="AX75" s="209">
        <v>650.21866914804878</v>
      </c>
      <c r="AY75" s="209">
        <v>763.4158501909717</v>
      </c>
      <c r="AZ75" s="209">
        <v>1628.8486636637745</v>
      </c>
      <c r="BA75" s="209">
        <v>1505.6385373394237</v>
      </c>
      <c r="BB75" s="209">
        <v>1643.7705524051555</v>
      </c>
      <c r="BC75" s="209">
        <v>1757.5760325167014</v>
      </c>
      <c r="BD75" s="209">
        <v>1442.5682645362144</v>
      </c>
      <c r="BE75" s="209">
        <v>1319.4364888285127</v>
      </c>
      <c r="BF75" s="209">
        <v>1516.5118021805565</v>
      </c>
      <c r="BG75" s="209">
        <v>1531.9318933903241</v>
      </c>
      <c r="BH75" s="209">
        <v>1717.5716773837439</v>
      </c>
      <c r="BI75" s="210">
        <v>1933.2113448805949</v>
      </c>
      <c r="BJ75" s="209">
        <v>882.22808990140538</v>
      </c>
      <c r="BK75" s="209">
        <v>1027.8283857025331</v>
      </c>
      <c r="BL75" s="209">
        <v>2151.123612518184</v>
      </c>
      <c r="BM75" s="209">
        <v>2055.9860067093095</v>
      </c>
      <c r="BN75" s="209">
        <v>2229.9789981558861</v>
      </c>
      <c r="BO75" s="209">
        <v>2355.3722071472903</v>
      </c>
      <c r="BP75" s="209">
        <v>1925.9852668513954</v>
      </c>
      <c r="BQ75" s="209">
        <v>1746.4902361235318</v>
      </c>
      <c r="BR75" s="209">
        <v>1954.9884384341856</v>
      </c>
      <c r="BS75" s="209">
        <v>1911.2808243423528</v>
      </c>
      <c r="BT75" s="209">
        <v>2109.3047339127475</v>
      </c>
      <c r="BU75" s="210">
        <v>2353.3471545206289</v>
      </c>
      <c r="BV75" s="209">
        <v>1079.3274918316556</v>
      </c>
      <c r="BW75" s="209">
        <v>1244.986067137128</v>
      </c>
      <c r="BX75" s="209">
        <v>2586.0426148272645</v>
      </c>
      <c r="BY75" s="209">
        <v>2449.1022125927338</v>
      </c>
      <c r="BZ75" s="209">
        <v>2630.5000300192478</v>
      </c>
      <c r="CA75" s="209">
        <v>2762.8788194628469</v>
      </c>
      <c r="CB75" s="209">
        <v>2257.2646610390625</v>
      </c>
      <c r="CC75" s="209">
        <v>2060.2138034677428</v>
      </c>
      <c r="CD75" s="209">
        <v>2320.9561291110422</v>
      </c>
      <c r="CE75" s="209">
        <v>2291.371841147843</v>
      </c>
      <c r="CF75" s="209">
        <v>2556.9341867430344</v>
      </c>
      <c r="CG75" s="210">
        <v>2879.070759421099</v>
      </c>
      <c r="CH75" s="209">
        <v>1284.8798720436007</v>
      </c>
      <c r="CI75" s="209">
        <v>1483.9454342506019</v>
      </c>
      <c r="CJ75" s="209">
        <v>3090.3724058024218</v>
      </c>
      <c r="CK75" s="209">
        <v>2939.155547938381</v>
      </c>
      <c r="CL75" s="209">
        <v>3168.5125532920993</v>
      </c>
      <c r="CM75" s="209">
        <v>3336.7747386562532</v>
      </c>
      <c r="CN75" s="209">
        <v>2727.7177801841522</v>
      </c>
      <c r="CO75" s="209">
        <v>2490.7505503557027</v>
      </c>
      <c r="CP75" s="209">
        <v>2805.4920084759315</v>
      </c>
      <c r="CQ75" s="209">
        <v>2793.3438561676662</v>
      </c>
      <c r="CR75" s="209">
        <v>3141.6303522486014</v>
      </c>
      <c r="CS75" s="210">
        <v>3536.2448211774663</v>
      </c>
    </row>
    <row r="76" spans="1:97" s="209" customFormat="1" x14ac:dyDescent="0.25">
      <c r="A76" s="209" t="s">
        <v>2</v>
      </c>
      <c r="B76" s="209">
        <v>26</v>
      </c>
      <c r="C76" s="209">
        <v>20</v>
      </c>
      <c r="D76" s="209">
        <v>26</v>
      </c>
      <c r="E76" s="209">
        <v>21</v>
      </c>
      <c r="F76" s="209">
        <v>43</v>
      </c>
      <c r="G76" s="209">
        <v>48.5</v>
      </c>
      <c r="H76" s="209">
        <v>53</v>
      </c>
      <c r="I76" s="209">
        <v>60.5</v>
      </c>
      <c r="J76" s="209">
        <v>140</v>
      </c>
      <c r="K76" s="209">
        <v>89.5</v>
      </c>
      <c r="L76" s="209">
        <v>250</v>
      </c>
      <c r="M76" s="210">
        <v>281.5</v>
      </c>
      <c r="N76" s="205">
        <v>89</v>
      </c>
      <c r="O76" s="205">
        <v>76</v>
      </c>
      <c r="P76" s="205">
        <v>184</v>
      </c>
      <c r="Q76" s="205">
        <v>113</v>
      </c>
      <c r="R76" s="205">
        <v>143</v>
      </c>
      <c r="S76" s="205">
        <v>271</v>
      </c>
      <c r="T76" s="205">
        <v>157</v>
      </c>
      <c r="U76" s="205">
        <v>186</v>
      </c>
      <c r="V76" s="209">
        <v>312.52019999999999</v>
      </c>
      <c r="W76" s="209">
        <v>283.85857999999996</v>
      </c>
      <c r="X76" s="209">
        <v>371.60820000000001</v>
      </c>
      <c r="Y76" s="210">
        <v>486.14670000000001</v>
      </c>
      <c r="Z76" s="209">
        <v>186.00800000000001</v>
      </c>
      <c r="AA76" s="209">
        <v>167.62666666666667</v>
      </c>
      <c r="AB76" s="209">
        <v>357.24506666666662</v>
      </c>
      <c r="AC76" s="209">
        <v>338.65483999999992</v>
      </c>
      <c r="AD76" s="209">
        <v>409.51540800000004</v>
      </c>
      <c r="AE76" s="209">
        <v>484.80743780160003</v>
      </c>
      <c r="AF76" s="209">
        <v>484.12255842826562</v>
      </c>
      <c r="AG76" s="209">
        <v>612.2820756720705</v>
      </c>
      <c r="AH76" s="209">
        <v>771.04244721663213</v>
      </c>
      <c r="AI76" s="209">
        <v>786.92456543688149</v>
      </c>
      <c r="AJ76" s="209">
        <v>930.36427285207606</v>
      </c>
      <c r="AK76" s="210">
        <v>1066.4960076602356</v>
      </c>
      <c r="AL76" s="209">
        <v>402.26362046096972</v>
      </c>
      <c r="AM76" s="209">
        <v>333.10256039562591</v>
      </c>
      <c r="AN76" s="209">
        <v>673.91014410683738</v>
      </c>
      <c r="AO76" s="209">
        <v>639.89968113837472</v>
      </c>
      <c r="AP76" s="209">
        <v>712.0139270623979</v>
      </c>
      <c r="AQ76" s="209">
        <v>775.91844069795479</v>
      </c>
      <c r="AR76" s="209">
        <v>707.46529241017902</v>
      </c>
      <c r="AS76" s="209">
        <v>864.07051596562201</v>
      </c>
      <c r="AT76" s="209">
        <v>1044.9080328935333</v>
      </c>
      <c r="AU76" s="209">
        <v>997.37457032663201</v>
      </c>
      <c r="AV76" s="209">
        <v>1105.6370198023792</v>
      </c>
      <c r="AW76" s="210">
        <v>1215.726577575691</v>
      </c>
      <c r="AX76" s="209">
        <v>531.48257702038734</v>
      </c>
      <c r="AY76" s="209">
        <v>441.23201462211296</v>
      </c>
      <c r="AZ76" s="209">
        <v>943.26134755420821</v>
      </c>
      <c r="BA76" s="209">
        <v>881.18493276106005</v>
      </c>
      <c r="BB76" s="209">
        <v>1020.7450394084983</v>
      </c>
      <c r="BC76" s="209">
        <v>1099.5237303264321</v>
      </c>
      <c r="BD76" s="209">
        <v>1012.8174728505451</v>
      </c>
      <c r="BE76" s="209">
        <v>1232.3282941749585</v>
      </c>
      <c r="BF76" s="209">
        <v>1462.5529962681173</v>
      </c>
      <c r="BG76" s="209">
        <v>1365.2778943478347</v>
      </c>
      <c r="BH76" s="209">
        <v>1492.9309626015124</v>
      </c>
      <c r="BI76" s="210">
        <v>1598.4560435132646</v>
      </c>
      <c r="BJ76" s="209">
        <v>664.2078909252923</v>
      </c>
      <c r="BK76" s="209">
        <v>545.197748850278</v>
      </c>
      <c r="BL76" s="209">
        <v>1156.4870852802496</v>
      </c>
      <c r="BM76" s="209">
        <v>1107.6108653102183</v>
      </c>
      <c r="BN76" s="209">
        <v>1270.8118330304137</v>
      </c>
      <c r="BO76" s="209">
        <v>1356.5120065263109</v>
      </c>
      <c r="BP76" s="209">
        <v>1297.8978979387425</v>
      </c>
      <c r="BQ76" s="209">
        <v>1576.1089508154394</v>
      </c>
      <c r="BR76" s="209">
        <v>1877.2789700992416</v>
      </c>
      <c r="BS76" s="209">
        <v>1765.7682404238697</v>
      </c>
      <c r="BT76" s="209">
        <v>1904.1537952441281</v>
      </c>
      <c r="BU76" s="210">
        <v>2044.300993098042</v>
      </c>
      <c r="BV76" s="209">
        <v>851.14097733218284</v>
      </c>
      <c r="BW76" s="209">
        <v>687.42805836160233</v>
      </c>
      <c r="BX76" s="209">
        <v>1455.4828643671312</v>
      </c>
      <c r="BY76" s="209">
        <v>1393.1651574269504</v>
      </c>
      <c r="BZ76" s="209">
        <v>1564.4516243141748</v>
      </c>
      <c r="CA76" s="209">
        <v>1650.3129658092507</v>
      </c>
      <c r="CB76" s="209">
        <v>1557.9444447888777</v>
      </c>
      <c r="CC76" s="209">
        <v>1904.3534839760539</v>
      </c>
      <c r="CD76" s="209">
        <v>2249.5913586492134</v>
      </c>
      <c r="CE76" s="209">
        <v>2097.0669556582116</v>
      </c>
      <c r="CF76" s="209">
        <v>2257.5941883791461</v>
      </c>
      <c r="CG76" s="210">
        <v>2398.7072207489477</v>
      </c>
      <c r="CH76" s="209">
        <v>962.24495592872472</v>
      </c>
      <c r="CI76" s="209">
        <v>773.60897658817601</v>
      </c>
      <c r="CJ76" s="209">
        <v>1639.8718390167564</v>
      </c>
      <c r="CK76" s="209">
        <v>1581.4925903259759</v>
      </c>
      <c r="CL76" s="209">
        <v>1788.7564414364829</v>
      </c>
      <c r="CM76" s="209">
        <v>1900.8743746349055</v>
      </c>
      <c r="CN76" s="209">
        <v>1818.132695708407</v>
      </c>
      <c r="CO76" s="209">
        <v>2229.0973520931238</v>
      </c>
      <c r="CP76" s="209">
        <v>2639.42293013581</v>
      </c>
      <c r="CQ76" s="209">
        <v>2506.0466978187005</v>
      </c>
      <c r="CR76" s="209">
        <v>2725.8971285791977</v>
      </c>
      <c r="CS76" s="210">
        <v>2905.8986628103821</v>
      </c>
    </row>
    <row r="77" spans="1:97" s="219" customFormat="1" x14ac:dyDescent="0.25">
      <c r="A77" s="219" t="s">
        <v>3</v>
      </c>
      <c r="B77" s="219">
        <v>693</v>
      </c>
      <c r="C77" s="219">
        <v>591</v>
      </c>
      <c r="D77" s="219">
        <v>960</v>
      </c>
      <c r="E77" s="219">
        <v>1131</v>
      </c>
      <c r="F77" s="219">
        <v>1144</v>
      </c>
      <c r="G77" s="219">
        <v>1358</v>
      </c>
      <c r="H77" s="219">
        <v>1465</v>
      </c>
      <c r="I77" s="219">
        <v>1053</v>
      </c>
      <c r="J77" s="219">
        <v>2003</v>
      </c>
      <c r="K77" s="219">
        <v>1541</v>
      </c>
      <c r="L77" s="219">
        <v>2588</v>
      </c>
      <c r="M77" s="220">
        <v>2937</v>
      </c>
      <c r="N77" s="221">
        <v>800</v>
      </c>
      <c r="O77" s="221">
        <v>805</v>
      </c>
      <c r="P77" s="221">
        <v>1910</v>
      </c>
      <c r="Q77" s="221">
        <v>1480</v>
      </c>
      <c r="R77" s="221">
        <v>1605</v>
      </c>
      <c r="S77" s="221">
        <v>2754</v>
      </c>
      <c r="T77" s="221">
        <v>1769</v>
      </c>
      <c r="U77" s="221">
        <v>1988.5</v>
      </c>
      <c r="V77" s="219">
        <v>3227.1864746118404</v>
      </c>
      <c r="W77" s="219">
        <v>2996.0668973245438</v>
      </c>
      <c r="X77" s="219">
        <v>3620.9728338554487</v>
      </c>
      <c r="Y77" s="220">
        <v>4741.3573425175891</v>
      </c>
      <c r="Z77" s="219">
        <v>1392.1310197283105</v>
      </c>
      <c r="AA77" s="219">
        <v>1348.3621621142865</v>
      </c>
      <c r="AB77" s="219">
        <v>3045.2695404261103</v>
      </c>
      <c r="AC77" s="219">
        <v>3044.7469761216944</v>
      </c>
      <c r="AD77" s="219">
        <v>3534.9591166715854</v>
      </c>
      <c r="AE77" s="219">
        <v>4032.8084308938833</v>
      </c>
      <c r="AF77" s="219">
        <v>3721.1306895084845</v>
      </c>
      <c r="AG77" s="219">
        <v>4141.3275183915339</v>
      </c>
      <c r="AH77" s="219">
        <v>4660.6501773405189</v>
      </c>
      <c r="AI77" s="219">
        <v>4387.7721933164175</v>
      </c>
      <c r="AJ77" s="219">
        <v>4846.9398353509405</v>
      </c>
      <c r="AK77" s="220">
        <v>5462.0987517470958</v>
      </c>
      <c r="AL77" s="219">
        <v>2022.7757638813021</v>
      </c>
      <c r="AM77" s="219">
        <v>1865.107334308643</v>
      </c>
      <c r="AN77" s="219">
        <v>4196.0510258635695</v>
      </c>
      <c r="AO77" s="219">
        <v>4232.9010087703391</v>
      </c>
      <c r="AP77" s="219">
        <v>4865.9057307570292</v>
      </c>
      <c r="AQ77" s="219">
        <v>5312.2597163967766</v>
      </c>
      <c r="AR77" s="219">
        <v>5010.1245830592907</v>
      </c>
      <c r="AS77" s="219">
        <v>5574.6743116522284</v>
      </c>
      <c r="AT77" s="219">
        <v>6189.5588517444876</v>
      </c>
      <c r="AU77" s="219">
        <v>5820.300610221364</v>
      </c>
      <c r="AV77" s="219">
        <v>6340.5238056405906</v>
      </c>
      <c r="AW77" s="220">
        <v>6873.7570219848822</v>
      </c>
      <c r="AX77" s="219">
        <v>2618.3813344930136</v>
      </c>
      <c r="AY77" s="219">
        <v>2385.7000735941974</v>
      </c>
      <c r="AZ77" s="219">
        <v>5629.5130222830194</v>
      </c>
      <c r="BA77" s="219">
        <v>5626.1755607462055</v>
      </c>
      <c r="BB77" s="219">
        <v>6461.8753674423042</v>
      </c>
      <c r="BC77" s="219">
        <v>6977.3883809976942</v>
      </c>
      <c r="BD77" s="219">
        <v>6666.9426355960586</v>
      </c>
      <c r="BE77" s="219">
        <v>7408.6723429794438</v>
      </c>
      <c r="BF77" s="219">
        <v>8202.0429630120962</v>
      </c>
      <c r="BG77" s="219">
        <v>7826.3960705104255</v>
      </c>
      <c r="BH77" s="219">
        <v>8490.9733192432395</v>
      </c>
      <c r="BI77" s="220">
        <v>9221.4265524311049</v>
      </c>
      <c r="BJ77" s="219">
        <v>3302.9605193486373</v>
      </c>
      <c r="BK77" s="219">
        <v>3020.3325484457755</v>
      </c>
      <c r="BL77" s="219">
        <v>7009.0893498961868</v>
      </c>
      <c r="BM77" s="219">
        <v>7056.2011322139742</v>
      </c>
      <c r="BN77" s="219">
        <v>8027.4899644028865</v>
      </c>
      <c r="BO77" s="219">
        <v>8548.8664651302097</v>
      </c>
      <c r="BP77" s="219">
        <v>8185.4854857167866</v>
      </c>
      <c r="BQ77" s="219">
        <v>9009.9956723721079</v>
      </c>
      <c r="BR77" s="219">
        <v>9923.8808956431913</v>
      </c>
      <c r="BS77" s="219">
        <v>9379.6921643175119</v>
      </c>
      <c r="BT77" s="219">
        <v>10074.629420122907</v>
      </c>
      <c r="BU77" s="220">
        <v>10857.201984583988</v>
      </c>
      <c r="BV77" s="219">
        <v>3931.8458480371291</v>
      </c>
      <c r="BW77" s="219">
        <v>3582.5247483117964</v>
      </c>
      <c r="BX77" s="219">
        <v>8307.2875306234964</v>
      </c>
      <c r="BY77" s="219">
        <v>8375.6490600573343</v>
      </c>
      <c r="BZ77" s="219">
        <v>9511.5633193922113</v>
      </c>
      <c r="CA77" s="219">
        <v>10141.297948902364</v>
      </c>
      <c r="CB77" s="219">
        <v>9721.3160410185119</v>
      </c>
      <c r="CC77" s="219">
        <v>10831.914056167085</v>
      </c>
      <c r="CD77" s="219">
        <v>11949.491644068154</v>
      </c>
      <c r="CE77" s="219">
        <v>11331.862780789754</v>
      </c>
      <c r="CF77" s="219">
        <v>12263.517338619557</v>
      </c>
      <c r="CG77" s="220">
        <v>13240.473758831991</v>
      </c>
      <c r="CH77" s="219">
        <v>4631.9154411578747</v>
      </c>
      <c r="CI77" s="219">
        <v>4224.7829402773359</v>
      </c>
      <c r="CJ77" s="219">
        <v>9813.6211749765862</v>
      </c>
      <c r="CK77" s="219">
        <v>9916.1393608447834</v>
      </c>
      <c r="CL77" s="219">
        <v>11276.59573365478</v>
      </c>
      <c r="CM77" s="219">
        <v>12039.966198370021</v>
      </c>
      <c r="CN77" s="219">
        <v>11555.641366930155</v>
      </c>
      <c r="CO77" s="219">
        <v>12867.611573341739</v>
      </c>
      <c r="CP77" s="219">
        <v>14196.115331562727</v>
      </c>
      <c r="CQ77" s="219">
        <v>13625.165126896214</v>
      </c>
      <c r="CR77" s="219">
        <v>14870.809911176839</v>
      </c>
      <c r="CS77" s="220">
        <v>16064.830581548307</v>
      </c>
    </row>
    <row r="79" spans="1:97" s="194" customFormat="1" x14ac:dyDescent="0.25">
      <c r="A79" s="72"/>
      <c r="B79" s="72">
        <v>1</v>
      </c>
      <c r="C79" s="190">
        <v>2</v>
      </c>
      <c r="D79" s="190">
        <v>3</v>
      </c>
      <c r="E79" s="190">
        <v>4</v>
      </c>
      <c r="F79" s="190">
        <v>5</v>
      </c>
      <c r="G79" s="190">
        <v>6</v>
      </c>
      <c r="H79" s="190">
        <v>7</v>
      </c>
      <c r="I79" s="190">
        <v>8</v>
      </c>
      <c r="J79" s="190">
        <v>9</v>
      </c>
      <c r="K79" s="190">
        <v>10</v>
      </c>
      <c r="L79" s="190">
        <v>11</v>
      </c>
      <c r="M79" s="191">
        <v>12</v>
      </c>
      <c r="N79" s="193">
        <v>13</v>
      </c>
      <c r="O79" s="193">
        <v>14</v>
      </c>
      <c r="P79" s="193">
        <v>15</v>
      </c>
      <c r="Q79" s="193">
        <v>16</v>
      </c>
      <c r="R79" s="193">
        <v>17</v>
      </c>
      <c r="S79" s="193">
        <v>18</v>
      </c>
      <c r="T79" s="193">
        <v>19</v>
      </c>
      <c r="U79" s="193">
        <v>20</v>
      </c>
      <c r="V79" s="190">
        <v>21</v>
      </c>
      <c r="W79" s="190">
        <v>22</v>
      </c>
      <c r="X79" s="190">
        <v>23</v>
      </c>
      <c r="Y79" s="191">
        <v>24</v>
      </c>
      <c r="Z79" s="190">
        <v>25</v>
      </c>
      <c r="AA79" s="190">
        <v>26</v>
      </c>
      <c r="AB79" s="190">
        <v>27</v>
      </c>
      <c r="AC79" s="190">
        <v>28</v>
      </c>
      <c r="AD79" s="190">
        <v>29</v>
      </c>
      <c r="AE79" s="190">
        <v>30</v>
      </c>
      <c r="AF79" s="190">
        <v>31</v>
      </c>
      <c r="AG79" s="190">
        <v>32</v>
      </c>
      <c r="AH79" s="190">
        <v>33</v>
      </c>
      <c r="AI79" s="190">
        <v>34</v>
      </c>
      <c r="AJ79" s="190">
        <v>35</v>
      </c>
      <c r="AK79" s="191">
        <v>36</v>
      </c>
      <c r="AL79" s="190">
        <v>37</v>
      </c>
      <c r="AM79" s="190">
        <v>38</v>
      </c>
      <c r="AN79" s="190">
        <v>39</v>
      </c>
      <c r="AO79" s="190">
        <v>40</v>
      </c>
      <c r="AP79" s="190">
        <v>41</v>
      </c>
      <c r="AQ79" s="190">
        <v>42</v>
      </c>
      <c r="AR79" s="190">
        <v>43</v>
      </c>
      <c r="AS79" s="190">
        <v>44</v>
      </c>
      <c r="AT79" s="190">
        <v>45</v>
      </c>
      <c r="AU79" s="190">
        <v>46</v>
      </c>
      <c r="AV79" s="190">
        <v>47</v>
      </c>
      <c r="AW79" s="191">
        <v>48</v>
      </c>
      <c r="AX79" s="190">
        <v>49</v>
      </c>
      <c r="AY79" s="190">
        <v>50</v>
      </c>
      <c r="AZ79" s="190">
        <v>51</v>
      </c>
      <c r="BA79" s="190">
        <v>52</v>
      </c>
      <c r="BB79" s="190">
        <v>53</v>
      </c>
      <c r="BC79" s="190">
        <v>54</v>
      </c>
      <c r="BD79" s="190">
        <v>55</v>
      </c>
      <c r="BE79" s="190">
        <v>56</v>
      </c>
      <c r="BF79" s="190">
        <v>57</v>
      </c>
      <c r="BG79" s="190">
        <v>58</v>
      </c>
      <c r="BH79" s="190">
        <v>59</v>
      </c>
      <c r="BI79" s="191">
        <v>60</v>
      </c>
      <c r="BJ79" s="190">
        <v>61</v>
      </c>
      <c r="BK79" s="190">
        <v>62</v>
      </c>
      <c r="BL79" s="190">
        <v>63</v>
      </c>
      <c r="BM79" s="190">
        <v>64</v>
      </c>
      <c r="BN79" s="190">
        <v>65</v>
      </c>
      <c r="BO79" s="190">
        <v>66</v>
      </c>
      <c r="BP79" s="190">
        <v>67</v>
      </c>
      <c r="BQ79" s="190">
        <v>68</v>
      </c>
      <c r="BR79" s="190">
        <v>69</v>
      </c>
      <c r="BS79" s="190">
        <v>70</v>
      </c>
      <c r="BT79" s="190">
        <v>71</v>
      </c>
      <c r="BU79" s="191">
        <v>72</v>
      </c>
      <c r="BV79" s="190">
        <v>73</v>
      </c>
      <c r="BW79" s="190">
        <v>74</v>
      </c>
      <c r="BX79" s="190">
        <v>75</v>
      </c>
      <c r="BY79" s="190">
        <v>76</v>
      </c>
      <c r="BZ79" s="190">
        <v>77</v>
      </c>
      <c r="CA79" s="190">
        <v>78</v>
      </c>
      <c r="CB79" s="190">
        <v>79</v>
      </c>
      <c r="CC79" s="190">
        <v>80</v>
      </c>
      <c r="CD79" s="190">
        <v>81</v>
      </c>
      <c r="CE79" s="190">
        <v>82</v>
      </c>
      <c r="CF79" s="190">
        <v>83</v>
      </c>
      <c r="CG79" s="191">
        <v>84</v>
      </c>
      <c r="CH79" s="190">
        <v>85</v>
      </c>
      <c r="CI79" s="190">
        <v>86</v>
      </c>
      <c r="CJ79" s="190">
        <v>87</v>
      </c>
      <c r="CK79" s="190">
        <v>88</v>
      </c>
      <c r="CL79" s="190">
        <v>89</v>
      </c>
      <c r="CM79" s="190">
        <v>90</v>
      </c>
      <c r="CN79" s="190">
        <v>91</v>
      </c>
      <c r="CO79" s="190">
        <v>92</v>
      </c>
      <c r="CP79" s="190">
        <v>93</v>
      </c>
      <c r="CQ79" s="190">
        <v>94</v>
      </c>
      <c r="CR79" s="190">
        <v>95</v>
      </c>
      <c r="CS79" s="191">
        <v>96</v>
      </c>
    </row>
    <row r="80" spans="1:97" s="227" customFormat="1" x14ac:dyDescent="0.25">
      <c r="A80" s="227" t="s">
        <v>13</v>
      </c>
      <c r="B80" s="228">
        <v>42005</v>
      </c>
      <c r="C80" s="228">
        <v>42036</v>
      </c>
      <c r="D80" s="228">
        <v>42064</v>
      </c>
      <c r="E80" s="228">
        <v>42095</v>
      </c>
      <c r="F80" s="228">
        <v>42125</v>
      </c>
      <c r="G80" s="228">
        <v>42156</v>
      </c>
      <c r="H80" s="228">
        <v>42186</v>
      </c>
      <c r="I80" s="228">
        <v>42217</v>
      </c>
      <c r="J80" s="228">
        <v>42248</v>
      </c>
      <c r="K80" s="228">
        <v>42278</v>
      </c>
      <c r="L80" s="228">
        <v>42309</v>
      </c>
      <c r="M80" s="229">
        <v>42339</v>
      </c>
      <c r="N80" s="230">
        <v>42370</v>
      </c>
      <c r="O80" s="230">
        <v>42401</v>
      </c>
      <c r="P80" s="230">
        <v>42430</v>
      </c>
      <c r="Q80" s="230">
        <v>42461</v>
      </c>
      <c r="R80" s="230">
        <v>42491</v>
      </c>
      <c r="S80" s="230">
        <v>42522</v>
      </c>
      <c r="T80" s="230">
        <v>42552</v>
      </c>
      <c r="U80" s="230">
        <v>42583</v>
      </c>
      <c r="V80" s="228">
        <v>42614</v>
      </c>
      <c r="W80" s="228">
        <v>42644</v>
      </c>
      <c r="X80" s="228">
        <v>42675</v>
      </c>
      <c r="Y80" s="229">
        <v>42705</v>
      </c>
      <c r="Z80" s="228">
        <v>42752</v>
      </c>
      <c r="AA80" s="228">
        <v>42783</v>
      </c>
      <c r="AB80" s="228">
        <v>42811</v>
      </c>
      <c r="AC80" s="228">
        <v>42842</v>
      </c>
      <c r="AD80" s="228">
        <v>42872</v>
      </c>
      <c r="AE80" s="228">
        <v>42903</v>
      </c>
      <c r="AF80" s="228">
        <v>42933</v>
      </c>
      <c r="AG80" s="228">
        <v>42964</v>
      </c>
      <c r="AH80" s="228">
        <v>42995</v>
      </c>
      <c r="AI80" s="228">
        <v>43025</v>
      </c>
      <c r="AJ80" s="228">
        <v>43056</v>
      </c>
      <c r="AK80" s="229">
        <v>43086</v>
      </c>
      <c r="AL80" s="228">
        <v>43118</v>
      </c>
      <c r="AM80" s="228">
        <v>43149</v>
      </c>
      <c r="AN80" s="228">
        <v>43177</v>
      </c>
      <c r="AO80" s="228">
        <v>43208</v>
      </c>
      <c r="AP80" s="228">
        <v>43238</v>
      </c>
      <c r="AQ80" s="228">
        <v>43269</v>
      </c>
      <c r="AR80" s="228">
        <v>43299</v>
      </c>
      <c r="AS80" s="228">
        <v>43330</v>
      </c>
      <c r="AT80" s="228">
        <v>43361</v>
      </c>
      <c r="AU80" s="228">
        <v>43391</v>
      </c>
      <c r="AV80" s="228">
        <v>43422</v>
      </c>
      <c r="AW80" s="229">
        <v>43452</v>
      </c>
      <c r="AX80" s="228">
        <v>43483</v>
      </c>
      <c r="AY80" s="228">
        <v>43514</v>
      </c>
      <c r="AZ80" s="228">
        <v>43542</v>
      </c>
      <c r="BA80" s="228">
        <v>43573</v>
      </c>
      <c r="BB80" s="228">
        <v>43603</v>
      </c>
      <c r="BC80" s="228">
        <v>43634</v>
      </c>
      <c r="BD80" s="228">
        <v>43664</v>
      </c>
      <c r="BE80" s="228">
        <v>43695</v>
      </c>
      <c r="BF80" s="228">
        <v>43726</v>
      </c>
      <c r="BG80" s="228">
        <v>43756</v>
      </c>
      <c r="BH80" s="228">
        <v>43787</v>
      </c>
      <c r="BI80" s="229">
        <v>43817</v>
      </c>
      <c r="BJ80" s="228">
        <v>43848</v>
      </c>
      <c r="BK80" s="228">
        <v>43879</v>
      </c>
      <c r="BL80" s="228">
        <v>43908</v>
      </c>
      <c r="BM80" s="228">
        <v>43939</v>
      </c>
      <c r="BN80" s="228">
        <v>43969</v>
      </c>
      <c r="BO80" s="228">
        <v>44000</v>
      </c>
      <c r="BP80" s="228">
        <v>44030</v>
      </c>
      <c r="BQ80" s="228">
        <v>44061</v>
      </c>
      <c r="BR80" s="228">
        <v>44092</v>
      </c>
      <c r="BS80" s="228">
        <v>44122</v>
      </c>
      <c r="BT80" s="228">
        <v>44153</v>
      </c>
      <c r="BU80" s="229">
        <v>44183</v>
      </c>
      <c r="BV80" s="228">
        <v>44214</v>
      </c>
      <c r="BW80" s="228">
        <v>44245</v>
      </c>
      <c r="BX80" s="228">
        <v>44273</v>
      </c>
      <c r="BY80" s="228">
        <v>44304</v>
      </c>
      <c r="BZ80" s="228">
        <v>44334</v>
      </c>
      <c r="CA80" s="228">
        <v>44365</v>
      </c>
      <c r="CB80" s="228">
        <v>44395</v>
      </c>
      <c r="CC80" s="228">
        <v>44426</v>
      </c>
      <c r="CD80" s="228">
        <v>44457</v>
      </c>
      <c r="CE80" s="228">
        <v>44487</v>
      </c>
      <c r="CF80" s="228">
        <v>44518</v>
      </c>
      <c r="CG80" s="229">
        <v>44548</v>
      </c>
      <c r="CH80" s="228">
        <v>44579</v>
      </c>
      <c r="CI80" s="228">
        <v>44610</v>
      </c>
      <c r="CJ80" s="228">
        <v>44638</v>
      </c>
      <c r="CK80" s="228">
        <v>44669</v>
      </c>
      <c r="CL80" s="228">
        <v>44699</v>
      </c>
      <c r="CM80" s="228">
        <v>44730</v>
      </c>
      <c r="CN80" s="228">
        <v>44760</v>
      </c>
      <c r="CO80" s="228">
        <v>44791</v>
      </c>
      <c r="CP80" s="228">
        <v>44822</v>
      </c>
      <c r="CQ80" s="228">
        <v>44852</v>
      </c>
      <c r="CR80" s="228">
        <v>44883</v>
      </c>
      <c r="CS80" s="229">
        <v>44913</v>
      </c>
    </row>
    <row r="81" spans="1:99" s="252" customFormat="1" x14ac:dyDescent="0.25">
      <c r="A81" s="252" t="s">
        <v>4</v>
      </c>
      <c r="B81" s="252">
        <v>2.1578947368421053</v>
      </c>
      <c r="C81" s="252">
        <v>2.2000000000000002</v>
      </c>
      <c r="D81" s="252">
        <v>3.8048780487804876</v>
      </c>
      <c r="E81" s="252">
        <v>3.1886792452830188</v>
      </c>
      <c r="F81" s="252">
        <v>2.0084745762711864</v>
      </c>
      <c r="G81" s="252">
        <v>2.7314814814814814</v>
      </c>
      <c r="H81" s="252">
        <v>3.3076923076923075</v>
      </c>
      <c r="I81" s="252">
        <v>1.9893617021276595</v>
      </c>
      <c r="J81" s="252">
        <v>2.976923076923077</v>
      </c>
      <c r="K81" s="252">
        <v>2.877049180327869</v>
      </c>
      <c r="L81" s="252">
        <v>3.2962962962962963</v>
      </c>
      <c r="M81" s="253">
        <v>5.1315789473684212</v>
      </c>
      <c r="N81" s="254">
        <v>1.4222222222222223</v>
      </c>
      <c r="O81" s="254">
        <v>1.6341463414634145</v>
      </c>
      <c r="P81" s="254">
        <v>2.523076923076923</v>
      </c>
      <c r="Q81" s="254">
        <v>3.4705882352941178</v>
      </c>
      <c r="R81" s="254">
        <v>2.2400000000000002</v>
      </c>
      <c r="S81" s="254">
        <v>2.09375</v>
      </c>
      <c r="T81" s="254">
        <v>2.3913043478260869</v>
      </c>
      <c r="U81" s="254">
        <v>2.2021276595744679</v>
      </c>
      <c r="V81" s="252">
        <v>3.3431137724550899</v>
      </c>
      <c r="W81" s="252">
        <v>2.979036827195467</v>
      </c>
      <c r="X81" s="252">
        <v>3.1954545454545453</v>
      </c>
      <c r="Y81" s="253">
        <v>3.3062780269058294</v>
      </c>
      <c r="Z81" s="252">
        <v>1.405128205128205</v>
      </c>
      <c r="AA81" s="252">
        <v>1.4307692307692306</v>
      </c>
      <c r="AB81" s="252">
        <v>2.4569999999999999</v>
      </c>
      <c r="AC81" s="252">
        <v>2.4724440762220379</v>
      </c>
      <c r="AD81" s="252">
        <v>3.1453189726594863</v>
      </c>
      <c r="AE81" s="252">
        <v>3.1737365368682688</v>
      </c>
      <c r="AF81" s="252">
        <v>2.9852112676056333</v>
      </c>
      <c r="AG81" s="252">
        <v>3.1737365368682688</v>
      </c>
      <c r="AH81" s="252">
        <v>3.2305716652858325</v>
      </c>
      <c r="AI81" s="252">
        <v>3.0363628831814413</v>
      </c>
      <c r="AJ81" s="252">
        <v>3.2021541010770509</v>
      </c>
      <c r="AK81" s="253">
        <v>3.2305716652858329</v>
      </c>
      <c r="AL81" s="252">
        <v>1.4530588235294117</v>
      </c>
      <c r="AM81" s="252">
        <v>1.4692941176470589</v>
      </c>
      <c r="AN81" s="252">
        <v>2.4547143459592085</v>
      </c>
      <c r="AO81" s="252">
        <v>2.5007422174513114</v>
      </c>
      <c r="AP81" s="252">
        <v>3.1441596341297515</v>
      </c>
      <c r="AQ81" s="252">
        <v>3.1745740643050371</v>
      </c>
      <c r="AR81" s="252">
        <v>3.0350448764910718</v>
      </c>
      <c r="AS81" s="252">
        <v>3.2538683179328127</v>
      </c>
      <c r="AT81" s="252">
        <v>3.3240192088751046</v>
      </c>
      <c r="AU81" s="252">
        <v>3.1282601366710763</v>
      </c>
      <c r="AV81" s="252">
        <v>3.3004803102194282</v>
      </c>
      <c r="AW81" s="253">
        <v>3.3364611004063289</v>
      </c>
      <c r="AX81" s="252">
        <v>1.5262570438799077</v>
      </c>
      <c r="AY81" s="252">
        <v>1.5447949191685912</v>
      </c>
      <c r="AZ81" s="252">
        <v>2.547969799087034</v>
      </c>
      <c r="BA81" s="252">
        <v>2.604264820930609</v>
      </c>
      <c r="BB81" s="252">
        <v>3.2481058805521821</v>
      </c>
      <c r="BC81" s="252">
        <v>3.2867502530418999</v>
      </c>
      <c r="BD81" s="252">
        <v>3.1381423947230291</v>
      </c>
      <c r="BE81" s="252">
        <v>3.367675517675321</v>
      </c>
      <c r="BF81" s="252">
        <v>3.4478521153186117</v>
      </c>
      <c r="BG81" s="252">
        <v>3.241832834234514</v>
      </c>
      <c r="BH81" s="252">
        <v>3.4211105454679296</v>
      </c>
      <c r="BI81" s="253">
        <v>3.4561430879190644</v>
      </c>
      <c r="BJ81" s="252">
        <v>1.5666752330097089</v>
      </c>
      <c r="BK81" s="252">
        <v>1.5872220000000001</v>
      </c>
      <c r="BL81" s="252">
        <v>2.5936495914017663</v>
      </c>
      <c r="BM81" s="252">
        <v>2.6645312649294395</v>
      </c>
      <c r="BN81" s="252">
        <v>3.3131190278550275</v>
      </c>
      <c r="BO81" s="252">
        <v>3.3540708528985155</v>
      </c>
      <c r="BP81" s="252">
        <v>3.2005571639421269</v>
      </c>
      <c r="BQ81" s="252">
        <v>3.4359497847074425</v>
      </c>
      <c r="BR81" s="252">
        <v>3.5276717822919417</v>
      </c>
      <c r="BS81" s="252">
        <v>3.3160496646029882</v>
      </c>
      <c r="BT81" s="252">
        <v>3.4996385126835188</v>
      </c>
      <c r="BU81" s="253">
        <v>3.536231884843998</v>
      </c>
      <c r="BV81" s="252">
        <v>1.6232604144723617</v>
      </c>
      <c r="BW81" s="252">
        <v>1.6456260518592967</v>
      </c>
      <c r="BX81" s="252">
        <v>2.672010804989486</v>
      </c>
      <c r="BY81" s="252">
        <v>2.7524733990857424</v>
      </c>
      <c r="BZ81" s="252">
        <v>3.4337778916956077</v>
      </c>
      <c r="CA81" s="252">
        <v>3.4761760631098233</v>
      </c>
      <c r="CB81" s="252">
        <v>3.3170434873473593</v>
      </c>
      <c r="CC81" s="252">
        <v>3.5523815010135227</v>
      </c>
      <c r="CD81" s="252">
        <v>3.648627678134678</v>
      </c>
      <c r="CE81" s="252">
        <v>3.4292055262135275</v>
      </c>
      <c r="CF81" s="252">
        <v>3.6153701191175536</v>
      </c>
      <c r="CG81" s="253">
        <v>3.6364718381240215</v>
      </c>
      <c r="CH81" s="252">
        <v>1.6910557881649486</v>
      </c>
      <c r="CI81" s="252">
        <v>1.7149190745154641</v>
      </c>
      <c r="CJ81" s="252">
        <v>2.7764754538062717</v>
      </c>
      <c r="CK81" s="252">
        <v>2.8638332886300932</v>
      </c>
      <c r="CL81" s="252">
        <v>3.5682474807999185</v>
      </c>
      <c r="CM81" s="252">
        <v>3.6130896972494519</v>
      </c>
      <c r="CN81" s="252">
        <v>3.446650247453841</v>
      </c>
      <c r="CO81" s="252">
        <v>3.6913105396564858</v>
      </c>
      <c r="CP81" s="252">
        <v>3.7933414925330333</v>
      </c>
      <c r="CQ81" s="252">
        <v>3.5562703868099605</v>
      </c>
      <c r="CR81" s="252">
        <v>3.7579052321643354</v>
      </c>
      <c r="CS81" s="253">
        <v>3.7793047078041959</v>
      </c>
    </row>
    <row r="82" spans="1:99" s="252" customFormat="1" x14ac:dyDescent="0.25">
      <c r="A82" s="252" t="s">
        <v>5</v>
      </c>
      <c r="B82" s="252">
        <v>1.2622950819672132</v>
      </c>
      <c r="C82" s="252">
        <v>1.1805555555555556</v>
      </c>
      <c r="D82" s="252">
        <v>1.4214285714285715</v>
      </c>
      <c r="E82" s="252">
        <v>1.4457831325301205</v>
      </c>
      <c r="F82" s="252">
        <v>1.2358490566037736</v>
      </c>
      <c r="G82" s="252">
        <v>1.3317073170731708</v>
      </c>
      <c r="H82" s="252">
        <v>1.4462809917355373</v>
      </c>
      <c r="I82" s="252">
        <v>1.2971428571428572</v>
      </c>
      <c r="J82" s="252">
        <v>1.5092936802973977</v>
      </c>
      <c r="K82" s="252">
        <v>1.3316831683168318</v>
      </c>
      <c r="L82" s="252">
        <v>1.678191489361702</v>
      </c>
      <c r="M82" s="253">
        <v>1.8985507246376812</v>
      </c>
      <c r="N82" s="254">
        <v>1.3898305084745763</v>
      </c>
      <c r="O82" s="254">
        <v>1.3015873015873016</v>
      </c>
      <c r="P82" s="254">
        <v>1.7807308970099667</v>
      </c>
      <c r="Q82" s="254">
        <v>1.4385245901639345</v>
      </c>
      <c r="R82" s="254">
        <v>1.3578595317725752</v>
      </c>
      <c r="S82" s="254">
        <v>1.6579861111111112</v>
      </c>
      <c r="T82" s="254">
        <v>1.4011142061281336</v>
      </c>
      <c r="U82" s="254">
        <v>1.4156479217603912</v>
      </c>
      <c r="V82" s="252">
        <v>1.7274273863356426</v>
      </c>
      <c r="W82" s="252">
        <v>1.5597573720543789</v>
      </c>
      <c r="X82" s="252">
        <v>1.5982846535091051</v>
      </c>
      <c r="Y82" s="253">
        <v>1.6641792694790078</v>
      </c>
      <c r="Z82" s="252">
        <v>1.3824619755338676</v>
      </c>
      <c r="AA82" s="252">
        <v>1.2706345102429983</v>
      </c>
      <c r="AB82" s="252">
        <v>1.3672609406708887</v>
      </c>
      <c r="AC82" s="252">
        <v>1.3811566586172828</v>
      </c>
      <c r="AD82" s="252">
        <v>1.5470065246695803</v>
      </c>
      <c r="AE82" s="252">
        <v>1.5853516059040129</v>
      </c>
      <c r="AF82" s="252">
        <v>1.4667096060377782</v>
      </c>
      <c r="AG82" s="252">
        <v>1.5462558816025338</v>
      </c>
      <c r="AH82" s="252">
        <v>1.6127462292986814</v>
      </c>
      <c r="AI82" s="252">
        <v>1.4857829373945728</v>
      </c>
      <c r="AJ82" s="252">
        <v>1.5453591908809603</v>
      </c>
      <c r="AK82" s="253">
        <v>1.6113225760641441</v>
      </c>
      <c r="AL82" s="252">
        <v>1.4317136635829253</v>
      </c>
      <c r="AM82" s="252">
        <v>1.3013782454532787</v>
      </c>
      <c r="AN82" s="252">
        <v>1.399928336950425</v>
      </c>
      <c r="AO82" s="252">
        <v>1.42997793055478</v>
      </c>
      <c r="AP82" s="252">
        <v>1.5976228533601633</v>
      </c>
      <c r="AQ82" s="252">
        <v>1.6485317393868695</v>
      </c>
      <c r="AR82" s="252">
        <v>1.5574892233885265</v>
      </c>
      <c r="AS82" s="252">
        <v>1.6368610976552598</v>
      </c>
      <c r="AT82" s="252">
        <v>1.7071289123146594</v>
      </c>
      <c r="AU82" s="252">
        <v>1.596777110568933</v>
      </c>
      <c r="AV82" s="252">
        <v>1.6542229231824486</v>
      </c>
      <c r="AW82" s="253">
        <v>1.7189134236070265</v>
      </c>
      <c r="AX82" s="252">
        <v>1.5027753006637226</v>
      </c>
      <c r="AY82" s="252">
        <v>1.3600019217411325</v>
      </c>
      <c r="AZ82" s="252">
        <v>1.4687980917560237</v>
      </c>
      <c r="BA82" s="252">
        <v>1.4865131931210571</v>
      </c>
      <c r="BB82" s="252">
        <v>1.6640072945450979</v>
      </c>
      <c r="BC82" s="252">
        <v>1.7174999028335385</v>
      </c>
      <c r="BD82" s="252">
        <v>1.606050550728559</v>
      </c>
      <c r="BE82" s="252">
        <v>1.7030557943812359</v>
      </c>
      <c r="BF82" s="252">
        <v>1.7776620989011906</v>
      </c>
      <c r="BG82" s="252">
        <v>1.6485430889748296</v>
      </c>
      <c r="BH82" s="252">
        <v>1.7206608657342468</v>
      </c>
      <c r="BI82" s="253">
        <v>1.7965754604980033</v>
      </c>
      <c r="BJ82" s="252">
        <v>1.5386942891717472</v>
      </c>
      <c r="BK82" s="252">
        <v>1.3927883831143983</v>
      </c>
      <c r="BL82" s="252">
        <v>1.5028241563715554</v>
      </c>
      <c r="BM82" s="252">
        <v>1.5222605079954472</v>
      </c>
      <c r="BN82" s="252">
        <v>1.7042930273542301</v>
      </c>
      <c r="BO82" s="252">
        <v>1.7547188609224698</v>
      </c>
      <c r="BP82" s="252">
        <v>1.6442278407891995</v>
      </c>
      <c r="BQ82" s="252">
        <v>1.7432616173228621</v>
      </c>
      <c r="BR82" s="252">
        <v>1.8170108750652882</v>
      </c>
      <c r="BS82" s="252">
        <v>1.6883332660358834</v>
      </c>
      <c r="BT82" s="252">
        <v>1.7619918950774331</v>
      </c>
      <c r="BU82" s="253">
        <v>1.8357713769015729</v>
      </c>
      <c r="BV82" s="252">
        <v>1.5910378647800256</v>
      </c>
      <c r="BW82" s="252">
        <v>1.4412461721546925</v>
      </c>
      <c r="BX82" s="252">
        <v>1.5555297536116479</v>
      </c>
      <c r="BY82" s="252">
        <v>1.5747596617577753</v>
      </c>
      <c r="BZ82" s="252">
        <v>1.7639495048670928</v>
      </c>
      <c r="CA82" s="252">
        <v>1.8157846533139903</v>
      </c>
      <c r="CB82" s="252">
        <v>1.7020023611097679</v>
      </c>
      <c r="CC82" s="252">
        <v>1.8023001881795944</v>
      </c>
      <c r="CD82" s="252">
        <v>1.8785249412761678</v>
      </c>
      <c r="CE82" s="252">
        <v>1.7455280129170681</v>
      </c>
      <c r="CF82" s="252">
        <v>1.8206883776655673</v>
      </c>
      <c r="CG82" s="253">
        <v>1.8970837806901875</v>
      </c>
      <c r="CH82" s="252">
        <v>1.6507816247265765</v>
      </c>
      <c r="CI82" s="252">
        <v>1.4946497841628774</v>
      </c>
      <c r="CJ82" s="252">
        <v>1.612231671993636</v>
      </c>
      <c r="CK82" s="252">
        <v>1.6325424459826137</v>
      </c>
      <c r="CL82" s="252">
        <v>1.8281893690904913</v>
      </c>
      <c r="CM82" s="252">
        <v>1.8823331337957219</v>
      </c>
      <c r="CN82" s="252">
        <v>1.7639943879514266</v>
      </c>
      <c r="CO82" s="252">
        <v>1.8678200996535717</v>
      </c>
      <c r="CP82" s="252">
        <v>1.9473558873667411</v>
      </c>
      <c r="CQ82" s="252">
        <v>1.8070148796122749</v>
      </c>
      <c r="CR82" s="252">
        <v>1.8869880883569585</v>
      </c>
      <c r="CS82" s="253">
        <v>1.9665318545615624</v>
      </c>
    </row>
    <row r="83" spans="1:99" s="252" customFormat="1" x14ac:dyDescent="0.25">
      <c r="A83" s="252" t="s">
        <v>6</v>
      </c>
      <c r="B83" s="252">
        <v>1.3490566037735849</v>
      </c>
      <c r="C83" s="252">
        <v>1.2264150943396226</v>
      </c>
      <c r="D83" s="252">
        <v>1.647887323943662</v>
      </c>
      <c r="E83" s="252">
        <v>1.4142857142857144</v>
      </c>
      <c r="F83" s="252">
        <v>1.4598765432098766</v>
      </c>
      <c r="G83" s="252">
        <v>1.4697986577181208</v>
      </c>
      <c r="H83" s="252">
        <v>1.4345238095238095</v>
      </c>
      <c r="I83" s="252">
        <v>1.3333333333333333</v>
      </c>
      <c r="J83" s="252">
        <v>1.7212643678160919</v>
      </c>
      <c r="K83" s="252">
        <v>1.4187192118226601</v>
      </c>
      <c r="L83" s="252">
        <v>1.9090909090909092</v>
      </c>
      <c r="M83" s="253">
        <v>1.9171875</v>
      </c>
      <c r="N83" s="254">
        <v>1.2980769230769231</v>
      </c>
      <c r="O83" s="254">
        <v>1.4642857142857142</v>
      </c>
      <c r="P83" s="254">
        <v>1.8367346938775511</v>
      </c>
      <c r="Q83" s="254">
        <v>1.4792899408284024</v>
      </c>
      <c r="R83" s="254">
        <v>1.5802469135802468</v>
      </c>
      <c r="S83" s="254">
        <v>1.8685344827586208</v>
      </c>
      <c r="T83" s="254">
        <v>1.33</v>
      </c>
      <c r="U83" s="254">
        <v>1.4780701754385965</v>
      </c>
      <c r="V83" s="252">
        <v>1.6713197652640779</v>
      </c>
      <c r="W83" s="252">
        <v>1.4574509329759096</v>
      </c>
      <c r="X83" s="252">
        <v>1.4832415422872951</v>
      </c>
      <c r="Y83" s="253">
        <v>1.6949672336335655</v>
      </c>
      <c r="Z83" s="252">
        <v>1.2018884462266279</v>
      </c>
      <c r="AA83" s="252">
        <v>1.4301844910879695</v>
      </c>
      <c r="AB83" s="252">
        <v>1.6760402738175089</v>
      </c>
      <c r="AC83" s="252">
        <v>1.5536656028866287</v>
      </c>
      <c r="AD83" s="252">
        <v>1.6475575611223323</v>
      </c>
      <c r="AE83" s="252">
        <v>1.694442801294034</v>
      </c>
      <c r="AF83" s="252">
        <v>1.5529507493569852</v>
      </c>
      <c r="AG83" s="252">
        <v>1.6485370605041634</v>
      </c>
      <c r="AH83" s="252">
        <v>1.7096919112019004</v>
      </c>
      <c r="AI83" s="252">
        <v>1.5771745789800624</v>
      </c>
      <c r="AJ83" s="252">
        <v>1.6508699304384142</v>
      </c>
      <c r="AK83" s="253">
        <v>1.7090193931607203</v>
      </c>
      <c r="AL83" s="252">
        <v>1.2492369358353097</v>
      </c>
      <c r="AM83" s="252">
        <v>1.4675974486916272</v>
      </c>
      <c r="AN83" s="252">
        <v>1.7148201758658648</v>
      </c>
      <c r="AO83" s="252">
        <v>1.59301567814034</v>
      </c>
      <c r="AP83" s="252">
        <v>1.7131731745082022</v>
      </c>
      <c r="AQ83" s="252">
        <v>1.746965522711857</v>
      </c>
      <c r="AR83" s="252">
        <v>1.6498157298506597</v>
      </c>
      <c r="AS83" s="252">
        <v>1.7566376976831883</v>
      </c>
      <c r="AT83" s="252">
        <v>1.8051458232414446</v>
      </c>
      <c r="AU83" s="252">
        <v>1.6886183364137548</v>
      </c>
      <c r="AV83" s="252">
        <v>1.7741967895210369</v>
      </c>
      <c r="AW83" s="253">
        <v>1.8247833858689617</v>
      </c>
      <c r="AX83" s="252">
        <v>1.3263670248683288</v>
      </c>
      <c r="AY83" s="252">
        <v>1.5429946466005118</v>
      </c>
      <c r="AZ83" s="252">
        <v>1.7864116300943871</v>
      </c>
      <c r="BA83" s="252">
        <v>1.6677710976055515</v>
      </c>
      <c r="BB83" s="252">
        <v>1.7710717218390293</v>
      </c>
      <c r="BC83" s="252">
        <v>1.8242246427462736</v>
      </c>
      <c r="BD83" s="252">
        <v>1.7160834458377203</v>
      </c>
      <c r="BE83" s="252">
        <v>1.8128407676454583</v>
      </c>
      <c r="BF83" s="252">
        <v>1.8836668457859274</v>
      </c>
      <c r="BG83" s="252">
        <v>1.7564040894152084</v>
      </c>
      <c r="BH83" s="252">
        <v>1.8317145433053659</v>
      </c>
      <c r="BI83" s="253">
        <v>1.90427429847651</v>
      </c>
      <c r="BJ83" s="252">
        <v>1.3503077953960601</v>
      </c>
      <c r="BK83" s="252">
        <v>1.5797320702353763</v>
      </c>
      <c r="BL83" s="252">
        <v>1.829433140589442</v>
      </c>
      <c r="BM83" s="252">
        <v>1.7083721259620972</v>
      </c>
      <c r="BN83" s="252">
        <v>1.8140288669185098</v>
      </c>
      <c r="BO83" s="252">
        <v>1.8681437129034826</v>
      </c>
      <c r="BP83" s="252">
        <v>1.7525110777088571</v>
      </c>
      <c r="BQ83" s="252">
        <v>1.855919343172173</v>
      </c>
      <c r="BR83" s="252">
        <v>1.9297203620867502</v>
      </c>
      <c r="BS83" s="252">
        <v>1.7948816640296972</v>
      </c>
      <c r="BT83" s="252">
        <v>1.8759258511509813</v>
      </c>
      <c r="BU83" s="253">
        <v>1.9497276611736323</v>
      </c>
      <c r="BV83" s="252">
        <v>1.393028950932077</v>
      </c>
      <c r="BW83" s="252">
        <v>1.6330081713956295</v>
      </c>
      <c r="BX83" s="252">
        <v>1.8933987376588484</v>
      </c>
      <c r="BY83" s="252">
        <v>1.768073896973507</v>
      </c>
      <c r="BZ83" s="252">
        <v>1.8773301757367977</v>
      </c>
      <c r="CA83" s="252">
        <v>1.9329281207073958</v>
      </c>
      <c r="CB83" s="252">
        <v>1.813842257301532</v>
      </c>
      <c r="CC83" s="252">
        <v>1.9187017385773664</v>
      </c>
      <c r="CD83" s="252">
        <v>1.9949916345913501</v>
      </c>
      <c r="CE83" s="252">
        <v>1.8556566399516536</v>
      </c>
      <c r="CF83" s="252">
        <v>1.9384170368429625</v>
      </c>
      <c r="CG83" s="253">
        <v>2.0148351182474156</v>
      </c>
      <c r="CH83" s="252">
        <v>1.4440842405272758</v>
      </c>
      <c r="CI83" s="252">
        <v>1.694654771954853</v>
      </c>
      <c r="CJ83" s="252">
        <v>1.9628569594950036</v>
      </c>
      <c r="CK83" s="252">
        <v>1.8324689450016816</v>
      </c>
      <c r="CL83" s="252">
        <v>1.9456812638358654</v>
      </c>
      <c r="CM83" s="252">
        <v>2.0037618535643298</v>
      </c>
      <c r="CN83" s="252">
        <v>1.8800371126149413</v>
      </c>
      <c r="CO83" s="252">
        <v>1.9884727574423391</v>
      </c>
      <c r="CP83" s="252">
        <v>2.0680935509186509</v>
      </c>
      <c r="CQ83" s="252">
        <v>1.921250589439528</v>
      </c>
      <c r="CR83" s="252">
        <v>2.0090064001931069</v>
      </c>
      <c r="CS83" s="253">
        <v>2.0885696329970123</v>
      </c>
    </row>
    <row r="84" spans="1:99" s="252" customFormat="1" x14ac:dyDescent="0.25">
      <c r="A84" s="252" t="s">
        <v>7</v>
      </c>
      <c r="B84" s="252">
        <v>1.2661290322580645</v>
      </c>
      <c r="C84" s="252">
        <v>1.3017241379310345</v>
      </c>
      <c r="D84" s="252">
        <v>1.375</v>
      </c>
      <c r="E84" s="252">
        <v>1.4454545454545455</v>
      </c>
      <c r="F84" s="252">
        <v>1.275735294117647</v>
      </c>
      <c r="G84" s="252">
        <v>1.3482490272373542</v>
      </c>
      <c r="H84" s="252">
        <v>1.3803418803418803</v>
      </c>
      <c r="I84" s="252">
        <v>1.1812499999999999</v>
      </c>
      <c r="J84" s="252">
        <v>1.4481481481481482</v>
      </c>
      <c r="K84" s="252">
        <v>1.3666666666666667</v>
      </c>
      <c r="L84" s="252">
        <v>1.9097744360902256</v>
      </c>
      <c r="M84" s="253">
        <v>1.6189655172413793</v>
      </c>
      <c r="N84" s="254">
        <v>1.227891156462585</v>
      </c>
      <c r="O84" s="254">
        <v>1.2824858757062148</v>
      </c>
      <c r="P84" s="254">
        <v>1.9066666666666667</v>
      </c>
      <c r="Q84" s="254">
        <v>2.064516129032258</v>
      </c>
      <c r="R84" s="254">
        <v>1.7533333333333334</v>
      </c>
      <c r="S84" s="254">
        <v>1.706</v>
      </c>
      <c r="T84" s="254">
        <v>1.5763546798029557</v>
      </c>
      <c r="U84" s="254">
        <v>1.4788273615635179</v>
      </c>
      <c r="V84" s="252">
        <v>2</v>
      </c>
      <c r="W84" s="252">
        <v>1.9</v>
      </c>
      <c r="X84" s="252">
        <v>1.9367330499197477</v>
      </c>
      <c r="Y84" s="253">
        <v>2.1393265684380571</v>
      </c>
      <c r="Z84" s="252">
        <v>1.2340371681978395</v>
      </c>
      <c r="AA84" s="252">
        <v>1.2976853951070291</v>
      </c>
      <c r="AB84" s="252">
        <v>1.5904343282879578</v>
      </c>
      <c r="AC84" s="252">
        <v>1.6680045011200737</v>
      </c>
      <c r="AD84" s="252">
        <v>1.7517684966781519</v>
      </c>
      <c r="AE84" s="252">
        <v>1.798046048897866</v>
      </c>
      <c r="AF84" s="252">
        <v>1.6545963289294932</v>
      </c>
      <c r="AG84" s="252">
        <v>1.7398201283685009</v>
      </c>
      <c r="AH84" s="252">
        <v>1.8114027953781229</v>
      </c>
      <c r="AI84" s="252">
        <v>1.665286690482344</v>
      </c>
      <c r="AJ84" s="252">
        <v>1.7503283057315753</v>
      </c>
      <c r="AK84" s="253">
        <v>1.8131524478288108</v>
      </c>
      <c r="AL84" s="252">
        <v>1.2760726965473823</v>
      </c>
      <c r="AM84" s="252">
        <v>1.3336732172663381</v>
      </c>
      <c r="AN84" s="252">
        <v>1.6233409404900268</v>
      </c>
      <c r="AO84" s="252">
        <v>1.7085193999079267</v>
      </c>
      <c r="AP84" s="252">
        <v>1.7954127733697431</v>
      </c>
      <c r="AQ84" s="252">
        <v>1.862884516101118</v>
      </c>
      <c r="AR84" s="252">
        <v>1.7400883726230234</v>
      </c>
      <c r="AS84" s="252">
        <v>1.8543846371433863</v>
      </c>
      <c r="AT84" s="252">
        <v>1.9212282732623907</v>
      </c>
      <c r="AU84" s="252">
        <v>1.7784376340840407</v>
      </c>
      <c r="AV84" s="252">
        <v>1.8738098872296145</v>
      </c>
      <c r="AW84" s="253">
        <v>1.9409084560395162</v>
      </c>
      <c r="AX84" s="252">
        <v>1.3541493184442179</v>
      </c>
      <c r="AY84" s="252">
        <v>1.4075346437714866</v>
      </c>
      <c r="AZ84" s="252">
        <v>1.6780917276662743</v>
      </c>
      <c r="BA84" s="252">
        <v>1.7757410315099245</v>
      </c>
      <c r="BB84" s="252">
        <v>1.8812922096711988</v>
      </c>
      <c r="BC84" s="252">
        <v>1.9348711434984669</v>
      </c>
      <c r="BD84" s="252">
        <v>1.814712198372987</v>
      </c>
      <c r="BE84" s="252">
        <v>1.9295800739454576</v>
      </c>
      <c r="BF84" s="252">
        <v>1.9935680757340939</v>
      </c>
      <c r="BG84" s="252">
        <v>1.8540571149102341</v>
      </c>
      <c r="BH84" s="252">
        <v>1.9492796916154633</v>
      </c>
      <c r="BI84" s="253">
        <v>2.0154795812020718</v>
      </c>
      <c r="BJ84" s="252">
        <v>1.3763083407563583</v>
      </c>
      <c r="BK84" s="252">
        <v>1.4374173263325887</v>
      </c>
      <c r="BL84" s="252">
        <v>1.7191804954794476</v>
      </c>
      <c r="BM84" s="252">
        <v>1.8204050179213056</v>
      </c>
      <c r="BN84" s="252">
        <v>1.9269252149822893</v>
      </c>
      <c r="BO84" s="252">
        <v>1.9814984483942479</v>
      </c>
      <c r="BP84" s="252">
        <v>1.8585226360543246</v>
      </c>
      <c r="BQ84" s="252">
        <v>1.9707222726711267</v>
      </c>
      <c r="BR84" s="252">
        <v>2.0424280188319441</v>
      </c>
      <c r="BS84" s="252">
        <v>1.8995706386237936</v>
      </c>
      <c r="BT84" s="252">
        <v>1.9920282443655546</v>
      </c>
      <c r="BU84" s="253">
        <v>2.0637381639283419</v>
      </c>
      <c r="BV84" s="252">
        <v>1.4241527797007119</v>
      </c>
      <c r="BW84" s="252">
        <v>1.4845438452716631</v>
      </c>
      <c r="BX84" s="252">
        <v>1.7811932451338623</v>
      </c>
      <c r="BY84" s="252">
        <v>1.8840352512103149</v>
      </c>
      <c r="BZ84" s="252">
        <v>1.9939622063622688</v>
      </c>
      <c r="CA84" s="252">
        <v>2.0500254408797787</v>
      </c>
      <c r="CB84" s="252">
        <v>1.9233423474976576</v>
      </c>
      <c r="CC84" s="252">
        <v>2.0372583124495836</v>
      </c>
      <c r="CD84" s="252">
        <v>2.1114562977044971</v>
      </c>
      <c r="CE84" s="252">
        <v>1.9638317137846673</v>
      </c>
      <c r="CF84" s="252">
        <v>2.0584080694202416</v>
      </c>
      <c r="CG84" s="253">
        <v>2.132645845563935</v>
      </c>
      <c r="CH84" s="252">
        <v>1.4765072605502363</v>
      </c>
      <c r="CI84" s="252">
        <v>1.539613281367505</v>
      </c>
      <c r="CJ84" s="252">
        <v>1.8451388862937057</v>
      </c>
      <c r="CK84" s="252">
        <v>1.9529522323786244</v>
      </c>
      <c r="CL84" s="252">
        <v>2.0667761605794817</v>
      </c>
      <c r="CM84" s="252">
        <v>2.1251326483692758</v>
      </c>
      <c r="CN84" s="252">
        <v>1.9935086683940193</v>
      </c>
      <c r="CO84" s="252">
        <v>2.1114785445216175</v>
      </c>
      <c r="CP84" s="252">
        <v>2.1888270182544733</v>
      </c>
      <c r="CQ84" s="252">
        <v>2.033336044262517</v>
      </c>
      <c r="CR84" s="252">
        <v>2.1335371042348328</v>
      </c>
      <c r="CS84" s="253">
        <v>2.210678586307985</v>
      </c>
    </row>
    <row r="85" spans="1:99" s="252" customFormat="1" x14ac:dyDescent="0.25">
      <c r="A85" s="252" t="s">
        <v>8</v>
      </c>
      <c r="B85" s="252">
        <v>1.1111111111111112</v>
      </c>
      <c r="C85" s="252">
        <v>1.1846153846153846</v>
      </c>
      <c r="D85" s="252">
        <v>1.2903225806451613</v>
      </c>
      <c r="E85" s="252">
        <v>1.471830985915493</v>
      </c>
      <c r="F85" s="252">
        <v>1.2417582417582418</v>
      </c>
      <c r="G85" s="252">
        <v>1.2377622377622377</v>
      </c>
      <c r="H85" s="252">
        <v>1.2727272727272727</v>
      </c>
      <c r="I85" s="252">
        <v>1.2714285714285714</v>
      </c>
      <c r="J85" s="252">
        <v>1.2423076923076923</v>
      </c>
      <c r="K85" s="252">
        <v>1.2239583333333333</v>
      </c>
      <c r="L85" s="252">
        <v>1.9547738693467336</v>
      </c>
      <c r="M85" s="253">
        <v>1.742489270386266</v>
      </c>
      <c r="N85" s="254">
        <v>1.2137096774193548</v>
      </c>
      <c r="O85" s="254">
        <v>1.1900826446280992</v>
      </c>
      <c r="P85" s="254">
        <v>1.546875</v>
      </c>
      <c r="Q85" s="254">
        <v>1.4619565217391304</v>
      </c>
      <c r="R85" s="254">
        <v>1.3863636363636365</v>
      </c>
      <c r="S85" s="254">
        <v>1.5087719298245614</v>
      </c>
      <c r="T85" s="254">
        <v>1.4601769911504425</v>
      </c>
      <c r="U85" s="254">
        <v>1.4580645161290322</v>
      </c>
      <c r="V85" s="252">
        <v>1.5434826203208556</v>
      </c>
      <c r="W85" s="252">
        <v>1.3741500817500139</v>
      </c>
      <c r="X85" s="252">
        <v>1.416791943011545</v>
      </c>
      <c r="Y85" s="253">
        <v>1.6484320586633798</v>
      </c>
      <c r="Z85" s="252">
        <v>1.2257404344617382</v>
      </c>
      <c r="AA85" s="252">
        <v>1.2311661181071416</v>
      </c>
      <c r="AB85" s="252">
        <v>1.4621018401390884</v>
      </c>
      <c r="AC85" s="252">
        <v>1.4434070012491591</v>
      </c>
      <c r="AD85" s="252">
        <v>1.4872560073725305</v>
      </c>
      <c r="AE85" s="252">
        <v>1.5336575218515409</v>
      </c>
      <c r="AF85" s="252">
        <v>1.4063979307855359</v>
      </c>
      <c r="AG85" s="252">
        <v>1.4775150242941746</v>
      </c>
      <c r="AH85" s="252">
        <v>1.5349661689511767</v>
      </c>
      <c r="AI85" s="252">
        <v>1.4164198200430131</v>
      </c>
      <c r="AJ85" s="252">
        <v>1.4702601432751874</v>
      </c>
      <c r="AK85" s="253">
        <v>1.5430346632301963</v>
      </c>
      <c r="AL85" s="252">
        <v>1.2875886786862234</v>
      </c>
      <c r="AM85" s="252">
        <v>1.2693776705238884</v>
      </c>
      <c r="AN85" s="252">
        <v>1.5059861048213627</v>
      </c>
      <c r="AO85" s="252">
        <v>1.4838263576235051</v>
      </c>
      <c r="AP85" s="252">
        <v>1.5289306674021597</v>
      </c>
      <c r="AQ85" s="252">
        <v>1.5679083771652564</v>
      </c>
      <c r="AR85" s="252">
        <v>1.4861993512416034</v>
      </c>
      <c r="AS85" s="252">
        <v>1.5726855294327569</v>
      </c>
      <c r="AT85" s="252">
        <v>1.6479752132043872</v>
      </c>
      <c r="AU85" s="252">
        <v>1.5395338022313363</v>
      </c>
      <c r="AV85" s="252">
        <v>1.598722419857235</v>
      </c>
      <c r="AW85" s="253">
        <v>1.665809946000228</v>
      </c>
      <c r="AX85" s="252">
        <v>1.3676109417009128</v>
      </c>
      <c r="AY85" s="252">
        <v>1.3489350224391747</v>
      </c>
      <c r="AZ85" s="252">
        <v>1.6209253140404785</v>
      </c>
      <c r="BA85" s="252">
        <v>1.5719689720554049</v>
      </c>
      <c r="BB85" s="252">
        <v>1.605214569760339</v>
      </c>
      <c r="BC85" s="252">
        <v>1.6307330191391864</v>
      </c>
      <c r="BD85" s="252">
        <v>1.5298548291260794</v>
      </c>
      <c r="BE85" s="252">
        <v>1.6213948398340066</v>
      </c>
      <c r="BF85" s="252">
        <v>1.6979058321603102</v>
      </c>
      <c r="BG85" s="252">
        <v>1.5797258376679744</v>
      </c>
      <c r="BH85" s="252">
        <v>1.6387910433249269</v>
      </c>
      <c r="BI85" s="253">
        <v>1.713887693953269</v>
      </c>
      <c r="BJ85" s="252">
        <v>1.386969399817324</v>
      </c>
      <c r="BK85" s="252">
        <v>1.3677952738606858</v>
      </c>
      <c r="BL85" s="252">
        <v>1.6246371923457257</v>
      </c>
      <c r="BM85" s="252">
        <v>1.5948341129792893</v>
      </c>
      <c r="BN85" s="252">
        <v>1.6363120542752574</v>
      </c>
      <c r="BO85" s="252">
        <v>1.6718829088837786</v>
      </c>
      <c r="BP85" s="252">
        <v>1.5681040314394055</v>
      </c>
      <c r="BQ85" s="252">
        <v>1.6614837865985022</v>
      </c>
      <c r="BR85" s="252">
        <v>1.7392052078652511</v>
      </c>
      <c r="BS85" s="252">
        <v>1.6181833601630009</v>
      </c>
      <c r="BT85" s="252">
        <v>1.6786489538211544</v>
      </c>
      <c r="BU85" s="253">
        <v>1.7537392413794528</v>
      </c>
      <c r="BV85" s="252">
        <v>1.4344431780711253</v>
      </c>
      <c r="BW85" s="252">
        <v>1.4145324139197035</v>
      </c>
      <c r="BX85" s="252">
        <v>1.6784669065859612</v>
      </c>
      <c r="BY85" s="252">
        <v>1.6470335606739301</v>
      </c>
      <c r="BZ85" s="252">
        <v>1.6887940143619879</v>
      </c>
      <c r="CA85" s="252">
        <v>1.7316676750641651</v>
      </c>
      <c r="CB85" s="252">
        <v>1.6246420202491569</v>
      </c>
      <c r="CC85" s="252">
        <v>1.7172065258692539</v>
      </c>
      <c r="CD85" s="252">
        <v>1.7977168798584691</v>
      </c>
      <c r="CE85" s="252">
        <v>1.6727542379663121</v>
      </c>
      <c r="CF85" s="252">
        <v>1.733386166466881</v>
      </c>
      <c r="CG85" s="253">
        <v>1.8112589108000985</v>
      </c>
      <c r="CH85" s="252">
        <v>1.4872237822935663</v>
      </c>
      <c r="CI85" s="252">
        <v>1.466549270679266</v>
      </c>
      <c r="CJ85" s="252">
        <v>1.7372655968290287</v>
      </c>
      <c r="CK85" s="252">
        <v>1.7050242388923973</v>
      </c>
      <c r="CL85" s="252">
        <v>1.7480289207105009</v>
      </c>
      <c r="CM85" s="252">
        <v>1.7927998575028017</v>
      </c>
      <c r="CN85" s="252">
        <v>1.6816571073093096</v>
      </c>
      <c r="CO85" s="252">
        <v>1.7773641660243469</v>
      </c>
      <c r="CP85" s="252">
        <v>1.8613761839200749</v>
      </c>
      <c r="CQ85" s="252">
        <v>1.727744441318418</v>
      </c>
      <c r="CR85" s="252">
        <v>1.7944786764953728</v>
      </c>
      <c r="CS85" s="253">
        <v>1.8755399336963094</v>
      </c>
    </row>
    <row r="86" spans="1:99" s="252" customFormat="1" x14ac:dyDescent="0.25">
      <c r="A86" s="252" t="s">
        <v>1</v>
      </c>
      <c r="B86" s="252">
        <v>1</v>
      </c>
      <c r="C86" s="252">
        <v>1.1864406779661016</v>
      </c>
      <c r="D86" s="252">
        <v>1.4428571428571428</v>
      </c>
      <c r="E86" s="252">
        <v>1.375</v>
      </c>
      <c r="F86" s="252">
        <v>1.1901408450704225</v>
      </c>
      <c r="G86" s="252">
        <v>1.1499999999999999</v>
      </c>
      <c r="H86" s="252">
        <v>1.3972602739726028</v>
      </c>
      <c r="I86" s="252">
        <v>1.2063492063492063</v>
      </c>
      <c r="J86" s="252">
        <v>1.4178403755868545</v>
      </c>
      <c r="K86" s="252">
        <v>1.2486486486486486</v>
      </c>
      <c r="L86" s="252">
        <v>2.03125</v>
      </c>
      <c r="M86" s="253">
        <v>1.7857142857142858</v>
      </c>
      <c r="N86" s="254">
        <v>1.1717171717171717</v>
      </c>
      <c r="O86" s="254">
        <v>1.2636363636363637</v>
      </c>
      <c r="P86" s="254">
        <v>1.5767195767195767</v>
      </c>
      <c r="Q86" s="254">
        <v>1.1793478260869565</v>
      </c>
      <c r="R86" s="254">
        <v>1.4301075268817205</v>
      </c>
      <c r="S86" s="254">
        <v>1.6779661016949152</v>
      </c>
      <c r="T86" s="254">
        <v>1.347305389221557</v>
      </c>
      <c r="U86" s="254">
        <v>1.5072992700729928</v>
      </c>
      <c r="V86" s="252">
        <v>1.5548442935005891</v>
      </c>
      <c r="W86" s="252">
        <v>1.3999999999999997</v>
      </c>
      <c r="X86" s="252">
        <v>1.4502757679650502</v>
      </c>
      <c r="Y86" s="253">
        <v>1.6</v>
      </c>
      <c r="Z86" s="252">
        <v>1.2175847182850685</v>
      </c>
      <c r="AA86" s="252">
        <v>1.3285121858724092</v>
      </c>
      <c r="AB86" s="252">
        <v>1.397849681331758</v>
      </c>
      <c r="AC86" s="252">
        <v>1.3570758833390228</v>
      </c>
      <c r="AD86" s="252">
        <v>1.4444391430936674</v>
      </c>
      <c r="AE86" s="252">
        <v>1.4835966245512722</v>
      </c>
      <c r="AF86" s="252">
        <v>1.3683642310839064</v>
      </c>
      <c r="AG86" s="252">
        <v>1.4445931320789511</v>
      </c>
      <c r="AH86" s="252">
        <v>1.5</v>
      </c>
      <c r="AI86" s="252">
        <v>1.3838379671759993</v>
      </c>
      <c r="AJ86" s="252">
        <v>1.44490648646704</v>
      </c>
      <c r="AK86" s="253">
        <v>1.4999999999999998</v>
      </c>
      <c r="AL86" s="252">
        <v>1.2593341286600519</v>
      </c>
      <c r="AM86" s="252">
        <v>1.3604268019899075</v>
      </c>
      <c r="AN86" s="252">
        <v>1.4316186512448017</v>
      </c>
      <c r="AO86" s="252">
        <v>1.3916684618424602</v>
      </c>
      <c r="AP86" s="252">
        <v>1.4818381632581321</v>
      </c>
      <c r="AQ86" s="252">
        <v>1.5214063128759239</v>
      </c>
      <c r="AR86" s="252">
        <v>1.4312012495361179</v>
      </c>
      <c r="AS86" s="252">
        <v>1.5171719105004413</v>
      </c>
      <c r="AT86" s="252">
        <v>1.575</v>
      </c>
      <c r="AU86" s="252">
        <v>1.4676663471695737</v>
      </c>
      <c r="AV86" s="252">
        <v>1.5324149766211939</v>
      </c>
      <c r="AW86" s="253">
        <v>1.591178476588998</v>
      </c>
      <c r="AX86" s="252">
        <v>1.3268183044076509</v>
      </c>
      <c r="AY86" s="252">
        <v>1.4297508671334236</v>
      </c>
      <c r="AZ86" s="252">
        <v>1.5047181173364921</v>
      </c>
      <c r="BA86" s="252">
        <v>1.4608132280051884</v>
      </c>
      <c r="BB86" s="252">
        <v>1.556423524981994</v>
      </c>
      <c r="BC86" s="252">
        <v>1.5975026888096511</v>
      </c>
      <c r="BD86" s="252">
        <v>1.502757602160173</v>
      </c>
      <c r="BE86" s="252">
        <v>1.5934555708386162</v>
      </c>
      <c r="BF86" s="252">
        <v>1.6537500000000003</v>
      </c>
      <c r="BG86" s="252">
        <v>1.5411957936783041</v>
      </c>
      <c r="BH86" s="252">
        <v>1.6093329510592596</v>
      </c>
      <c r="BI86" s="253">
        <v>1.6708424046617973</v>
      </c>
      <c r="BJ86" s="252">
        <v>1.3607447915575692</v>
      </c>
      <c r="BK86" s="252">
        <v>1.4658448009091016</v>
      </c>
      <c r="BL86" s="252">
        <v>1.5411424874226991</v>
      </c>
      <c r="BM86" s="252">
        <v>1.4974456542881496</v>
      </c>
      <c r="BN86" s="252">
        <v>1.5951594658666961</v>
      </c>
      <c r="BO86" s="252">
        <v>1.6368170906754786</v>
      </c>
      <c r="BP86" s="252">
        <v>1.5400943847463184</v>
      </c>
      <c r="BQ86" s="252">
        <v>1.6328203685756624</v>
      </c>
      <c r="BR86" s="252">
        <v>1.6943940781415396</v>
      </c>
      <c r="BS86" s="252">
        <v>1.5794526697261444</v>
      </c>
      <c r="BT86" s="252">
        <v>1.6495780488957368</v>
      </c>
      <c r="BU86" s="253">
        <v>1.7116748227350502</v>
      </c>
      <c r="BV86" s="252">
        <v>1.4146923851449162</v>
      </c>
      <c r="BW86" s="252">
        <v>1.519600915816669</v>
      </c>
      <c r="BX86" s="252">
        <v>1.597793853559937</v>
      </c>
      <c r="BY86" s="252">
        <v>1.5514129373237464</v>
      </c>
      <c r="BZ86" s="252">
        <v>1.6519990068601085</v>
      </c>
      <c r="CA86" s="252">
        <v>1.6941120725927368</v>
      </c>
      <c r="CB86" s="252">
        <v>1.5951093606035862</v>
      </c>
      <c r="CC86" s="252">
        <v>1.6902474175756419</v>
      </c>
      <c r="CD86" s="252">
        <v>1.7532431774979365</v>
      </c>
      <c r="CE86" s="252">
        <v>1.6347965507618549</v>
      </c>
      <c r="CF86" s="252">
        <v>1.7072153566946857</v>
      </c>
      <c r="CG86" s="253">
        <v>1.7709825923859461</v>
      </c>
      <c r="CH86" s="252">
        <v>1.4739409214621622</v>
      </c>
      <c r="CI86" s="252">
        <v>1.5815278807516699</v>
      </c>
      <c r="CJ86" s="252">
        <v>1.6619554413523465</v>
      </c>
      <c r="CK86" s="252">
        <v>1.6132644625271679</v>
      </c>
      <c r="CL86" s="252">
        <v>1.7176899904791783</v>
      </c>
      <c r="CM86" s="252">
        <v>1.7611128968651288</v>
      </c>
      <c r="CN86" s="252">
        <v>1.6584072173216102</v>
      </c>
      <c r="CO86" s="252">
        <v>1.7570558060027366</v>
      </c>
      <c r="CP86" s="252">
        <v>1.8222293670433833</v>
      </c>
      <c r="CQ86" s="252">
        <v>1.6986714502229483</v>
      </c>
      <c r="CR86" s="252">
        <v>1.7746008436252558</v>
      </c>
      <c r="CS86" s="253">
        <v>1.8408099885899973</v>
      </c>
    </row>
    <row r="87" spans="1:99" s="252" customFormat="1" x14ac:dyDescent="0.25">
      <c r="A87" s="252" t="s">
        <v>2</v>
      </c>
      <c r="B87" s="252">
        <v>1.1304347826086956</v>
      </c>
      <c r="C87" s="252">
        <v>1.1764705882352942</v>
      </c>
      <c r="D87" s="252">
        <v>1.3</v>
      </c>
      <c r="E87" s="252">
        <v>1</v>
      </c>
      <c r="F87" s="252">
        <v>1.0487804878048781</v>
      </c>
      <c r="G87" s="252">
        <v>1.2124999999999999</v>
      </c>
      <c r="H87" s="252">
        <v>1.2045454545454546</v>
      </c>
      <c r="I87" s="252">
        <v>1.1634615384615385</v>
      </c>
      <c r="J87" s="252">
        <v>1.2389380530973451</v>
      </c>
      <c r="K87" s="252">
        <v>1.1623376623376624</v>
      </c>
      <c r="L87" s="252">
        <v>2</v>
      </c>
      <c r="M87" s="253">
        <v>2.0107142857142857</v>
      </c>
      <c r="N87" s="254">
        <v>1.5614035087719298</v>
      </c>
      <c r="O87" s="254">
        <v>1.4615384615384615</v>
      </c>
      <c r="P87" s="254">
        <v>1.7358490566037736</v>
      </c>
      <c r="Q87" s="254">
        <v>1.3294117647058823</v>
      </c>
      <c r="R87" s="254">
        <v>1.3119266055045871</v>
      </c>
      <c r="S87" s="254">
        <v>1.5485714285714285</v>
      </c>
      <c r="T87" s="254">
        <v>1.2868852459016393</v>
      </c>
      <c r="U87" s="254">
        <v>1.3576642335766422</v>
      </c>
      <c r="V87" s="252">
        <v>1.5475280765345536</v>
      </c>
      <c r="W87" s="252">
        <v>1.4473077117219457</v>
      </c>
      <c r="X87" s="252">
        <v>1.5</v>
      </c>
      <c r="Y87" s="253">
        <v>1.6432146587302392</v>
      </c>
      <c r="Z87" s="252">
        <v>1.5033379131980926</v>
      </c>
      <c r="AA87" s="252">
        <v>1.3623753792804509</v>
      </c>
      <c r="AB87" s="252">
        <v>1.433590694339663</v>
      </c>
      <c r="AC87" s="252">
        <v>1.410181644956606</v>
      </c>
      <c r="AD87" s="252">
        <v>1.5615862104345151</v>
      </c>
      <c r="AE87" s="252">
        <v>1.6186831161124045</v>
      </c>
      <c r="AF87" s="252">
        <v>1.4845467658629612</v>
      </c>
      <c r="AG87" s="252">
        <v>1.5702644809732504</v>
      </c>
      <c r="AH87" s="252">
        <v>1.6402854627290306</v>
      </c>
      <c r="AI87" s="252">
        <v>1.4992514784622557</v>
      </c>
      <c r="AJ87" s="252">
        <v>1.5698326017783037</v>
      </c>
      <c r="AK87" s="253">
        <v>1.6373400178158326</v>
      </c>
      <c r="AL87" s="252">
        <v>1.5831794939157913</v>
      </c>
      <c r="AM87" s="252">
        <v>1.3940178932974876</v>
      </c>
      <c r="AN87" s="252">
        <v>1.4663803745209472</v>
      </c>
      <c r="AO87" s="252">
        <v>1.4464230454408311</v>
      </c>
      <c r="AP87" s="252">
        <v>1.6024527424525787</v>
      </c>
      <c r="AQ87" s="252">
        <v>1.6540645556501927</v>
      </c>
      <c r="AR87" s="252">
        <v>1.5473317341464854</v>
      </c>
      <c r="AS87" s="252">
        <v>1.6403259204810268</v>
      </c>
      <c r="AT87" s="252">
        <v>1.7058742812308774</v>
      </c>
      <c r="AU87" s="252">
        <v>1.5843659144331621</v>
      </c>
      <c r="AV87" s="252">
        <v>1.6608139856209714</v>
      </c>
      <c r="AW87" s="253">
        <v>1.727680145362259</v>
      </c>
      <c r="AX87" s="252">
        <v>1.6477660626168804</v>
      </c>
      <c r="AY87" s="252">
        <v>1.4666478478978817</v>
      </c>
      <c r="AZ87" s="252">
        <v>1.5419647795936895</v>
      </c>
      <c r="BA87" s="252">
        <v>1.5188791317447066</v>
      </c>
      <c r="BB87" s="252">
        <v>1.6810174351994165</v>
      </c>
      <c r="BC87" s="252">
        <v>1.7310133608337612</v>
      </c>
      <c r="BD87" s="252">
        <v>1.6207200832375082</v>
      </c>
      <c r="BE87" s="252">
        <v>1.7182104833940091</v>
      </c>
      <c r="BF87" s="252">
        <v>1.7822350810328407</v>
      </c>
      <c r="BG87" s="252">
        <v>1.6563146265968005</v>
      </c>
      <c r="BH87" s="252">
        <v>1.7371712511516577</v>
      </c>
      <c r="BI87" s="253">
        <v>1.8020557193615809</v>
      </c>
      <c r="BJ87" s="252">
        <v>1.6777614985249067</v>
      </c>
      <c r="BK87" s="252">
        <v>1.5049098693751308</v>
      </c>
      <c r="BL87" s="252">
        <v>1.5823243869759129</v>
      </c>
      <c r="BM87" s="252">
        <v>1.5555860280468747</v>
      </c>
      <c r="BN87" s="252">
        <v>1.7214932946170263</v>
      </c>
      <c r="BO87" s="252">
        <v>1.7757074037598846</v>
      </c>
      <c r="BP87" s="252">
        <v>1.6631351125138365</v>
      </c>
      <c r="BQ87" s="252">
        <v>1.7627808180428159</v>
      </c>
      <c r="BR87" s="252">
        <v>1.831209812558775</v>
      </c>
      <c r="BS87" s="252">
        <v>1.7015164345318907</v>
      </c>
      <c r="BT87" s="252">
        <v>1.7836290638628982</v>
      </c>
      <c r="BU87" s="253">
        <v>1.853830879620098</v>
      </c>
      <c r="BV87" s="252">
        <v>1.7425236193329026</v>
      </c>
      <c r="BW87" s="252">
        <v>1.5547805566298085</v>
      </c>
      <c r="BX87" s="252">
        <v>1.6338069197534588</v>
      </c>
      <c r="BY87" s="252">
        <v>1.6080631249440416</v>
      </c>
      <c r="BZ87" s="252">
        <v>1.7798443500100747</v>
      </c>
      <c r="CA87" s="252">
        <v>1.8351454407050642</v>
      </c>
      <c r="CB87" s="252">
        <v>1.7187296303925637</v>
      </c>
      <c r="CC87" s="252">
        <v>1.8221572962311803</v>
      </c>
      <c r="CD87" s="252">
        <v>1.8931916743132258</v>
      </c>
      <c r="CE87" s="252">
        <v>1.7591333282176043</v>
      </c>
      <c r="CF87" s="252">
        <v>1.8443690350180981</v>
      </c>
      <c r="CG87" s="253">
        <v>1.9180209928613827</v>
      </c>
      <c r="CH87" s="252">
        <v>1.8113267835936042</v>
      </c>
      <c r="CI87" s="252">
        <v>1.6137336370331723</v>
      </c>
      <c r="CJ87" s="252">
        <v>1.6941174252301763</v>
      </c>
      <c r="CK87" s="252">
        <v>1.668254520636957</v>
      </c>
      <c r="CL87" s="252">
        <v>1.8475079070904252</v>
      </c>
      <c r="CM87" s="252">
        <v>1.9054925661052222</v>
      </c>
      <c r="CN87" s="252">
        <v>1.7836296429428626</v>
      </c>
      <c r="CO87" s="252">
        <v>1.8907156019332521</v>
      </c>
      <c r="CP87" s="252">
        <v>1.965017422010098</v>
      </c>
      <c r="CQ87" s="252">
        <v>1.8259094418375637</v>
      </c>
      <c r="CR87" s="252">
        <v>1.9137638004681201</v>
      </c>
      <c r="CS87" s="253">
        <v>1.990554415951846</v>
      </c>
    </row>
    <row r="88" spans="1:99" s="255" customFormat="1" x14ac:dyDescent="0.25">
      <c r="A88" s="255" t="s">
        <v>3</v>
      </c>
      <c r="B88" s="255">
        <v>1.2441651705565531</v>
      </c>
      <c r="C88" s="255">
        <v>1.2709677419354839</v>
      </c>
      <c r="D88" s="255">
        <v>1.4953271028037383</v>
      </c>
      <c r="E88" s="255">
        <v>1.5201612903225807</v>
      </c>
      <c r="F88" s="255">
        <v>1.2985244040862656</v>
      </c>
      <c r="G88" s="255">
        <v>1.3607214428857715</v>
      </c>
      <c r="H88" s="255">
        <v>1.4390962671905698</v>
      </c>
      <c r="I88" s="255">
        <v>1.265625</v>
      </c>
      <c r="J88" s="255">
        <v>1.468475073313783</v>
      </c>
      <c r="K88" s="255">
        <v>1.3637168141592921</v>
      </c>
      <c r="L88" s="255">
        <v>1.8959706959706959</v>
      </c>
      <c r="M88" s="256">
        <v>1.8730867346938775</v>
      </c>
      <c r="N88" s="257">
        <v>1.2598425196850394</v>
      </c>
      <c r="O88" s="257">
        <v>1.2983870967741935</v>
      </c>
      <c r="P88" s="257">
        <v>1.7114695340501793</v>
      </c>
      <c r="Q88" s="257">
        <v>1.5117466802860062</v>
      </c>
      <c r="R88" s="257">
        <v>1.4751838235294117</v>
      </c>
      <c r="S88" s="257">
        <v>1.6721311475409837</v>
      </c>
      <c r="T88" s="257">
        <v>1.3503816793893131</v>
      </c>
      <c r="U88" s="257">
        <v>1.4003521126760563</v>
      </c>
      <c r="V88" s="255">
        <v>1.6226000650266286</v>
      </c>
      <c r="W88" s="255">
        <v>1.4681316059252292</v>
      </c>
      <c r="X88" s="255">
        <v>1.5077366598159954</v>
      </c>
      <c r="Y88" s="256">
        <v>1.6662971271207649</v>
      </c>
      <c r="Z88" s="255">
        <v>1.21040602743353</v>
      </c>
      <c r="AA88" s="255">
        <v>1.2486383741794347</v>
      </c>
      <c r="AB88" s="255">
        <v>1.4030166582032118</v>
      </c>
      <c r="AC88" s="255">
        <v>1.390978153373595</v>
      </c>
      <c r="AD88" s="255">
        <v>1.5075684340395079</v>
      </c>
      <c r="AE88" s="255">
        <v>1.555378745008112</v>
      </c>
      <c r="AF88" s="255">
        <v>1.4408486282416026</v>
      </c>
      <c r="AG88" s="255">
        <v>1.5241608204866186</v>
      </c>
      <c r="AH88" s="255">
        <v>1.5812574378218431</v>
      </c>
      <c r="AI88" s="255">
        <v>1.4617330421115176</v>
      </c>
      <c r="AJ88" s="255">
        <v>1.5267788353612097</v>
      </c>
      <c r="AK88" s="256">
        <v>1.5853491003332512</v>
      </c>
      <c r="AL88" s="255">
        <v>1.2778620962690843</v>
      </c>
      <c r="AM88" s="255">
        <v>1.2868391818636229</v>
      </c>
      <c r="AN88" s="255">
        <v>1.4362270487018023</v>
      </c>
      <c r="AO88" s="255">
        <v>1.4338160443113994</v>
      </c>
      <c r="AP88" s="255">
        <v>1.5615250801310403</v>
      </c>
      <c r="AQ88" s="255">
        <v>1.606036560162319</v>
      </c>
      <c r="AR88" s="255">
        <v>1.5171172136656466</v>
      </c>
      <c r="AS88" s="255">
        <v>1.6098272004459329</v>
      </c>
      <c r="AT88" s="255">
        <v>1.6713498758352998</v>
      </c>
      <c r="AU88" s="255">
        <v>1.5614482016642299</v>
      </c>
      <c r="AV88" s="255">
        <v>1.6298711441915084</v>
      </c>
      <c r="AW88" s="256">
        <v>1.6887114722142216</v>
      </c>
      <c r="AX88" s="255">
        <v>1.3476028598994685</v>
      </c>
      <c r="AY88" s="255">
        <v>1.3535072902797447</v>
      </c>
      <c r="AZ88" s="255">
        <v>1.5134030700451422</v>
      </c>
      <c r="BA88" s="255">
        <v>1.5032211958654094</v>
      </c>
      <c r="BB88" s="255">
        <v>1.636535409185349</v>
      </c>
      <c r="BC88" s="255">
        <v>1.6806628506483996</v>
      </c>
      <c r="BD88" s="255">
        <v>1.5788131219779378</v>
      </c>
      <c r="BE88" s="255">
        <v>1.6757944779504261</v>
      </c>
      <c r="BF88" s="255">
        <v>1.7420000770921842</v>
      </c>
      <c r="BG88" s="255">
        <v>1.6208803750127943</v>
      </c>
      <c r="BH88" s="255">
        <v>1.6926407763576139</v>
      </c>
      <c r="BI88" s="256">
        <v>1.7589758740366537</v>
      </c>
      <c r="BJ88" s="255">
        <v>1.3747386915657356</v>
      </c>
      <c r="BK88" s="255">
        <v>1.3860775977177933</v>
      </c>
      <c r="BL88" s="255">
        <v>1.5431452958571514</v>
      </c>
      <c r="BM88" s="255">
        <v>1.5357252213874319</v>
      </c>
      <c r="BN88" s="255">
        <v>1.6715816182448362</v>
      </c>
      <c r="BO88" s="255">
        <v>1.7169507705464875</v>
      </c>
      <c r="BP88" s="255">
        <v>1.6134647682991619</v>
      </c>
      <c r="BQ88" s="255">
        <v>1.712417472499701</v>
      </c>
      <c r="BR88" s="255">
        <v>1.7811314090895567</v>
      </c>
      <c r="BS88" s="255">
        <v>1.6575417601701272</v>
      </c>
      <c r="BT88" s="255">
        <v>1.7305494442418381</v>
      </c>
      <c r="BU88" s="256">
        <v>1.7981117302530287</v>
      </c>
      <c r="BV88" s="255">
        <v>1.4279392553760026</v>
      </c>
      <c r="BW88" s="255">
        <v>1.4348436041242332</v>
      </c>
      <c r="BX88" s="255">
        <v>1.5957614576214072</v>
      </c>
      <c r="BY88" s="255">
        <v>1.5877762548958327</v>
      </c>
      <c r="BZ88" s="255">
        <v>1.728297472351696</v>
      </c>
      <c r="CA88" s="255">
        <v>1.7757753104029672</v>
      </c>
      <c r="CB88" s="255">
        <v>1.6692463062739122</v>
      </c>
      <c r="CC88" s="255">
        <v>1.7701620972224661</v>
      </c>
      <c r="CD88" s="255">
        <v>1.8413025493656525</v>
      </c>
      <c r="CE88" s="255">
        <v>1.7134690462909576</v>
      </c>
      <c r="CF88" s="255">
        <v>1.7883198417389541</v>
      </c>
      <c r="CG88" s="256">
        <v>1.8577745675559638</v>
      </c>
      <c r="CH88" s="255">
        <v>1.480747674106428</v>
      </c>
      <c r="CI88" s="255">
        <v>1.4893641940040174</v>
      </c>
      <c r="CJ88" s="255">
        <v>1.6554847627740921</v>
      </c>
      <c r="CK88" s="255">
        <v>1.6474117291158592</v>
      </c>
      <c r="CL88" s="255">
        <v>1.7928592426575376</v>
      </c>
      <c r="CM88" s="255">
        <v>1.8421381625002735</v>
      </c>
      <c r="CN88" s="255">
        <v>1.7311889414052255</v>
      </c>
      <c r="CO88" s="255">
        <v>1.8353881136860488</v>
      </c>
      <c r="CP88" s="255">
        <v>1.9095701496440329</v>
      </c>
      <c r="CQ88" s="255">
        <v>1.7754231713662736</v>
      </c>
      <c r="CR88" s="255">
        <v>1.854533273849218</v>
      </c>
      <c r="CS88" s="256">
        <v>1.9268514114446551</v>
      </c>
    </row>
    <row r="90" spans="1:99" s="194" customFormat="1" x14ac:dyDescent="0.25">
      <c r="A90" s="72"/>
      <c r="B90" s="72">
        <v>1</v>
      </c>
      <c r="C90" s="190">
        <v>2</v>
      </c>
      <c r="D90" s="190">
        <v>3</v>
      </c>
      <c r="E90" s="190">
        <v>4</v>
      </c>
      <c r="F90" s="190">
        <v>5</v>
      </c>
      <c r="G90" s="190">
        <v>6</v>
      </c>
      <c r="H90" s="190">
        <v>7</v>
      </c>
      <c r="I90" s="190">
        <v>8</v>
      </c>
      <c r="J90" s="190">
        <v>9</v>
      </c>
      <c r="K90" s="190">
        <v>10</v>
      </c>
      <c r="L90" s="190">
        <v>11</v>
      </c>
      <c r="M90" s="191">
        <v>12</v>
      </c>
      <c r="N90" s="193">
        <v>13</v>
      </c>
      <c r="O90" s="193">
        <v>14</v>
      </c>
      <c r="P90" s="193">
        <v>15</v>
      </c>
      <c r="Q90" s="193">
        <v>16</v>
      </c>
      <c r="R90" s="193">
        <v>17</v>
      </c>
      <c r="S90" s="193">
        <v>18</v>
      </c>
      <c r="T90" s="193">
        <v>19</v>
      </c>
      <c r="U90" s="193">
        <v>20</v>
      </c>
      <c r="V90" s="190">
        <v>21</v>
      </c>
      <c r="W90" s="190">
        <v>22</v>
      </c>
      <c r="X90" s="190">
        <v>23</v>
      </c>
      <c r="Y90" s="191">
        <v>24</v>
      </c>
      <c r="Z90" s="190">
        <v>25</v>
      </c>
      <c r="AA90" s="190">
        <v>26</v>
      </c>
      <c r="AB90" s="190">
        <v>27</v>
      </c>
      <c r="AC90" s="190">
        <v>28</v>
      </c>
      <c r="AD90" s="190">
        <v>29</v>
      </c>
      <c r="AE90" s="190">
        <v>30</v>
      </c>
      <c r="AF90" s="190">
        <v>31</v>
      </c>
      <c r="AG90" s="190">
        <v>32</v>
      </c>
      <c r="AH90" s="190">
        <v>33</v>
      </c>
      <c r="AI90" s="190">
        <v>34</v>
      </c>
      <c r="AJ90" s="190">
        <v>35</v>
      </c>
      <c r="AK90" s="191">
        <v>36</v>
      </c>
      <c r="AL90" s="190">
        <v>37</v>
      </c>
      <c r="AM90" s="190">
        <v>38</v>
      </c>
      <c r="AN90" s="190">
        <v>39</v>
      </c>
      <c r="AO90" s="190">
        <v>40</v>
      </c>
      <c r="AP90" s="190">
        <v>41</v>
      </c>
      <c r="AQ90" s="190">
        <v>42</v>
      </c>
      <c r="AR90" s="190">
        <v>43</v>
      </c>
      <c r="AS90" s="190">
        <v>44</v>
      </c>
      <c r="AT90" s="190">
        <v>45</v>
      </c>
      <c r="AU90" s="190">
        <v>46</v>
      </c>
      <c r="AV90" s="190">
        <v>47</v>
      </c>
      <c r="AW90" s="191">
        <v>48</v>
      </c>
      <c r="AX90" s="190">
        <v>49</v>
      </c>
      <c r="AY90" s="190">
        <v>50</v>
      </c>
      <c r="AZ90" s="190">
        <v>51</v>
      </c>
      <c r="BA90" s="190">
        <v>52</v>
      </c>
      <c r="BB90" s="190">
        <v>53</v>
      </c>
      <c r="BC90" s="190">
        <v>54</v>
      </c>
      <c r="BD90" s="190">
        <v>55</v>
      </c>
      <c r="BE90" s="190">
        <v>56</v>
      </c>
      <c r="BF90" s="190">
        <v>57</v>
      </c>
      <c r="BG90" s="190">
        <v>58</v>
      </c>
      <c r="BH90" s="190">
        <v>59</v>
      </c>
      <c r="BI90" s="191">
        <v>60</v>
      </c>
      <c r="BJ90" s="190">
        <v>61</v>
      </c>
      <c r="BK90" s="190">
        <v>62</v>
      </c>
      <c r="BL90" s="190">
        <v>63</v>
      </c>
      <c r="BM90" s="190">
        <v>64</v>
      </c>
      <c r="BN90" s="190">
        <v>65</v>
      </c>
      <c r="BO90" s="190">
        <v>66</v>
      </c>
      <c r="BP90" s="190">
        <v>67</v>
      </c>
      <c r="BQ90" s="190">
        <v>68</v>
      </c>
      <c r="BR90" s="190">
        <v>69</v>
      </c>
      <c r="BS90" s="190">
        <v>70</v>
      </c>
      <c r="BT90" s="190">
        <v>71</v>
      </c>
      <c r="BU90" s="191">
        <v>72</v>
      </c>
      <c r="BV90" s="190">
        <v>73</v>
      </c>
      <c r="BW90" s="190">
        <v>74</v>
      </c>
      <c r="BX90" s="190">
        <v>75</v>
      </c>
      <c r="BY90" s="190">
        <v>76</v>
      </c>
      <c r="BZ90" s="190">
        <v>77</v>
      </c>
      <c r="CA90" s="190">
        <v>78</v>
      </c>
      <c r="CB90" s="190">
        <v>79</v>
      </c>
      <c r="CC90" s="190">
        <v>80</v>
      </c>
      <c r="CD90" s="190">
        <v>81</v>
      </c>
      <c r="CE90" s="190">
        <v>82</v>
      </c>
      <c r="CF90" s="190">
        <v>83</v>
      </c>
      <c r="CG90" s="191">
        <v>84</v>
      </c>
      <c r="CH90" s="190">
        <v>85</v>
      </c>
      <c r="CI90" s="190">
        <v>86</v>
      </c>
      <c r="CJ90" s="190">
        <v>87</v>
      </c>
      <c r="CK90" s="190">
        <v>88</v>
      </c>
      <c r="CL90" s="190">
        <v>89</v>
      </c>
      <c r="CM90" s="190">
        <v>90</v>
      </c>
      <c r="CN90" s="190">
        <v>91</v>
      </c>
      <c r="CO90" s="190">
        <v>92</v>
      </c>
      <c r="CP90" s="190">
        <v>93</v>
      </c>
      <c r="CQ90" s="190">
        <v>94</v>
      </c>
      <c r="CR90" s="190">
        <v>95</v>
      </c>
      <c r="CS90" s="191">
        <v>96</v>
      </c>
    </row>
    <row r="91" spans="1:99" s="227" customFormat="1" x14ac:dyDescent="0.25">
      <c r="A91" s="227" t="s">
        <v>14</v>
      </c>
      <c r="B91" s="228">
        <v>42005</v>
      </c>
      <c r="C91" s="228">
        <v>42036</v>
      </c>
      <c r="D91" s="228">
        <v>42064</v>
      </c>
      <c r="E91" s="228">
        <v>42095</v>
      </c>
      <c r="F91" s="228">
        <v>42125</v>
      </c>
      <c r="G91" s="228">
        <v>42156</v>
      </c>
      <c r="H91" s="228">
        <v>42186</v>
      </c>
      <c r="I91" s="228">
        <v>42217</v>
      </c>
      <c r="J91" s="228">
        <v>42248</v>
      </c>
      <c r="K91" s="228">
        <v>42278</v>
      </c>
      <c r="L91" s="228">
        <v>42309</v>
      </c>
      <c r="M91" s="229">
        <v>42339</v>
      </c>
      <c r="N91" s="230">
        <v>42370</v>
      </c>
      <c r="O91" s="230">
        <v>42401</v>
      </c>
      <c r="P91" s="230">
        <v>42430</v>
      </c>
      <c r="Q91" s="230">
        <v>42461</v>
      </c>
      <c r="R91" s="230">
        <v>42491</v>
      </c>
      <c r="S91" s="230">
        <v>42522</v>
      </c>
      <c r="T91" s="230">
        <v>42552</v>
      </c>
      <c r="U91" s="230">
        <v>42583</v>
      </c>
      <c r="V91" s="228">
        <v>42614</v>
      </c>
      <c r="W91" s="228">
        <v>42644</v>
      </c>
      <c r="X91" s="228">
        <v>42675</v>
      </c>
      <c r="Y91" s="229">
        <v>42705</v>
      </c>
      <c r="Z91" s="228">
        <v>42752</v>
      </c>
      <c r="AA91" s="228">
        <v>42783</v>
      </c>
      <c r="AB91" s="228">
        <v>42811</v>
      </c>
      <c r="AC91" s="228">
        <v>42842</v>
      </c>
      <c r="AD91" s="228">
        <v>42872</v>
      </c>
      <c r="AE91" s="228">
        <v>42903</v>
      </c>
      <c r="AF91" s="228">
        <v>42933</v>
      </c>
      <c r="AG91" s="228">
        <v>42964</v>
      </c>
      <c r="AH91" s="228">
        <v>42995</v>
      </c>
      <c r="AI91" s="228">
        <v>43025</v>
      </c>
      <c r="AJ91" s="228">
        <v>43056</v>
      </c>
      <c r="AK91" s="229">
        <v>43086</v>
      </c>
      <c r="AL91" s="228">
        <v>43118</v>
      </c>
      <c r="AM91" s="228">
        <v>43149</v>
      </c>
      <c r="AN91" s="228">
        <v>43177</v>
      </c>
      <c r="AO91" s="228">
        <v>43208</v>
      </c>
      <c r="AP91" s="228">
        <v>43238</v>
      </c>
      <c r="AQ91" s="228">
        <v>43269</v>
      </c>
      <c r="AR91" s="228">
        <v>43299</v>
      </c>
      <c r="AS91" s="228">
        <v>43330</v>
      </c>
      <c r="AT91" s="228">
        <v>43361</v>
      </c>
      <c r="AU91" s="228">
        <v>43391</v>
      </c>
      <c r="AV91" s="228">
        <v>43422</v>
      </c>
      <c r="AW91" s="229">
        <v>43452</v>
      </c>
      <c r="AX91" s="228">
        <v>43483</v>
      </c>
      <c r="AY91" s="228">
        <v>43514</v>
      </c>
      <c r="AZ91" s="228">
        <v>43542</v>
      </c>
      <c r="BA91" s="228">
        <v>43573</v>
      </c>
      <c r="BB91" s="228">
        <v>43603</v>
      </c>
      <c r="BC91" s="228">
        <v>43634</v>
      </c>
      <c r="BD91" s="228">
        <v>43664</v>
      </c>
      <c r="BE91" s="228">
        <v>43695</v>
      </c>
      <c r="BF91" s="228">
        <v>43726</v>
      </c>
      <c r="BG91" s="228">
        <v>43756</v>
      </c>
      <c r="BH91" s="228">
        <v>43787</v>
      </c>
      <c r="BI91" s="229">
        <v>43817</v>
      </c>
      <c r="BJ91" s="228">
        <v>43848</v>
      </c>
      <c r="BK91" s="228">
        <v>43879</v>
      </c>
      <c r="BL91" s="228">
        <v>43908</v>
      </c>
      <c r="BM91" s="228">
        <v>43939</v>
      </c>
      <c r="BN91" s="228">
        <v>43969</v>
      </c>
      <c r="BO91" s="228">
        <v>44000</v>
      </c>
      <c r="BP91" s="228">
        <v>44030</v>
      </c>
      <c r="BQ91" s="228">
        <v>44061</v>
      </c>
      <c r="BR91" s="228">
        <v>44092</v>
      </c>
      <c r="BS91" s="228">
        <v>44122</v>
      </c>
      <c r="BT91" s="228">
        <v>44153</v>
      </c>
      <c r="BU91" s="229">
        <v>44183</v>
      </c>
      <c r="BV91" s="228">
        <v>44214</v>
      </c>
      <c r="BW91" s="228">
        <v>44245</v>
      </c>
      <c r="BX91" s="228">
        <v>44273</v>
      </c>
      <c r="BY91" s="228">
        <v>44304</v>
      </c>
      <c r="BZ91" s="228">
        <v>44334</v>
      </c>
      <c r="CA91" s="228">
        <v>44365</v>
      </c>
      <c r="CB91" s="228">
        <v>44395</v>
      </c>
      <c r="CC91" s="228">
        <v>44426</v>
      </c>
      <c r="CD91" s="228">
        <v>44457</v>
      </c>
      <c r="CE91" s="228">
        <v>44487</v>
      </c>
      <c r="CF91" s="228">
        <v>44518</v>
      </c>
      <c r="CG91" s="229">
        <v>44548</v>
      </c>
      <c r="CH91" s="228">
        <v>44579</v>
      </c>
      <c r="CI91" s="228">
        <v>44610</v>
      </c>
      <c r="CJ91" s="228">
        <v>44638</v>
      </c>
      <c r="CK91" s="228">
        <v>44669</v>
      </c>
      <c r="CL91" s="228">
        <v>44699</v>
      </c>
      <c r="CM91" s="228">
        <v>44730</v>
      </c>
      <c r="CN91" s="228">
        <v>44760</v>
      </c>
      <c r="CO91" s="228">
        <v>44791</v>
      </c>
      <c r="CP91" s="228">
        <v>44822</v>
      </c>
      <c r="CQ91" s="228">
        <v>44852</v>
      </c>
      <c r="CR91" s="228">
        <v>44883</v>
      </c>
      <c r="CS91" s="229">
        <v>44913</v>
      </c>
      <c r="CT91" s="228"/>
      <c r="CU91" s="228"/>
    </row>
    <row r="92" spans="1:99" s="211" customFormat="1" x14ac:dyDescent="0.25">
      <c r="A92" s="211" t="s">
        <v>4</v>
      </c>
      <c r="B92" s="211">
        <v>25.032451219512197</v>
      </c>
      <c r="C92" s="211">
        <v>19.755242424242425</v>
      </c>
      <c r="D92" s="211">
        <v>33.425615384615384</v>
      </c>
      <c r="E92" s="211">
        <v>33.375156804733727</v>
      </c>
      <c r="F92" s="211">
        <v>27.285160337552746</v>
      </c>
      <c r="G92" s="211">
        <v>32.193661016949157</v>
      </c>
      <c r="H92" s="211">
        <v>43.875194767441855</v>
      </c>
      <c r="I92" s="211">
        <v>25.721978609625669</v>
      </c>
      <c r="J92" s="211">
        <v>35.026007751937982</v>
      </c>
      <c r="K92" s="211">
        <v>27.151162393162334</v>
      </c>
      <c r="L92" s="211">
        <v>27.188452247191012</v>
      </c>
      <c r="M92" s="212">
        <v>31.669962393162354</v>
      </c>
      <c r="N92" s="213">
        <v>35.149828124999999</v>
      </c>
      <c r="O92" s="213">
        <v>31.867835820895074</v>
      </c>
      <c r="P92" s="213">
        <v>26.925121951219452</v>
      </c>
      <c r="Q92" s="213">
        <v>37.592350282485882</v>
      </c>
      <c r="R92" s="213">
        <v>31.795125000000002</v>
      </c>
      <c r="S92" s="213">
        <v>27.800063432835824</v>
      </c>
      <c r="T92" s="213">
        <v>31.257836363636365</v>
      </c>
      <c r="U92" s="213">
        <v>25.938352657004828</v>
      </c>
      <c r="V92" s="211">
        <v>30.768404083825903</v>
      </c>
      <c r="W92" s="211">
        <v>30.81589958158996</v>
      </c>
      <c r="X92" s="211">
        <v>30.768136557610244</v>
      </c>
      <c r="Y92" s="212">
        <v>32.913567140884453</v>
      </c>
      <c r="Z92" s="211">
        <v>31.693197364313757</v>
      </c>
      <c r="AA92" s="211">
        <v>31.760668227028347</v>
      </c>
      <c r="AB92" s="211">
        <v>30.979653859654238</v>
      </c>
      <c r="AC92" s="211">
        <v>31.254670218078466</v>
      </c>
      <c r="AD92" s="211">
        <v>30.986259891370374</v>
      </c>
      <c r="AE92" s="211">
        <v>31.026300390053621</v>
      </c>
      <c r="AF92" s="211">
        <v>30.982002973442846</v>
      </c>
      <c r="AG92" s="211">
        <v>31.026300390053621</v>
      </c>
      <c r="AH92" s="211">
        <v>31.104268101797313</v>
      </c>
      <c r="AI92" s="211">
        <v>31.057408366527898</v>
      </c>
      <c r="AJ92" s="211">
        <v>31.065630208734369</v>
      </c>
      <c r="AK92" s="212">
        <v>31.104268101797313</v>
      </c>
      <c r="AL92" s="211">
        <v>33.550919751362606</v>
      </c>
      <c r="AM92" s="211">
        <v>33.626917246461659</v>
      </c>
      <c r="AN92" s="211">
        <v>32.731889661142056</v>
      </c>
      <c r="AO92" s="211">
        <v>33.035512240106129</v>
      </c>
      <c r="AP92" s="211">
        <v>32.729500513064409</v>
      </c>
      <c r="AQ92" s="211">
        <v>32.787178453453677</v>
      </c>
      <c r="AR92" s="211">
        <v>32.74350007043401</v>
      </c>
      <c r="AS92" s="211">
        <v>32.797331719970849</v>
      </c>
      <c r="AT92" s="211">
        <v>32.890900382547841</v>
      </c>
      <c r="AU92" s="211">
        <v>32.864478515051253</v>
      </c>
      <c r="AV92" s="211">
        <v>32.874500022733152</v>
      </c>
      <c r="AW92" s="212">
        <v>32.422377854449977</v>
      </c>
      <c r="AX92" s="211">
        <v>35.934513653225487</v>
      </c>
      <c r="AY92" s="211">
        <v>36.014906783694414</v>
      </c>
      <c r="AZ92" s="211">
        <v>35.089920233183385</v>
      </c>
      <c r="BA92" s="211">
        <v>35.46819039084459</v>
      </c>
      <c r="BB92" s="211">
        <v>35.12775297034522</v>
      </c>
      <c r="BC92" s="211">
        <v>35.181772380754076</v>
      </c>
      <c r="BD92" s="211">
        <v>35.133128101141644</v>
      </c>
      <c r="BE92" s="211">
        <v>35.193065677042227</v>
      </c>
      <c r="BF92" s="211">
        <v>35.29688705340665</v>
      </c>
      <c r="BG92" s="211">
        <v>35.267616263273574</v>
      </c>
      <c r="BH92" s="211">
        <v>35.278722609505984</v>
      </c>
      <c r="BI92" s="212">
        <v>35.353112048918973</v>
      </c>
      <c r="BJ92" s="211">
        <v>38.195359110955735</v>
      </c>
      <c r="BK92" s="211">
        <v>38.281908362712628</v>
      </c>
      <c r="BL92" s="211">
        <v>37.275974031081454</v>
      </c>
      <c r="BM92" s="211">
        <v>37.663363827202481</v>
      </c>
      <c r="BN92" s="211">
        <v>37.294117683511033</v>
      </c>
      <c r="BO92" s="211">
        <v>37.352852483055557</v>
      </c>
      <c r="BP92" s="211">
        <v>37.300193705837962</v>
      </c>
      <c r="BQ92" s="211">
        <v>37.365360155927164</v>
      </c>
      <c r="BR92" s="211">
        <v>37.453856350432702</v>
      </c>
      <c r="BS92" s="211">
        <v>37.422373350022774</v>
      </c>
      <c r="BT92" s="211">
        <v>37.434320239802346</v>
      </c>
      <c r="BU92" s="212">
        <v>37.514303180936395</v>
      </c>
      <c r="BV92" s="211">
        <v>41.328456547941947</v>
      </c>
      <c r="BW92" s="211">
        <v>41.422788678138168</v>
      </c>
      <c r="BX92" s="211">
        <v>40.318717443692485</v>
      </c>
      <c r="BY92" s="211">
        <v>40.745897794223225</v>
      </c>
      <c r="BZ92" s="211">
        <v>40.276002123828022</v>
      </c>
      <c r="CA92" s="211">
        <v>40.339395156235277</v>
      </c>
      <c r="CB92" s="211">
        <v>40.282559962216332</v>
      </c>
      <c r="CC92" s="211">
        <v>40.378940432029907</v>
      </c>
      <c r="CD92" s="211">
        <v>40.475339146660922</v>
      </c>
      <c r="CE92" s="211">
        <v>40.441050541762202</v>
      </c>
      <c r="CF92" s="211">
        <v>40.467323411789771</v>
      </c>
      <c r="CG92" s="212">
        <v>40.62181867604415</v>
      </c>
      <c r="CH92" s="211">
        <v>45.090440045020046</v>
      </c>
      <c r="CI92" s="211">
        <v>45.19369027605547</v>
      </c>
      <c r="CJ92" s="211">
        <v>43.980973664093518</v>
      </c>
      <c r="CK92" s="211">
        <v>44.451299443399677</v>
      </c>
      <c r="CL92" s="211">
        <v>43.933866782643051</v>
      </c>
      <c r="CM92" s="211">
        <v>44.003772197109406</v>
      </c>
      <c r="CN92" s="211">
        <v>43.941099746896839</v>
      </c>
      <c r="CO92" s="211">
        <v>44.047364274310958</v>
      </c>
      <c r="CP92" s="211">
        <v>44.15357730404434</v>
      </c>
      <c r="CQ92" s="211">
        <v>44.145394959736528</v>
      </c>
      <c r="CR92" s="211">
        <v>44.144748218688214</v>
      </c>
      <c r="CS92" s="212">
        <v>44.31483292155378</v>
      </c>
    </row>
    <row r="93" spans="1:99" s="211" customFormat="1" x14ac:dyDescent="0.25">
      <c r="A93" s="211" t="s">
        <v>5</v>
      </c>
      <c r="B93" s="211">
        <v>14.38318181818182</v>
      </c>
      <c r="C93" s="211">
        <v>13.360600000000002</v>
      </c>
      <c r="D93" s="211">
        <v>14.565520100502512</v>
      </c>
      <c r="E93" s="211">
        <v>20.581070833333335</v>
      </c>
      <c r="F93" s="211">
        <v>16.455992366412215</v>
      </c>
      <c r="G93" s="211">
        <v>14.468648351648351</v>
      </c>
      <c r="H93" s="211">
        <v>13.00454</v>
      </c>
      <c r="I93" s="211">
        <v>13.077528634361235</v>
      </c>
      <c r="J93" s="211">
        <v>15.813219211822659</v>
      </c>
      <c r="K93" s="211">
        <v>14.314713754646842</v>
      </c>
      <c r="L93" s="211">
        <v>14.269789223454881</v>
      </c>
      <c r="M93" s="212">
        <v>17.062187022900762</v>
      </c>
      <c r="N93" s="213">
        <v>16.685963414634145</v>
      </c>
      <c r="O93" s="213">
        <v>13.424341463414635</v>
      </c>
      <c r="P93" s="213">
        <v>17.039792910447765</v>
      </c>
      <c r="Q93" s="213">
        <v>21.221091168091196</v>
      </c>
      <c r="R93" s="213">
        <v>15.061581280788179</v>
      </c>
      <c r="S93" s="213">
        <v>13.264700523560283</v>
      </c>
      <c r="T93" s="213">
        <v>13.084938369781332</v>
      </c>
      <c r="U93" s="213">
        <v>13.785278065630431</v>
      </c>
      <c r="V93" s="211">
        <v>15.571593292947421</v>
      </c>
      <c r="W93" s="211">
        <v>15.651303429062441</v>
      </c>
      <c r="X93" s="211">
        <v>15.737926025579865</v>
      </c>
      <c r="Y93" s="212">
        <v>15.694172119439873</v>
      </c>
      <c r="Z93" s="211">
        <v>13.67766935699367</v>
      </c>
      <c r="AA93" s="211">
        <v>13.699797196906822</v>
      </c>
      <c r="AB93" s="211">
        <v>13.941120980013121</v>
      </c>
      <c r="AC93" s="211">
        <v>13.89194645393583</v>
      </c>
      <c r="AD93" s="211">
        <v>13.916284885220053</v>
      </c>
      <c r="AE93" s="211">
        <v>13.881712320664791</v>
      </c>
      <c r="AF93" s="211">
        <v>13.922268026687044</v>
      </c>
      <c r="AG93" s="211">
        <v>13.91406152923366</v>
      </c>
      <c r="AH93" s="211">
        <v>13.907105473416873</v>
      </c>
      <c r="AI93" s="211">
        <v>13.923566477909553</v>
      </c>
      <c r="AJ93" s="211">
        <v>13.911402758386187</v>
      </c>
      <c r="AK93" s="212">
        <v>13.901560407817787</v>
      </c>
      <c r="AL93" s="211">
        <v>13.868799444927498</v>
      </c>
      <c r="AM93" s="211">
        <v>13.908962303565009</v>
      </c>
      <c r="AN93" s="211">
        <v>13.890295101059314</v>
      </c>
      <c r="AO93" s="211">
        <v>13.9165754945766</v>
      </c>
      <c r="AP93" s="211">
        <v>13.903493801781991</v>
      </c>
      <c r="AQ93" s="211">
        <v>13.915038606706572</v>
      </c>
      <c r="AR93" s="211">
        <v>13.944637577411092</v>
      </c>
      <c r="AS93" s="211">
        <v>13.908456888538179</v>
      </c>
      <c r="AT93" s="211">
        <v>13.914295418677707</v>
      </c>
      <c r="AU93" s="211">
        <v>13.938469150760151</v>
      </c>
      <c r="AV93" s="211">
        <v>13.904952185070314</v>
      </c>
      <c r="AW93" s="212">
        <v>13.888604642502052</v>
      </c>
      <c r="AX93" s="211">
        <v>14.531551032968231</v>
      </c>
      <c r="AY93" s="211">
        <v>14.573112711585042</v>
      </c>
      <c r="AZ93" s="211">
        <v>14.581545320206297</v>
      </c>
      <c r="BA93" s="211">
        <v>14.537547693708463</v>
      </c>
      <c r="BB93" s="211">
        <v>14.56172724953146</v>
      </c>
      <c r="BC93" s="211">
        <v>14.566339894268365</v>
      </c>
      <c r="BD93" s="211">
        <v>14.561331688096278</v>
      </c>
      <c r="BE93" s="211">
        <v>14.563670151582995</v>
      </c>
      <c r="BF93" s="211">
        <v>14.560026120933946</v>
      </c>
      <c r="BG93" s="211">
        <v>14.55006102744832</v>
      </c>
      <c r="BH93" s="211">
        <v>14.555485856167662</v>
      </c>
      <c r="BI93" s="212">
        <v>14.552118749195953</v>
      </c>
      <c r="BJ93" s="211">
        <v>15.405221069643426</v>
      </c>
      <c r="BK93" s="211">
        <v>15.448977962843415</v>
      </c>
      <c r="BL93" s="211">
        <v>15.454026885615901</v>
      </c>
      <c r="BM93" s="211">
        <v>15.413018017708559</v>
      </c>
      <c r="BN93" s="211">
        <v>15.438215669920741</v>
      </c>
      <c r="BO93" s="211">
        <v>15.42853838799383</v>
      </c>
      <c r="BP93" s="211">
        <v>15.435844455720725</v>
      </c>
      <c r="BQ93" s="211">
        <v>15.437545452242079</v>
      </c>
      <c r="BR93" s="211">
        <v>15.424166553171391</v>
      </c>
      <c r="BS93" s="211">
        <v>15.426007859006647</v>
      </c>
      <c r="BT93" s="211">
        <v>15.430965103631808</v>
      </c>
      <c r="BU93" s="212">
        <v>15.412832411675344</v>
      </c>
      <c r="BV93" s="211">
        <v>16.643659700007184</v>
      </c>
      <c r="BW93" s="211">
        <v>16.690966728907693</v>
      </c>
      <c r="BX93" s="211">
        <v>16.696418590108138</v>
      </c>
      <c r="BY93" s="211">
        <v>16.652502160231823</v>
      </c>
      <c r="BZ93" s="211">
        <v>16.679873979545885</v>
      </c>
      <c r="CA93" s="211">
        <v>16.669552637767001</v>
      </c>
      <c r="CB93" s="211">
        <v>16.677951794069859</v>
      </c>
      <c r="CC93" s="211">
        <v>16.673881966889308</v>
      </c>
      <c r="CD93" s="211">
        <v>16.659510756602998</v>
      </c>
      <c r="CE93" s="211">
        <v>16.661749491387688</v>
      </c>
      <c r="CF93" s="211">
        <v>16.664217753216867</v>
      </c>
      <c r="CG93" s="212">
        <v>16.644703368413047</v>
      </c>
      <c r="CH93" s="211">
        <v>18.137128676523769</v>
      </c>
      <c r="CI93" s="211">
        <v>18.188686559907335</v>
      </c>
      <c r="CJ93" s="211">
        <v>18.194927479232867</v>
      </c>
      <c r="CK93" s="211">
        <v>18.147342457029776</v>
      </c>
      <c r="CL93" s="211">
        <v>18.17725451181018</v>
      </c>
      <c r="CM93" s="211">
        <v>18.166163586105487</v>
      </c>
      <c r="CN93" s="211">
        <v>18.175505645173789</v>
      </c>
      <c r="CO93" s="211">
        <v>18.171170303134904</v>
      </c>
      <c r="CP93" s="211">
        <v>18.155627638815094</v>
      </c>
      <c r="CQ93" s="211">
        <v>18.151750883333527</v>
      </c>
      <c r="CR93" s="211">
        <v>18.16100333773646</v>
      </c>
      <c r="CS93" s="212">
        <v>18.139894556821442</v>
      </c>
    </row>
    <row r="94" spans="1:99" s="211" customFormat="1" x14ac:dyDescent="0.25">
      <c r="A94" s="211" t="s">
        <v>6</v>
      </c>
      <c r="B94" s="211">
        <v>12.821111888111886</v>
      </c>
      <c r="C94" s="211">
        <v>14.199015384615377</v>
      </c>
      <c r="D94" s="211">
        <v>18.394213675213674</v>
      </c>
      <c r="E94" s="211">
        <v>16.393338383838383</v>
      </c>
      <c r="F94" s="211">
        <v>14.638915433403806</v>
      </c>
      <c r="G94" s="211">
        <v>16.364360730593607</v>
      </c>
      <c r="H94" s="211">
        <v>14.968020746887968</v>
      </c>
      <c r="I94" s="211">
        <v>14.499375000000002</v>
      </c>
      <c r="J94" s="211">
        <v>15.49359265442404</v>
      </c>
      <c r="K94" s="211">
        <v>16.29332638888889</v>
      </c>
      <c r="L94" s="211">
        <v>13.280004329004329</v>
      </c>
      <c r="M94" s="212">
        <v>14.402994295028542</v>
      </c>
      <c r="N94" s="213">
        <v>14.015318518518503</v>
      </c>
      <c r="O94" s="213">
        <v>12.947682926829268</v>
      </c>
      <c r="P94" s="213">
        <v>17.606922222222224</v>
      </c>
      <c r="Q94" s="213">
        <v>15.754151999999999</v>
      </c>
      <c r="R94" s="213">
        <v>14.32756640625</v>
      </c>
      <c r="S94" s="213">
        <v>14.885038062283739</v>
      </c>
      <c r="T94" s="213">
        <v>13.415937343358395</v>
      </c>
      <c r="U94" s="213">
        <v>11.805724035608309</v>
      </c>
      <c r="V94" s="211">
        <v>14.081042314128617</v>
      </c>
      <c r="W94" s="211">
        <v>14.555656786485157</v>
      </c>
      <c r="X94" s="211">
        <v>14.778994272819491</v>
      </c>
      <c r="Y94" s="212">
        <v>14.840434243350952</v>
      </c>
      <c r="Z94" s="211">
        <v>12.59906537173485</v>
      </c>
      <c r="AA94" s="211">
        <v>12.58286361303931</v>
      </c>
      <c r="AB94" s="211">
        <v>13.436408359924926</v>
      </c>
      <c r="AC94" s="211">
        <v>13.27815544178133</v>
      </c>
      <c r="AD94" s="211">
        <v>13.218835258222253</v>
      </c>
      <c r="AE94" s="211">
        <v>13.167486103692418</v>
      </c>
      <c r="AF94" s="211">
        <v>13.145054125996982</v>
      </c>
      <c r="AG94" s="211">
        <v>13.228743795143307</v>
      </c>
      <c r="AH94" s="211">
        <v>13.145270098961268</v>
      </c>
      <c r="AI94" s="211">
        <v>13.236928690212554</v>
      </c>
      <c r="AJ94" s="211">
        <v>13.252295569462976</v>
      </c>
      <c r="AK94" s="212">
        <v>13.136276133222246</v>
      </c>
      <c r="AL94" s="211">
        <v>13.14781856778859</v>
      </c>
      <c r="AM94" s="211">
        <v>13.04695465878256</v>
      </c>
      <c r="AN94" s="211">
        <v>13.279223158398613</v>
      </c>
      <c r="AO94" s="211">
        <v>13.16017159562892</v>
      </c>
      <c r="AP94" s="211">
        <v>13.329312069769122</v>
      </c>
      <c r="AQ94" s="211">
        <v>13.163266759197684</v>
      </c>
      <c r="AR94" s="211">
        <v>13.287161079072709</v>
      </c>
      <c r="AS94" s="211">
        <v>13.35490020522411</v>
      </c>
      <c r="AT94" s="211">
        <v>13.166517432951915</v>
      </c>
      <c r="AU94" s="211">
        <v>13.271394333197893</v>
      </c>
      <c r="AV94" s="211">
        <v>13.342878573367987</v>
      </c>
      <c r="AW94" s="212">
        <v>13.154327926047692</v>
      </c>
      <c r="AX94" s="211">
        <v>13.98307746624317</v>
      </c>
      <c r="AY94" s="211">
        <v>13.592937795346273</v>
      </c>
      <c r="AZ94" s="211">
        <v>13.804796704174157</v>
      </c>
      <c r="BA94" s="211">
        <v>13.77162792943648</v>
      </c>
      <c r="BB94" s="211">
        <v>13.731034549433298</v>
      </c>
      <c r="BC94" s="211">
        <v>13.70170875459903</v>
      </c>
      <c r="BD94" s="211">
        <v>13.7951398787018</v>
      </c>
      <c r="BE94" s="211">
        <v>13.740439098777573</v>
      </c>
      <c r="BF94" s="211">
        <v>13.685365058711279</v>
      </c>
      <c r="BG94" s="211">
        <v>13.759357334224909</v>
      </c>
      <c r="BH94" s="211">
        <v>13.710734466903382</v>
      </c>
      <c r="BI94" s="212">
        <v>13.657075611494287</v>
      </c>
      <c r="BJ94" s="211">
        <v>14.72431292020209</v>
      </c>
      <c r="BK94" s="211">
        <v>14.414663339306124</v>
      </c>
      <c r="BL94" s="211">
        <v>14.638279993197234</v>
      </c>
      <c r="BM94" s="211">
        <v>14.609017772651757</v>
      </c>
      <c r="BN94" s="211">
        <v>14.566328981141075</v>
      </c>
      <c r="BO94" s="211">
        <v>14.533488259536245</v>
      </c>
      <c r="BP94" s="211">
        <v>14.581145885106809</v>
      </c>
      <c r="BQ94" s="211">
        <v>14.567781543205085</v>
      </c>
      <c r="BR94" s="211">
        <v>14.525329986343996</v>
      </c>
      <c r="BS94" s="211">
        <v>14.551652650028924</v>
      </c>
      <c r="BT94" s="211">
        <v>14.543701272772458</v>
      </c>
      <c r="BU94" s="212">
        <v>14.48392873503715</v>
      </c>
      <c r="BV94" s="211">
        <v>15.864556393268895</v>
      </c>
      <c r="BW94" s="211">
        <v>15.58867987218046</v>
      </c>
      <c r="BX94" s="211">
        <v>15.830672679694375</v>
      </c>
      <c r="BY94" s="211">
        <v>15.798934211827948</v>
      </c>
      <c r="BZ94" s="211">
        <v>15.754514730886889</v>
      </c>
      <c r="CA94" s="211">
        <v>15.719115238279832</v>
      </c>
      <c r="CB94" s="211">
        <v>15.771356588773333</v>
      </c>
      <c r="CC94" s="211">
        <v>15.737566981985459</v>
      </c>
      <c r="CD94" s="211">
        <v>15.691983558135417</v>
      </c>
      <c r="CE94" s="211">
        <v>15.720746150048253</v>
      </c>
      <c r="CF94" s="211">
        <v>15.702748733483604</v>
      </c>
      <c r="CG94" s="212">
        <v>15.638411885244775</v>
      </c>
      <c r="CH94" s="211">
        <v>17.276502038604239</v>
      </c>
      <c r="CI94" s="211">
        <v>16.976218538545751</v>
      </c>
      <c r="CJ94" s="211">
        <v>17.23973706573981</v>
      </c>
      <c r="CK94" s="211">
        <v>17.206279926095952</v>
      </c>
      <c r="CL94" s="211">
        <v>17.158627201201469</v>
      </c>
      <c r="CM94" s="211">
        <v>17.120595244884431</v>
      </c>
      <c r="CN94" s="211">
        <v>17.177922265278195</v>
      </c>
      <c r="CO94" s="211">
        <v>17.141864458839429</v>
      </c>
      <c r="CP94" s="211">
        <v>17.092594997720248</v>
      </c>
      <c r="CQ94" s="211">
        <v>17.101522632028757</v>
      </c>
      <c r="CR94" s="211">
        <v>17.105170603177772</v>
      </c>
      <c r="CS94" s="212">
        <v>17.035526523855204</v>
      </c>
    </row>
    <row r="95" spans="1:99" s="211" customFormat="1" x14ac:dyDescent="0.25">
      <c r="A95" s="211" t="s">
        <v>7</v>
      </c>
      <c r="B95" s="211">
        <v>13.623292993630573</v>
      </c>
      <c r="C95" s="211">
        <v>13.41305298013245</v>
      </c>
      <c r="D95" s="211">
        <v>16.542400826446279</v>
      </c>
      <c r="E95" s="211">
        <v>14.258792452830189</v>
      </c>
      <c r="F95" s="211">
        <v>14.454697406340056</v>
      </c>
      <c r="G95" s="211">
        <v>16.507064935064907</v>
      </c>
      <c r="H95" s="211">
        <v>14.52706811145511</v>
      </c>
      <c r="I95" s="211">
        <v>13.658375661375661</v>
      </c>
      <c r="J95" s="211">
        <v>14.382189258312019</v>
      </c>
      <c r="K95" s="211">
        <v>16.290571428571429</v>
      </c>
      <c r="L95" s="211">
        <v>14.782255905511812</v>
      </c>
      <c r="M95" s="212">
        <v>15.924003194888178</v>
      </c>
      <c r="N95" s="213">
        <v>12.943695290858725</v>
      </c>
      <c r="O95" s="213">
        <v>15.047127753303966</v>
      </c>
      <c r="P95" s="213">
        <v>17.881479020979022</v>
      </c>
      <c r="Q95" s="213">
        <v>16.666140624999993</v>
      </c>
      <c r="R95" s="213">
        <v>17.071319391634979</v>
      </c>
      <c r="S95" s="213">
        <v>15.519449003517</v>
      </c>
      <c r="T95" s="213">
        <v>17.0267625</v>
      </c>
      <c r="U95" s="213">
        <v>13.299110132158612</v>
      </c>
      <c r="V95" s="211">
        <v>14.965911119043369</v>
      </c>
      <c r="W95" s="211">
        <v>15.017404580152672</v>
      </c>
      <c r="X95" s="211">
        <v>15.517320104441666</v>
      </c>
      <c r="Y95" s="212">
        <v>15.617676363022845</v>
      </c>
      <c r="Z95" s="211">
        <v>13.121517402148326</v>
      </c>
      <c r="AA95" s="211">
        <v>13.066024828269047</v>
      </c>
      <c r="AB95" s="211">
        <v>14.592666083824984</v>
      </c>
      <c r="AC95" s="211">
        <v>14.37557597228251</v>
      </c>
      <c r="AD95" s="211">
        <v>14.195181114729136</v>
      </c>
      <c r="AE95" s="211">
        <v>14.104035369855184</v>
      </c>
      <c r="AF95" s="211">
        <v>14.150676688987494</v>
      </c>
      <c r="AG95" s="211">
        <v>14.070127233078338</v>
      </c>
      <c r="AH95" s="211">
        <v>14.102751738237711</v>
      </c>
      <c r="AI95" s="211">
        <v>14.131337020872865</v>
      </c>
      <c r="AJ95" s="211">
        <v>14.180198297325916</v>
      </c>
      <c r="AK95" s="212">
        <v>14.126825266652522</v>
      </c>
      <c r="AL95" s="211">
        <v>14.290425327003335</v>
      </c>
      <c r="AM95" s="211">
        <v>14.230985314988036</v>
      </c>
      <c r="AN95" s="211">
        <v>14.751611836089703</v>
      </c>
      <c r="AO95" s="211">
        <v>14.535333709488421</v>
      </c>
      <c r="AP95" s="211">
        <v>14.339601746171988</v>
      </c>
      <c r="AQ95" s="211">
        <v>14.520618789033014</v>
      </c>
      <c r="AR95" s="211">
        <v>14.420865439723952</v>
      </c>
      <c r="AS95" s="211">
        <v>14.527578487097022</v>
      </c>
      <c r="AT95" s="211">
        <v>14.538603955448847</v>
      </c>
      <c r="AU95" s="211">
        <v>14.408436612273041</v>
      </c>
      <c r="AV95" s="211">
        <v>14.515231498281469</v>
      </c>
      <c r="AW95" s="212">
        <v>14.524087870670373</v>
      </c>
      <c r="AX95" s="211">
        <v>15.25096651846283</v>
      </c>
      <c r="AY95" s="211">
        <v>15.154699936925438</v>
      </c>
      <c r="AZ95" s="211">
        <v>15.319510562034758</v>
      </c>
      <c r="BA95" s="211">
        <v>15.051834758227608</v>
      </c>
      <c r="BB95" s="211">
        <v>15.011138749327785</v>
      </c>
      <c r="BC95" s="211">
        <v>14.938822273372228</v>
      </c>
      <c r="BD95" s="211">
        <v>14.996257390174815</v>
      </c>
      <c r="BE95" s="211">
        <v>15.064745677258324</v>
      </c>
      <c r="BF95" s="211">
        <v>14.926546136372927</v>
      </c>
      <c r="BG95" s="211">
        <v>14.959530772216269</v>
      </c>
      <c r="BH95" s="211">
        <v>15.028394813583905</v>
      </c>
      <c r="BI95" s="212">
        <v>14.891079642303557</v>
      </c>
      <c r="BJ95" s="211">
        <v>15.986458667869574</v>
      </c>
      <c r="BK95" s="211">
        <v>15.947046960050418</v>
      </c>
      <c r="BL95" s="211">
        <v>16.246586303479447</v>
      </c>
      <c r="BM95" s="211">
        <v>15.984872470667126</v>
      </c>
      <c r="BN95" s="211">
        <v>15.925174767080311</v>
      </c>
      <c r="BO95" s="211">
        <v>15.848865267977081</v>
      </c>
      <c r="BP95" s="211">
        <v>15.907586333077681</v>
      </c>
      <c r="BQ95" s="211">
        <v>15.9181957038241</v>
      </c>
      <c r="BR95" s="211">
        <v>15.848162910914853</v>
      </c>
      <c r="BS95" s="211">
        <v>15.879989880382301</v>
      </c>
      <c r="BT95" s="211">
        <v>15.889830958181085</v>
      </c>
      <c r="BU95" s="212">
        <v>15.796864726081537</v>
      </c>
      <c r="BV95" s="211">
        <v>17.288113666281397</v>
      </c>
      <c r="BW95" s="211">
        <v>17.177899683051308</v>
      </c>
      <c r="BX95" s="211">
        <v>17.57303174747646</v>
      </c>
      <c r="BY95" s="211">
        <v>17.289457550502107</v>
      </c>
      <c r="BZ95" s="211">
        <v>17.224737970372441</v>
      </c>
      <c r="CA95" s="211">
        <v>17.144231091912523</v>
      </c>
      <c r="CB95" s="211">
        <v>17.20812911559765</v>
      </c>
      <c r="CC95" s="211">
        <v>17.194907277520056</v>
      </c>
      <c r="CD95" s="211">
        <v>17.121248650126066</v>
      </c>
      <c r="CE95" s="211">
        <v>17.156008849198347</v>
      </c>
      <c r="CF95" s="211">
        <v>17.154570373878116</v>
      </c>
      <c r="CG95" s="212">
        <v>17.055303800175963</v>
      </c>
      <c r="CH95" s="211">
        <v>18.824673777230299</v>
      </c>
      <c r="CI95" s="211">
        <v>18.70504164169494</v>
      </c>
      <c r="CJ95" s="211">
        <v>19.134823093772418</v>
      </c>
      <c r="CK95" s="211">
        <v>18.826526621206359</v>
      </c>
      <c r="CL95" s="211">
        <v>18.757414229295414</v>
      </c>
      <c r="CM95" s="211">
        <v>18.670656452127833</v>
      </c>
      <c r="CN95" s="211">
        <v>18.740743685446592</v>
      </c>
      <c r="CO95" s="211">
        <v>18.726949674601347</v>
      </c>
      <c r="CP95" s="211">
        <v>18.647669718180357</v>
      </c>
      <c r="CQ95" s="211">
        <v>18.658447582002328</v>
      </c>
      <c r="CR95" s="211">
        <v>18.684718193131005</v>
      </c>
      <c r="CS95" s="212">
        <v>18.577362439085576</v>
      </c>
    </row>
    <row r="96" spans="1:99" s="211" customFormat="1" x14ac:dyDescent="0.25">
      <c r="A96" s="211" t="s">
        <v>8</v>
      </c>
      <c r="B96" s="211">
        <v>9.9205000000000005</v>
      </c>
      <c r="C96" s="211">
        <v>14.821272727272728</v>
      </c>
      <c r="D96" s="211">
        <v>16.569893749999999</v>
      </c>
      <c r="E96" s="211">
        <v>18.924866028708134</v>
      </c>
      <c r="F96" s="211">
        <v>13.80003982300885</v>
      </c>
      <c r="G96" s="211">
        <v>16.231237288135592</v>
      </c>
      <c r="H96" s="211">
        <v>21.444955357142856</v>
      </c>
      <c r="I96" s="211">
        <v>16.448185393258427</v>
      </c>
      <c r="J96" s="211">
        <v>14.69251083591328</v>
      </c>
      <c r="K96" s="211">
        <v>16.266487234042554</v>
      </c>
      <c r="L96" s="211">
        <v>15.04112853470437</v>
      </c>
      <c r="M96" s="212">
        <v>20.783073891625616</v>
      </c>
      <c r="N96" s="213">
        <v>13.189109634551496</v>
      </c>
      <c r="O96" s="213">
        <v>12.130409722222222</v>
      </c>
      <c r="P96" s="213">
        <v>14.262681818181818</v>
      </c>
      <c r="Q96" s="213">
        <v>20.813052044609663</v>
      </c>
      <c r="R96" s="213">
        <v>16.29884699453552</v>
      </c>
      <c r="S96" s="213">
        <v>15.619860465116279</v>
      </c>
      <c r="T96" s="213">
        <v>15.944375757575758</v>
      </c>
      <c r="U96" s="213">
        <v>17.497730088495576</v>
      </c>
      <c r="V96" s="211">
        <v>14.549338472531995</v>
      </c>
      <c r="W96" s="211">
        <v>14.719947061509346</v>
      </c>
      <c r="X96" s="211">
        <v>14.9127009445608</v>
      </c>
      <c r="Y96" s="212">
        <v>15.07223633432079</v>
      </c>
      <c r="Z96" s="211">
        <v>12.673518999702562</v>
      </c>
      <c r="AA96" s="211">
        <v>12.76957391790318</v>
      </c>
      <c r="AB96" s="211">
        <v>13.85459814555575</v>
      </c>
      <c r="AC96" s="211">
        <v>13.82493510424014</v>
      </c>
      <c r="AD96" s="211">
        <v>13.927971842835774</v>
      </c>
      <c r="AE96" s="211">
        <v>13.925485059189361</v>
      </c>
      <c r="AF96" s="211">
        <v>13.917959573091178</v>
      </c>
      <c r="AG96" s="211">
        <v>13.873472614775157</v>
      </c>
      <c r="AH96" s="211">
        <v>13.741495440104183</v>
      </c>
      <c r="AI96" s="211">
        <v>13.804806715769294</v>
      </c>
      <c r="AJ96" s="211">
        <v>13.832413516827241</v>
      </c>
      <c r="AK96" s="212">
        <v>13.793348842467676</v>
      </c>
      <c r="AL96" s="211">
        <v>14.217798461316944</v>
      </c>
      <c r="AM96" s="211">
        <v>14.216009027540203</v>
      </c>
      <c r="AN96" s="211">
        <v>14.407389239953362</v>
      </c>
      <c r="AO96" s="211">
        <v>14.365468996856626</v>
      </c>
      <c r="AP96" s="211">
        <v>14.464259343166725</v>
      </c>
      <c r="AQ96" s="211">
        <v>14.414471131554599</v>
      </c>
      <c r="AR96" s="211">
        <v>14.520163350926158</v>
      </c>
      <c r="AS96" s="211">
        <v>14.507367826197466</v>
      </c>
      <c r="AT96" s="211">
        <v>14.481907411962702</v>
      </c>
      <c r="AU96" s="211">
        <v>14.525239133339296</v>
      </c>
      <c r="AV96" s="211">
        <v>14.545099320206424</v>
      </c>
      <c r="AW96" s="212">
        <v>14.474126436782864</v>
      </c>
      <c r="AX96" s="211">
        <v>15.183684443478283</v>
      </c>
      <c r="AY96" s="211">
        <v>15.183331027216934</v>
      </c>
      <c r="AZ96" s="211">
        <v>15.332180212512952</v>
      </c>
      <c r="BA96" s="211">
        <v>15.16827641252263</v>
      </c>
      <c r="BB96" s="211">
        <v>15.186611547183139</v>
      </c>
      <c r="BC96" s="211">
        <v>15.045217520761113</v>
      </c>
      <c r="BD96" s="211">
        <v>15.078858747801942</v>
      </c>
      <c r="BE96" s="211">
        <v>15.079619667049835</v>
      </c>
      <c r="BF96" s="211">
        <v>15.018561020768951</v>
      </c>
      <c r="BG96" s="211">
        <v>15.040944128632207</v>
      </c>
      <c r="BH96" s="211">
        <v>15.064085070398152</v>
      </c>
      <c r="BI96" s="212">
        <v>14.987357570276053</v>
      </c>
      <c r="BJ96" s="211">
        <v>15.871097035577357</v>
      </c>
      <c r="BK96" s="211">
        <v>15.875002348512345</v>
      </c>
      <c r="BL96" s="211">
        <v>16.068935580030839</v>
      </c>
      <c r="BM96" s="211">
        <v>15.989948639330509</v>
      </c>
      <c r="BN96" s="211">
        <v>16.06097395063577</v>
      </c>
      <c r="BO96" s="211">
        <v>15.965440330011843</v>
      </c>
      <c r="BP96" s="211">
        <v>15.997714788642286</v>
      </c>
      <c r="BQ96" s="211">
        <v>15.996105402470791</v>
      </c>
      <c r="BR96" s="211">
        <v>15.928948928418226</v>
      </c>
      <c r="BS96" s="211">
        <v>15.952480788208817</v>
      </c>
      <c r="BT96" s="211">
        <v>15.976409425795865</v>
      </c>
      <c r="BU96" s="212">
        <v>15.885232399612788</v>
      </c>
      <c r="BV96" s="211">
        <v>17.149488644918133</v>
      </c>
      <c r="BW96" s="211">
        <v>17.15233040653435</v>
      </c>
      <c r="BX96" s="211">
        <v>17.351115089927404</v>
      </c>
      <c r="BY96" s="211">
        <v>17.2614547842579</v>
      </c>
      <c r="BZ96" s="211">
        <v>17.332648967357354</v>
      </c>
      <c r="CA96" s="211">
        <v>17.266148104138733</v>
      </c>
      <c r="CB96" s="211">
        <v>17.301825516124964</v>
      </c>
      <c r="CC96" s="211">
        <v>17.277365953805784</v>
      </c>
      <c r="CD96" s="211">
        <v>17.205787354192164</v>
      </c>
      <c r="CE96" s="211">
        <v>17.232117843488783</v>
      </c>
      <c r="CF96" s="211">
        <v>17.247425823525607</v>
      </c>
      <c r="CG96" s="212">
        <v>17.149854789430055</v>
      </c>
      <c r="CH96" s="211">
        <v>18.674468209147079</v>
      </c>
      <c r="CI96" s="211">
        <v>18.678107927763495</v>
      </c>
      <c r="CJ96" s="211">
        <v>18.895044733974746</v>
      </c>
      <c r="CK96" s="211">
        <v>18.797439572487828</v>
      </c>
      <c r="CL96" s="211">
        <v>18.8750555967742</v>
      </c>
      <c r="CM96" s="211">
        <v>18.803565124458288</v>
      </c>
      <c r="CN96" s="211">
        <v>18.843096626625446</v>
      </c>
      <c r="CO96" s="211">
        <v>18.816981658659014</v>
      </c>
      <c r="CP96" s="211">
        <v>18.739650323303614</v>
      </c>
      <c r="CQ96" s="211">
        <v>18.743624396964378</v>
      </c>
      <c r="CR96" s="211">
        <v>18.786165971115434</v>
      </c>
      <c r="CS96" s="212">
        <v>18.680429002476334</v>
      </c>
    </row>
    <row r="97" spans="1:97" s="211" customFormat="1" x14ac:dyDescent="0.25">
      <c r="A97" s="211" t="s">
        <v>1</v>
      </c>
      <c r="B97" s="211">
        <v>14.515539682539684</v>
      </c>
      <c r="C97" s="211">
        <v>17.330071428571429</v>
      </c>
      <c r="D97" s="211">
        <v>14.175559405940595</v>
      </c>
      <c r="E97" s="211">
        <v>21.785724025974027</v>
      </c>
      <c r="F97" s="211">
        <v>15.040053254437872</v>
      </c>
      <c r="G97" s="211">
        <v>30.79588115942029</v>
      </c>
      <c r="H97" s="211">
        <v>20.45842156862745</v>
      </c>
      <c r="I97" s="211">
        <v>14.96850657894737</v>
      </c>
      <c r="J97" s="211">
        <v>18.397269867549671</v>
      </c>
      <c r="K97" s="211">
        <v>20.364541125541123</v>
      </c>
      <c r="L97" s="211">
        <v>17.526171428571452</v>
      </c>
      <c r="M97" s="212">
        <v>19.476502222222244</v>
      </c>
      <c r="N97" s="213">
        <v>13.938275862068966</v>
      </c>
      <c r="O97" s="213">
        <v>14.878309352517986</v>
      </c>
      <c r="P97" s="213">
        <v>16.780355704697989</v>
      </c>
      <c r="Q97" s="213">
        <v>15.887009216589862</v>
      </c>
      <c r="R97" s="213">
        <v>17.507304511278193</v>
      </c>
      <c r="S97" s="213">
        <v>14.745431818181819</v>
      </c>
      <c r="T97" s="213">
        <v>18.476511111111112</v>
      </c>
      <c r="U97" s="213">
        <v>17.759150121065378</v>
      </c>
      <c r="V97" s="211">
        <v>15.435629214013584</v>
      </c>
      <c r="W97" s="211">
        <v>15.440517692909884</v>
      </c>
      <c r="X97" s="211">
        <v>15.519995256166984</v>
      </c>
      <c r="Y97" s="212">
        <v>15.51683623838553</v>
      </c>
      <c r="Z97" s="211">
        <v>14.718223397108135</v>
      </c>
      <c r="AA97" s="211">
        <v>14.797227512509973</v>
      </c>
      <c r="AB97" s="211">
        <v>15.907821358197323</v>
      </c>
      <c r="AC97" s="211">
        <v>15.897268868312354</v>
      </c>
      <c r="AD97" s="211">
        <v>15.889044206050407</v>
      </c>
      <c r="AE97" s="211">
        <v>15.887555725375721</v>
      </c>
      <c r="AF97" s="211">
        <v>15.889808330763154</v>
      </c>
      <c r="AG97" s="211">
        <v>15.889753277005624</v>
      </c>
      <c r="AH97" s="211">
        <v>15.883117933968935</v>
      </c>
      <c r="AI97" s="211">
        <v>15.890466163164364</v>
      </c>
      <c r="AJ97" s="211">
        <v>15.89119570893766</v>
      </c>
      <c r="AK97" s="212">
        <v>15.891038892860513</v>
      </c>
      <c r="AL97" s="211">
        <v>16.522577247916843</v>
      </c>
      <c r="AM97" s="211">
        <v>16.516765393023707</v>
      </c>
      <c r="AN97" s="211">
        <v>16.514488569542095</v>
      </c>
      <c r="AO97" s="211">
        <v>16.513059944447932</v>
      </c>
      <c r="AP97" s="211">
        <v>16.511672295197606</v>
      </c>
      <c r="AQ97" s="211">
        <v>16.511105880236922</v>
      </c>
      <c r="AR97" s="211">
        <v>16.511837633608891</v>
      </c>
      <c r="AS97" s="211">
        <v>16.511561316251864</v>
      </c>
      <c r="AT97" s="211">
        <v>16.510216487590558</v>
      </c>
      <c r="AU97" s="211">
        <v>16.510493905531142</v>
      </c>
      <c r="AV97" s="211">
        <v>16.510813070456901</v>
      </c>
      <c r="AW97" s="212">
        <v>16.510457170385511</v>
      </c>
      <c r="AX97" s="211">
        <v>17.350002263389513</v>
      </c>
      <c r="AY97" s="211">
        <v>17.343649727820324</v>
      </c>
      <c r="AZ97" s="211">
        <v>17.341103148122457</v>
      </c>
      <c r="BA97" s="211">
        <v>17.338301993002965</v>
      </c>
      <c r="BB97" s="211">
        <v>17.337856937920957</v>
      </c>
      <c r="BC97" s="211">
        <v>17.336836217040503</v>
      </c>
      <c r="BD97" s="211">
        <v>17.337425229948156</v>
      </c>
      <c r="BE97" s="211">
        <v>17.337573784179433</v>
      </c>
      <c r="BF97" s="211">
        <v>17.336142876758419</v>
      </c>
      <c r="BG97" s="211">
        <v>17.336320920193799</v>
      </c>
      <c r="BH97" s="211">
        <v>17.336767503042523</v>
      </c>
      <c r="BI97" s="212">
        <v>17.335607131174886</v>
      </c>
      <c r="BJ97" s="211">
        <v>18.391192517123386</v>
      </c>
      <c r="BK97" s="211">
        <v>18.384557715910162</v>
      </c>
      <c r="BL97" s="211">
        <v>18.381172339672958</v>
      </c>
      <c r="BM97" s="211">
        <v>18.379280447338566</v>
      </c>
      <c r="BN97" s="211">
        <v>18.378686487094232</v>
      </c>
      <c r="BO97" s="211">
        <v>18.377180590099467</v>
      </c>
      <c r="BP97" s="211">
        <v>18.378203153293075</v>
      </c>
      <c r="BQ97" s="211">
        <v>18.378119131329655</v>
      </c>
      <c r="BR97" s="211">
        <v>18.376623569832866</v>
      </c>
      <c r="BS97" s="211">
        <v>18.377387519726668</v>
      </c>
      <c r="BT97" s="211">
        <v>18.377992434522962</v>
      </c>
      <c r="BU97" s="212">
        <v>18.377160501284049</v>
      </c>
      <c r="BV97" s="211">
        <v>19.864281261027717</v>
      </c>
      <c r="BW97" s="211">
        <v>19.857112500583209</v>
      </c>
      <c r="BX97" s="211">
        <v>19.853475429990606</v>
      </c>
      <c r="BY97" s="211">
        <v>19.851418099146905</v>
      </c>
      <c r="BZ97" s="211">
        <v>19.850644114942579</v>
      </c>
      <c r="CA97" s="211">
        <v>19.849141759044731</v>
      </c>
      <c r="CB97" s="211">
        <v>19.850226429583032</v>
      </c>
      <c r="CC97" s="211">
        <v>19.849300883553063</v>
      </c>
      <c r="CD97" s="211">
        <v>19.84789522444899</v>
      </c>
      <c r="CE97" s="211">
        <v>19.848738368525655</v>
      </c>
      <c r="CF97" s="211">
        <v>19.848941286844681</v>
      </c>
      <c r="CG97" s="212">
        <v>19.848232520061938</v>
      </c>
      <c r="CH97" s="211">
        <v>21.652690778587548</v>
      </c>
      <c r="CI97" s="211">
        <v>21.644855658457509</v>
      </c>
      <c r="CJ97" s="211">
        <v>21.640883732416206</v>
      </c>
      <c r="CK97" s="211">
        <v>21.638649105186378</v>
      </c>
      <c r="CL97" s="211">
        <v>21.637813128186973</v>
      </c>
      <c r="CM97" s="211">
        <v>21.636166008912401</v>
      </c>
      <c r="CN97" s="211">
        <v>21.637338785103754</v>
      </c>
      <c r="CO97" s="211">
        <v>21.636317042607924</v>
      </c>
      <c r="CP97" s="211">
        <v>21.634762381109731</v>
      </c>
      <c r="CQ97" s="211">
        <v>21.634993038364531</v>
      </c>
      <c r="CR97" s="211">
        <v>21.635907120475682</v>
      </c>
      <c r="CS97" s="212">
        <v>21.635214709553757</v>
      </c>
    </row>
    <row r="98" spans="1:97" s="211" customFormat="1" x14ac:dyDescent="0.25">
      <c r="A98" s="211" t="s">
        <v>2</v>
      </c>
      <c r="B98" s="211">
        <v>14.244923076923076</v>
      </c>
      <c r="C98" s="211">
        <v>19.196199999999997</v>
      </c>
      <c r="D98" s="211">
        <v>25.099384615384615</v>
      </c>
      <c r="E98" s="211">
        <v>20.727619047619051</v>
      </c>
      <c r="F98" s="211">
        <v>11.367197674418604</v>
      </c>
      <c r="G98" s="211">
        <v>23.063701030927835</v>
      </c>
      <c r="H98" s="211">
        <v>19.34801886792453</v>
      </c>
      <c r="I98" s="211">
        <v>18.10702479338843</v>
      </c>
      <c r="J98" s="211">
        <v>36.527242857142859</v>
      </c>
      <c r="K98" s="211">
        <v>-8.5061955307262558</v>
      </c>
      <c r="L98" s="211">
        <v>17.967310000000001</v>
      </c>
      <c r="M98" s="212">
        <v>23.5915044404973</v>
      </c>
      <c r="N98" s="213">
        <v>15.620685393258427</v>
      </c>
      <c r="O98" s="213">
        <v>29.54078947368421</v>
      </c>
      <c r="P98" s="213">
        <v>17.873385869565219</v>
      </c>
      <c r="Q98" s="213">
        <v>14.394761061946902</v>
      </c>
      <c r="R98" s="213">
        <v>18.74334965034965</v>
      </c>
      <c r="S98" s="213">
        <v>15.425485239852398</v>
      </c>
      <c r="T98" s="213">
        <v>15.309630573248409</v>
      </c>
      <c r="U98" s="213">
        <v>19.093811827956991</v>
      </c>
      <c r="V98" s="211">
        <v>17.754301961921179</v>
      </c>
      <c r="W98" s="211">
        <v>17.754849756523125</v>
      </c>
      <c r="X98" s="211">
        <v>17.778904233006699</v>
      </c>
      <c r="Y98" s="212">
        <v>17.776459759986032</v>
      </c>
      <c r="Z98" s="211">
        <v>16.097037427310099</v>
      </c>
      <c r="AA98" s="211">
        <v>16.106291414773324</v>
      </c>
      <c r="AB98" s="211">
        <v>18.31043121440263</v>
      </c>
      <c r="AC98" s="211">
        <v>18.285569587131501</v>
      </c>
      <c r="AD98" s="211">
        <v>18.236744004887978</v>
      </c>
      <c r="AE98" s="211">
        <v>18.175575534617355</v>
      </c>
      <c r="AF98" s="211">
        <v>18.160918312546293</v>
      </c>
      <c r="AG98" s="211">
        <v>18.139294459891669</v>
      </c>
      <c r="AH98" s="211">
        <v>18.126660226550609</v>
      </c>
      <c r="AI98" s="211">
        <v>18.132743809596377</v>
      </c>
      <c r="AJ98" s="211">
        <v>18.144118618023729</v>
      </c>
      <c r="AK98" s="212">
        <v>18.142702907217334</v>
      </c>
      <c r="AL98" s="211">
        <v>18.815669121142275</v>
      </c>
      <c r="AM98" s="211">
        <v>18.834517786471842</v>
      </c>
      <c r="AN98" s="211">
        <v>18.835627521757118</v>
      </c>
      <c r="AO98" s="211">
        <v>18.834145796094262</v>
      </c>
      <c r="AP98" s="211">
        <v>18.828104010616542</v>
      </c>
      <c r="AQ98" s="211">
        <v>18.822653148904422</v>
      </c>
      <c r="AR98" s="211">
        <v>18.826988814381</v>
      </c>
      <c r="AS98" s="211">
        <v>18.826171983229386</v>
      </c>
      <c r="AT98" s="211">
        <v>18.821151349515549</v>
      </c>
      <c r="AU98" s="211">
        <v>18.823067718420027</v>
      </c>
      <c r="AV98" s="211">
        <v>18.823316503158384</v>
      </c>
      <c r="AW98" s="212">
        <v>18.81889829533484</v>
      </c>
      <c r="AX98" s="211">
        <v>19.777787468285666</v>
      </c>
      <c r="AY98" s="211">
        <v>19.794404472884672</v>
      </c>
      <c r="AZ98" s="211">
        <v>19.785013524751399</v>
      </c>
      <c r="BA98" s="211">
        <v>19.779808615831413</v>
      </c>
      <c r="BB98" s="211">
        <v>19.77387618307171</v>
      </c>
      <c r="BC98" s="211">
        <v>19.773168085866683</v>
      </c>
      <c r="BD98" s="211">
        <v>19.780827722499776</v>
      </c>
      <c r="BE98" s="211">
        <v>19.780534641021365</v>
      </c>
      <c r="BF98" s="211">
        <v>19.776108440411736</v>
      </c>
      <c r="BG98" s="211">
        <v>19.781244766641141</v>
      </c>
      <c r="BH98" s="211">
        <v>19.780593200111362</v>
      </c>
      <c r="BI98" s="212">
        <v>19.775846065911555</v>
      </c>
      <c r="BJ98" s="211">
        <v>20.980885812068301</v>
      </c>
      <c r="BK98" s="211">
        <v>20.99571325938167</v>
      </c>
      <c r="BL98" s="211">
        <v>20.982593647770784</v>
      </c>
      <c r="BM98" s="211">
        <v>20.971410683038179</v>
      </c>
      <c r="BN98" s="211">
        <v>20.959656877294631</v>
      </c>
      <c r="BO98" s="211">
        <v>20.953957753026945</v>
      </c>
      <c r="BP98" s="211">
        <v>20.955252898210361</v>
      </c>
      <c r="BQ98" s="211">
        <v>20.955364692437765</v>
      </c>
      <c r="BR98" s="211">
        <v>20.952281181368857</v>
      </c>
      <c r="BS98" s="211">
        <v>20.954226273044384</v>
      </c>
      <c r="BT98" s="211">
        <v>20.954805356711713</v>
      </c>
      <c r="BU98" s="212">
        <v>20.950245679460501</v>
      </c>
      <c r="BV98" s="211">
        <v>22.64705484442926</v>
      </c>
      <c r="BW98" s="211">
        <v>22.665506019845903</v>
      </c>
      <c r="BX98" s="211">
        <v>22.653822634814382</v>
      </c>
      <c r="BY98" s="211">
        <v>22.644754291400726</v>
      </c>
      <c r="BZ98" s="211">
        <v>22.636613613795415</v>
      </c>
      <c r="CA98" s="211">
        <v>22.631801086139763</v>
      </c>
      <c r="CB98" s="211">
        <v>22.634523086303634</v>
      </c>
      <c r="CC98" s="211">
        <v>22.632648447422</v>
      </c>
      <c r="CD98" s="211">
        <v>22.628442168667615</v>
      </c>
      <c r="CE98" s="211">
        <v>22.630286708020073</v>
      </c>
      <c r="CF98" s="211">
        <v>22.629720439858122</v>
      </c>
      <c r="CG98" s="212">
        <v>22.623811716078212</v>
      </c>
      <c r="CH98" s="211">
        <v>24.681800754194306</v>
      </c>
      <c r="CI98" s="211">
        <v>24.701444925292762</v>
      </c>
      <c r="CJ98" s="211">
        <v>24.688634038138915</v>
      </c>
      <c r="CK98" s="211">
        <v>24.679653989749735</v>
      </c>
      <c r="CL98" s="211">
        <v>24.67087485054337</v>
      </c>
      <c r="CM98" s="211">
        <v>24.665766633559002</v>
      </c>
      <c r="CN98" s="211">
        <v>24.669812508010114</v>
      </c>
      <c r="CO98" s="211">
        <v>24.667828586910652</v>
      </c>
      <c r="CP98" s="211">
        <v>24.663314537537463</v>
      </c>
      <c r="CQ98" s="211">
        <v>24.663386620271943</v>
      </c>
      <c r="CR98" s="211">
        <v>24.66483257671776</v>
      </c>
      <c r="CS98" s="212">
        <v>24.658477973760114</v>
      </c>
    </row>
    <row r="99" spans="1:97" s="258" customFormat="1" x14ac:dyDescent="0.25">
      <c r="A99" s="258" t="s">
        <v>3</v>
      </c>
      <c r="B99" s="258">
        <v>15.032668109668109</v>
      </c>
      <c r="C99" s="258">
        <v>15.311348561759726</v>
      </c>
      <c r="D99" s="258">
        <v>19.795642708333332</v>
      </c>
      <c r="E99" s="258">
        <v>21.077335101679925</v>
      </c>
      <c r="F99" s="258">
        <v>16.2467263986014</v>
      </c>
      <c r="G99" s="258">
        <v>20.107368924889538</v>
      </c>
      <c r="H99" s="258">
        <v>19.931313310580201</v>
      </c>
      <c r="I99" s="258">
        <v>15.959536562203228</v>
      </c>
      <c r="J99" s="258">
        <v>19.409354468297551</v>
      </c>
      <c r="K99" s="258">
        <v>16.709336794289417</v>
      </c>
      <c r="L99" s="258">
        <v>16.513942426584251</v>
      </c>
      <c r="M99" s="259">
        <v>19.870605720122569</v>
      </c>
      <c r="N99" s="260">
        <v>16.047856249999999</v>
      </c>
      <c r="O99" s="260">
        <v>17.109705590062077</v>
      </c>
      <c r="P99" s="260">
        <v>17.897929842931934</v>
      </c>
      <c r="Q99" s="260">
        <v>20.842603378378385</v>
      </c>
      <c r="R99" s="260">
        <v>17.541184423676011</v>
      </c>
      <c r="S99" s="260">
        <v>15.312570806100243</v>
      </c>
      <c r="T99" s="260">
        <v>16.966228377614478</v>
      </c>
      <c r="U99" s="260">
        <v>16.020025647472984</v>
      </c>
      <c r="V99" s="258">
        <v>16.948043921416051</v>
      </c>
      <c r="W99" s="258">
        <v>16.897775013619928</v>
      </c>
      <c r="X99" s="258">
        <v>17.120619588742265</v>
      </c>
      <c r="Y99" s="259">
        <v>16.941420754104872</v>
      </c>
      <c r="Z99" s="258">
        <v>15.199335108774019</v>
      </c>
      <c r="AA99" s="258">
        <v>15.476289027211017</v>
      </c>
      <c r="AB99" s="258">
        <v>16.313350967586789</v>
      </c>
      <c r="AC99" s="258">
        <v>16.19390962652837</v>
      </c>
      <c r="AD99" s="258">
        <v>16.328100376653708</v>
      </c>
      <c r="AE99" s="258">
        <v>16.114414828249785</v>
      </c>
      <c r="AF99" s="258">
        <v>16.095081640269612</v>
      </c>
      <c r="AG99" s="258">
        <v>16.070777184894332</v>
      </c>
      <c r="AH99" s="258">
        <v>15.953615369207728</v>
      </c>
      <c r="AI99" s="258">
        <v>16.032963006433</v>
      </c>
      <c r="AJ99" s="258">
        <v>16.089004853403338</v>
      </c>
      <c r="AK99" s="259">
        <v>15.984195138035355</v>
      </c>
      <c r="AL99" s="258">
        <v>16.967425855815126</v>
      </c>
      <c r="AM99" s="258">
        <v>17.291727596242325</v>
      </c>
      <c r="AN99" s="258">
        <v>16.845463532862691</v>
      </c>
      <c r="AO99" s="258">
        <v>16.631898843533289</v>
      </c>
      <c r="AP99" s="258">
        <v>16.725604269828892</v>
      </c>
      <c r="AQ99" s="258">
        <v>16.601186445848253</v>
      </c>
      <c r="AR99" s="258">
        <v>16.559040241693904</v>
      </c>
      <c r="AS99" s="258">
        <v>16.533135813475212</v>
      </c>
      <c r="AT99" s="258">
        <v>16.462340833431231</v>
      </c>
      <c r="AU99" s="258">
        <v>16.496645766654265</v>
      </c>
      <c r="AV99" s="258">
        <v>16.53312703482883</v>
      </c>
      <c r="AW99" s="259">
        <v>16.41681669002093</v>
      </c>
      <c r="AX99" s="258">
        <v>18.050702450121442</v>
      </c>
      <c r="AY99" s="258">
        <v>18.394112717350023</v>
      </c>
      <c r="AZ99" s="258">
        <v>17.787791706137508</v>
      </c>
      <c r="BA99" s="258">
        <v>17.465714546970723</v>
      </c>
      <c r="BB99" s="258">
        <v>17.557107498523596</v>
      </c>
      <c r="BC99" s="258">
        <v>17.432483590170357</v>
      </c>
      <c r="BD99" s="258">
        <v>17.350632730187648</v>
      </c>
      <c r="BE99" s="258">
        <v>17.311234685909529</v>
      </c>
      <c r="BF99" s="258">
        <v>17.263278582389567</v>
      </c>
      <c r="BG99" s="258">
        <v>17.271022707686768</v>
      </c>
      <c r="BH99" s="258">
        <v>17.290875933577336</v>
      </c>
      <c r="BI99" s="259">
        <v>17.190307468358551</v>
      </c>
      <c r="BJ99" s="258">
        <v>19.045343405695906</v>
      </c>
      <c r="BK99" s="258">
        <v>19.403891764112331</v>
      </c>
      <c r="BL99" s="258">
        <v>18.809500664270935</v>
      </c>
      <c r="BM99" s="258">
        <v>18.554887864715923</v>
      </c>
      <c r="BN99" s="258">
        <v>18.668062334238318</v>
      </c>
      <c r="BO99" s="258">
        <v>18.563656074638924</v>
      </c>
      <c r="BP99" s="258">
        <v>18.499489100661947</v>
      </c>
      <c r="BQ99" s="258">
        <v>18.468463258565379</v>
      </c>
      <c r="BR99" s="258">
        <v>18.454173784472562</v>
      </c>
      <c r="BS99" s="258">
        <v>18.475138767596505</v>
      </c>
      <c r="BT99" s="258">
        <v>18.49857652760997</v>
      </c>
      <c r="BU99" s="259">
        <v>18.410779975873982</v>
      </c>
      <c r="BV99" s="258">
        <v>20.70315095903991</v>
      </c>
      <c r="BW99" s="258">
        <v>21.066227167588789</v>
      </c>
      <c r="BX99" s="258">
        <v>20.395873392737034</v>
      </c>
      <c r="BY99" s="258">
        <v>20.113979728305338</v>
      </c>
      <c r="BZ99" s="258">
        <v>20.269976204138018</v>
      </c>
      <c r="CA99" s="258">
        <v>20.140884153079568</v>
      </c>
      <c r="CB99" s="258">
        <v>20.058293475101728</v>
      </c>
      <c r="CC99" s="258">
        <v>19.99392668893687</v>
      </c>
      <c r="CD99" s="258">
        <v>19.967692149628075</v>
      </c>
      <c r="CE99" s="258">
        <v>19.975963546603488</v>
      </c>
      <c r="CF99" s="258">
        <v>19.979126661910556</v>
      </c>
      <c r="CG99" s="259">
        <v>19.89612869454794</v>
      </c>
      <c r="CH99" s="258">
        <v>22.524109140159407</v>
      </c>
      <c r="CI99" s="258">
        <v>22.924601672370041</v>
      </c>
      <c r="CJ99" s="258">
        <v>22.186583558955665</v>
      </c>
      <c r="CK99" s="258">
        <v>21.886198641636071</v>
      </c>
      <c r="CL99" s="258">
        <v>22.058214486859086</v>
      </c>
      <c r="CM99" s="258">
        <v>21.923378080287485</v>
      </c>
      <c r="CN99" s="258">
        <v>21.839834947458236</v>
      </c>
      <c r="CO99" s="258">
        <v>21.772096460189655</v>
      </c>
      <c r="CP99" s="258">
        <v>21.746645690001447</v>
      </c>
      <c r="CQ99" s="258">
        <v>21.73908582046765</v>
      </c>
      <c r="CR99" s="258">
        <v>21.766356600742725</v>
      </c>
      <c r="CS99" s="259">
        <v>21.679761807424121</v>
      </c>
    </row>
    <row r="101" spans="1:97" s="194" customFormat="1" x14ac:dyDescent="0.25">
      <c r="A101" s="72"/>
      <c r="B101" s="72">
        <v>1</v>
      </c>
      <c r="C101" s="190">
        <v>2</v>
      </c>
      <c r="D101" s="190">
        <v>3</v>
      </c>
      <c r="E101" s="190">
        <v>4</v>
      </c>
      <c r="F101" s="190">
        <v>5</v>
      </c>
      <c r="G101" s="190">
        <v>6</v>
      </c>
      <c r="H101" s="190">
        <v>7</v>
      </c>
      <c r="I101" s="190">
        <v>8</v>
      </c>
      <c r="J101" s="190">
        <v>9</v>
      </c>
      <c r="K101" s="190">
        <v>10</v>
      </c>
      <c r="L101" s="190">
        <v>11</v>
      </c>
      <c r="M101" s="191">
        <v>12</v>
      </c>
      <c r="N101" s="193">
        <v>13</v>
      </c>
      <c r="O101" s="193">
        <v>14</v>
      </c>
      <c r="P101" s="193">
        <v>15</v>
      </c>
      <c r="Q101" s="193">
        <v>16</v>
      </c>
      <c r="R101" s="193">
        <v>17</v>
      </c>
      <c r="S101" s="193">
        <v>18</v>
      </c>
      <c r="T101" s="193">
        <v>19</v>
      </c>
      <c r="U101" s="193">
        <v>20</v>
      </c>
      <c r="V101" s="190">
        <v>21</v>
      </c>
      <c r="W101" s="190">
        <v>22</v>
      </c>
      <c r="X101" s="190">
        <v>23</v>
      </c>
      <c r="Y101" s="191">
        <v>24</v>
      </c>
      <c r="Z101" s="190">
        <v>25</v>
      </c>
      <c r="AA101" s="190">
        <v>26</v>
      </c>
      <c r="AB101" s="190">
        <v>27</v>
      </c>
      <c r="AC101" s="190">
        <v>28</v>
      </c>
      <c r="AD101" s="190">
        <v>29</v>
      </c>
      <c r="AE101" s="190">
        <v>30</v>
      </c>
      <c r="AF101" s="190">
        <v>31</v>
      </c>
      <c r="AG101" s="190">
        <v>32</v>
      </c>
      <c r="AH101" s="190">
        <v>33</v>
      </c>
      <c r="AI101" s="190">
        <v>34</v>
      </c>
      <c r="AJ101" s="190">
        <v>35</v>
      </c>
      <c r="AK101" s="191">
        <v>36</v>
      </c>
      <c r="AL101" s="190">
        <v>37</v>
      </c>
      <c r="AM101" s="190">
        <v>38</v>
      </c>
      <c r="AN101" s="190">
        <v>39</v>
      </c>
      <c r="AO101" s="190">
        <v>40</v>
      </c>
      <c r="AP101" s="190">
        <v>41</v>
      </c>
      <c r="AQ101" s="190">
        <v>42</v>
      </c>
      <c r="AR101" s="190">
        <v>43</v>
      </c>
      <c r="AS101" s="190">
        <v>44</v>
      </c>
      <c r="AT101" s="190">
        <v>45</v>
      </c>
      <c r="AU101" s="190">
        <v>46</v>
      </c>
      <c r="AV101" s="190">
        <v>47</v>
      </c>
      <c r="AW101" s="191">
        <v>48</v>
      </c>
      <c r="AX101" s="190">
        <v>49</v>
      </c>
      <c r="AY101" s="190">
        <v>50</v>
      </c>
      <c r="AZ101" s="190">
        <v>51</v>
      </c>
      <c r="BA101" s="190">
        <v>52</v>
      </c>
      <c r="BB101" s="190">
        <v>53</v>
      </c>
      <c r="BC101" s="190">
        <v>54</v>
      </c>
      <c r="BD101" s="190">
        <v>55</v>
      </c>
      <c r="BE101" s="190">
        <v>56</v>
      </c>
      <c r="BF101" s="190">
        <v>57</v>
      </c>
      <c r="BG101" s="190">
        <v>58</v>
      </c>
      <c r="BH101" s="190">
        <v>59</v>
      </c>
      <c r="BI101" s="191">
        <v>60</v>
      </c>
      <c r="BJ101" s="190">
        <v>61</v>
      </c>
      <c r="BK101" s="190">
        <v>62</v>
      </c>
      <c r="BL101" s="190">
        <v>63</v>
      </c>
      <c r="BM101" s="190">
        <v>64</v>
      </c>
      <c r="BN101" s="190">
        <v>65</v>
      </c>
      <c r="BO101" s="190">
        <v>66</v>
      </c>
      <c r="BP101" s="190">
        <v>67</v>
      </c>
      <c r="BQ101" s="190">
        <v>68</v>
      </c>
      <c r="BR101" s="190">
        <v>69</v>
      </c>
      <c r="BS101" s="190">
        <v>70</v>
      </c>
      <c r="BT101" s="190">
        <v>71</v>
      </c>
      <c r="BU101" s="191">
        <v>72</v>
      </c>
      <c r="BV101" s="190">
        <v>73</v>
      </c>
      <c r="BW101" s="190">
        <v>74</v>
      </c>
      <c r="BX101" s="190">
        <v>75</v>
      </c>
      <c r="BY101" s="190">
        <v>76</v>
      </c>
      <c r="BZ101" s="190">
        <v>77</v>
      </c>
      <c r="CA101" s="190">
        <v>78</v>
      </c>
      <c r="CB101" s="190">
        <v>79</v>
      </c>
      <c r="CC101" s="190">
        <v>80</v>
      </c>
      <c r="CD101" s="190">
        <v>81</v>
      </c>
      <c r="CE101" s="190">
        <v>82</v>
      </c>
      <c r="CF101" s="190">
        <v>83</v>
      </c>
      <c r="CG101" s="191">
        <v>84</v>
      </c>
      <c r="CH101" s="190">
        <v>85</v>
      </c>
      <c r="CI101" s="190">
        <v>86</v>
      </c>
      <c r="CJ101" s="190">
        <v>87</v>
      </c>
      <c r="CK101" s="190">
        <v>88</v>
      </c>
      <c r="CL101" s="190">
        <v>89</v>
      </c>
      <c r="CM101" s="190">
        <v>90</v>
      </c>
      <c r="CN101" s="190">
        <v>91</v>
      </c>
      <c r="CO101" s="190">
        <v>92</v>
      </c>
      <c r="CP101" s="190">
        <v>93</v>
      </c>
      <c r="CQ101" s="190">
        <v>94</v>
      </c>
      <c r="CR101" s="190">
        <v>95</v>
      </c>
      <c r="CS101" s="191">
        <v>96</v>
      </c>
    </row>
    <row r="102" spans="1:97" s="261" customFormat="1" x14ac:dyDescent="0.25">
      <c r="A102" s="227" t="s">
        <v>206</v>
      </c>
      <c r="B102" s="228">
        <v>42005</v>
      </c>
      <c r="C102" s="228">
        <v>42036</v>
      </c>
      <c r="D102" s="228">
        <v>42064</v>
      </c>
      <c r="E102" s="228">
        <v>42095</v>
      </c>
      <c r="F102" s="228">
        <v>42125</v>
      </c>
      <c r="G102" s="228">
        <v>42156</v>
      </c>
      <c r="H102" s="228">
        <v>42186</v>
      </c>
      <c r="I102" s="228">
        <v>42217</v>
      </c>
      <c r="J102" s="228">
        <v>42248</v>
      </c>
      <c r="K102" s="228">
        <v>42278</v>
      </c>
      <c r="L102" s="228">
        <v>42309</v>
      </c>
      <c r="M102" s="229">
        <v>42339</v>
      </c>
      <c r="N102" s="230">
        <v>42370</v>
      </c>
      <c r="O102" s="230">
        <v>42401</v>
      </c>
      <c r="P102" s="230">
        <v>42430</v>
      </c>
      <c r="Q102" s="230">
        <v>42461</v>
      </c>
      <c r="R102" s="230">
        <v>42491</v>
      </c>
      <c r="S102" s="230">
        <v>42522</v>
      </c>
      <c r="T102" s="230">
        <v>42552</v>
      </c>
      <c r="U102" s="230">
        <v>42583</v>
      </c>
      <c r="V102" s="228">
        <v>42614</v>
      </c>
      <c r="W102" s="228">
        <v>42644</v>
      </c>
      <c r="X102" s="228">
        <v>42675</v>
      </c>
      <c r="Y102" s="229">
        <v>42705</v>
      </c>
      <c r="Z102" s="228">
        <v>42752</v>
      </c>
      <c r="AA102" s="228">
        <v>42783</v>
      </c>
      <c r="AB102" s="228">
        <v>42811</v>
      </c>
      <c r="AC102" s="228">
        <v>42842</v>
      </c>
      <c r="AD102" s="228">
        <v>42872</v>
      </c>
      <c r="AE102" s="228">
        <v>42903</v>
      </c>
      <c r="AF102" s="228">
        <v>42933</v>
      </c>
      <c r="AG102" s="228">
        <v>42964</v>
      </c>
      <c r="AH102" s="228">
        <v>42995</v>
      </c>
      <c r="AI102" s="228">
        <v>43025</v>
      </c>
      <c r="AJ102" s="228">
        <v>43056</v>
      </c>
      <c r="AK102" s="229">
        <v>43086</v>
      </c>
      <c r="AL102" s="228">
        <v>43118</v>
      </c>
      <c r="AM102" s="228">
        <v>43149</v>
      </c>
      <c r="AN102" s="228">
        <v>43177</v>
      </c>
      <c r="AO102" s="228">
        <v>43208</v>
      </c>
      <c r="AP102" s="228">
        <v>43238</v>
      </c>
      <c r="AQ102" s="228">
        <v>43269</v>
      </c>
      <c r="AR102" s="228">
        <v>43299</v>
      </c>
      <c r="AS102" s="228">
        <v>43330</v>
      </c>
      <c r="AT102" s="228">
        <v>43361</v>
      </c>
      <c r="AU102" s="228">
        <v>43391</v>
      </c>
      <c r="AV102" s="228">
        <v>43422</v>
      </c>
      <c r="AW102" s="229">
        <v>43452</v>
      </c>
      <c r="AX102" s="228">
        <v>43483</v>
      </c>
      <c r="AY102" s="228">
        <v>43514</v>
      </c>
      <c r="AZ102" s="228">
        <v>43542</v>
      </c>
      <c r="BA102" s="228">
        <v>43573</v>
      </c>
      <c r="BB102" s="228">
        <v>43603</v>
      </c>
      <c r="BC102" s="228">
        <v>43634</v>
      </c>
      <c r="BD102" s="228">
        <v>43664</v>
      </c>
      <c r="BE102" s="228">
        <v>43695</v>
      </c>
      <c r="BF102" s="228">
        <v>43726</v>
      </c>
      <c r="BG102" s="228">
        <v>43756</v>
      </c>
      <c r="BH102" s="228">
        <v>43787</v>
      </c>
      <c r="BI102" s="229">
        <v>43817</v>
      </c>
      <c r="BJ102" s="228">
        <v>43848</v>
      </c>
      <c r="BK102" s="228">
        <v>43879</v>
      </c>
      <c r="BL102" s="228">
        <v>43908</v>
      </c>
      <c r="BM102" s="228">
        <v>43939</v>
      </c>
      <c r="BN102" s="228">
        <v>43969</v>
      </c>
      <c r="BO102" s="228">
        <v>44000</v>
      </c>
      <c r="BP102" s="228">
        <v>44030</v>
      </c>
      <c r="BQ102" s="228">
        <v>44061</v>
      </c>
      <c r="BR102" s="228">
        <v>44092</v>
      </c>
      <c r="BS102" s="228">
        <v>44122</v>
      </c>
      <c r="BT102" s="228">
        <v>44153</v>
      </c>
      <c r="BU102" s="229">
        <v>44183</v>
      </c>
      <c r="BV102" s="228">
        <v>44214</v>
      </c>
      <c r="BW102" s="228">
        <v>44245</v>
      </c>
      <c r="BX102" s="228">
        <v>44273</v>
      </c>
      <c r="BY102" s="228">
        <v>44304</v>
      </c>
      <c r="BZ102" s="228">
        <v>44334</v>
      </c>
      <c r="CA102" s="228">
        <v>44365</v>
      </c>
      <c r="CB102" s="228">
        <v>44395</v>
      </c>
      <c r="CC102" s="228">
        <v>44426</v>
      </c>
      <c r="CD102" s="228">
        <v>44457</v>
      </c>
      <c r="CE102" s="228">
        <v>44487</v>
      </c>
      <c r="CF102" s="228">
        <v>44518</v>
      </c>
      <c r="CG102" s="229">
        <v>44548</v>
      </c>
      <c r="CH102" s="228">
        <v>44579</v>
      </c>
      <c r="CI102" s="228">
        <v>44610</v>
      </c>
      <c r="CJ102" s="228">
        <v>44638</v>
      </c>
      <c r="CK102" s="228">
        <v>44669</v>
      </c>
      <c r="CL102" s="228">
        <v>44699</v>
      </c>
      <c r="CM102" s="228">
        <v>44730</v>
      </c>
      <c r="CN102" s="228">
        <v>44760</v>
      </c>
      <c r="CO102" s="228">
        <v>44791</v>
      </c>
      <c r="CP102" s="228">
        <v>44822</v>
      </c>
      <c r="CQ102" s="228">
        <v>44852</v>
      </c>
      <c r="CR102" s="228">
        <v>44883</v>
      </c>
      <c r="CS102" s="229">
        <v>44913</v>
      </c>
    </row>
    <row r="103" spans="1:97" s="211" customFormat="1" x14ac:dyDescent="0.25">
      <c r="A103" s="211" t="s">
        <v>4</v>
      </c>
      <c r="B103" s="211">
        <v>54.017394736842107</v>
      </c>
      <c r="C103" s="211">
        <v>43.461533333333335</v>
      </c>
      <c r="D103" s="211">
        <v>127.18039024390244</v>
      </c>
      <c r="E103" s="211">
        <v>106.42266981132076</v>
      </c>
      <c r="F103" s="211">
        <v>54.801550847457634</v>
      </c>
      <c r="G103" s="211">
        <v>87.936388888888899</v>
      </c>
      <c r="H103" s="211">
        <v>145.12564423076921</v>
      </c>
      <c r="I103" s="211">
        <v>51.170319148936173</v>
      </c>
      <c r="J103" s="211">
        <v>104.26973076923076</v>
      </c>
      <c r="K103" s="211">
        <v>78.115229508196549</v>
      </c>
      <c r="L103" s="211">
        <v>89.621194444444441</v>
      </c>
      <c r="M103" s="212">
        <v>162.51691228070158</v>
      </c>
      <c r="N103" s="213">
        <v>49.990866666666662</v>
      </c>
      <c r="O103" s="213">
        <v>52.07670731707244</v>
      </c>
      <c r="P103" s="213">
        <v>67.934153846153691</v>
      </c>
      <c r="Q103" s="213">
        <v>130.46756862745099</v>
      </c>
      <c r="R103" s="213">
        <v>71.221080000000001</v>
      </c>
      <c r="S103" s="213">
        <v>58.206382812500003</v>
      </c>
      <c r="T103" s="213">
        <v>74.747</v>
      </c>
      <c r="U103" s="213">
        <v>57.119563829787232</v>
      </c>
      <c r="V103" s="211">
        <v>102.86227544910182</v>
      </c>
      <c r="W103" s="211">
        <v>91.801699716713884</v>
      </c>
      <c r="X103" s="211">
        <v>98.318181818181813</v>
      </c>
      <c r="Y103" s="212">
        <v>108.821403824996</v>
      </c>
      <c r="Z103" s="211">
        <v>44.533005527292147</v>
      </c>
      <c r="AA103" s="211">
        <v>45.442186847902093</v>
      </c>
      <c r="AB103" s="211">
        <v>76.11700953317046</v>
      </c>
      <c r="AC103" s="211">
        <v>77.275424234961463</v>
      </c>
      <c r="AD103" s="211">
        <v>97.461671128084916</v>
      </c>
      <c r="AE103" s="211">
        <v>98.469303151763398</v>
      </c>
      <c r="AF103" s="211">
        <v>92.487824369312818</v>
      </c>
      <c r="AG103" s="211">
        <v>98.469303151763398</v>
      </c>
      <c r="AH103" s="211">
        <v>100.48456719912033</v>
      </c>
      <c r="AI103" s="211">
        <v>94.301562011934067</v>
      </c>
      <c r="AJ103" s="211">
        <v>99.476935175441881</v>
      </c>
      <c r="AK103" s="212">
        <v>100.48456719912035</v>
      </c>
      <c r="AL103" s="211">
        <v>48.751459982244654</v>
      </c>
      <c r="AM103" s="211">
        <v>49.407831704830549</v>
      </c>
      <c r="AN103" s="211">
        <v>80.34743912155929</v>
      </c>
      <c r="AO103" s="211">
        <v>82.613300133962937</v>
      </c>
      <c r="AP103" s="211">
        <v>102.90677435840611</v>
      </c>
      <c r="AQ103" s="211">
        <v>104.08532636007497</v>
      </c>
      <c r="AR103" s="211">
        <v>99.377992127155778</v>
      </c>
      <c r="AS103" s="211">
        <v>106.71819859634604</v>
      </c>
      <c r="AT103" s="211">
        <v>109.32998466878655</v>
      </c>
      <c r="AU103" s="211">
        <v>102.80863805111788</v>
      </c>
      <c r="AV103" s="211">
        <v>108.50164003333892</v>
      </c>
      <c r="AW103" s="212">
        <v>108.17600249404796</v>
      </c>
      <c r="AX103" s="211">
        <v>54.84530458163411</v>
      </c>
      <c r="AY103" s="211">
        <v>55.635645013781563</v>
      </c>
      <c r="AZ103" s="211">
        <v>89.408057006524317</v>
      </c>
      <c r="BA103" s="211">
        <v>92.368560496945648</v>
      </c>
      <c r="BB103" s="211">
        <v>114.09866099356269</v>
      </c>
      <c r="BC103" s="211">
        <v>115.63369927490596</v>
      </c>
      <c r="BD103" s="211">
        <v>110.25275875342759</v>
      </c>
      <c r="BE103" s="211">
        <v>118.51882567251477</v>
      </c>
      <c r="BF103" s="211">
        <v>121.69844669125024</v>
      </c>
      <c r="BG103" s="211">
        <v>114.3317163874634</v>
      </c>
      <c r="BH103" s="211">
        <v>120.6924099500188</v>
      </c>
      <c r="BI103" s="212">
        <v>122.18541384429952</v>
      </c>
      <c r="BJ103" s="211">
        <v>59.839723135046079</v>
      </c>
      <c r="BK103" s="211">
        <v>60.761887155281464</v>
      </c>
      <c r="BL103" s="211">
        <v>96.680814814817268</v>
      </c>
      <c r="BM103" s="211">
        <v>100.35521045999353</v>
      </c>
      <c r="BN103" s="211">
        <v>123.55985092430507</v>
      </c>
      <c r="BO103" s="211">
        <v>125.28411378603458</v>
      </c>
      <c r="BP103" s="211">
        <v>119.38140218164872</v>
      </c>
      <c r="BQ103" s="211">
        <v>128.38550118327399</v>
      </c>
      <c r="BR103" s="211">
        <v>132.1249121854373</v>
      </c>
      <c r="BS103" s="211">
        <v>124.09444859599083</v>
      </c>
      <c r="BT103" s="211">
        <v>131.00658880734042</v>
      </c>
      <c r="BU103" s="212">
        <v>132.65927504613188</v>
      </c>
      <c r="BV103" s="211">
        <v>67.086847505515237</v>
      </c>
      <c r="BW103" s="211">
        <v>68.16642018940648</v>
      </c>
      <c r="BX103" s="211">
        <v>107.73204865286438</v>
      </c>
      <c r="BY103" s="211">
        <v>112.15199980046586</v>
      </c>
      <c r="BZ103" s="211">
        <v>138.29884565868602</v>
      </c>
      <c r="CA103" s="211">
        <v>140.22683984243341</v>
      </c>
      <c r="CB103" s="211">
        <v>133.61900317634917</v>
      </c>
      <c r="CC103" s="211">
        <v>143.44140102127002</v>
      </c>
      <c r="CD103" s="211">
        <v>147.67944269239507</v>
      </c>
      <c r="CE103" s="211">
        <v>138.68067400369151</v>
      </c>
      <c r="CF103" s="211">
        <v>146.30435186365094</v>
      </c>
      <c r="CG103" s="212">
        <v>147.72009962881498</v>
      </c>
      <c r="CH103" s="211">
        <v>76.250449629035742</v>
      </c>
      <c r="CI103" s="211">
        <v>77.503521502151585</v>
      </c>
      <c r="CJ103" s="211">
        <v>122.11209381285575</v>
      </c>
      <c r="CK103" s="211">
        <v>127.30111106887233</v>
      </c>
      <c r="CL103" s="211">
        <v>156.76690946896528</v>
      </c>
      <c r="CM103" s="211">
        <v>158.98957596548786</v>
      </c>
      <c r="CN103" s="211">
        <v>151.44960231603591</v>
      </c>
      <c r="CO103" s="211">
        <v>162.5924999898526</v>
      </c>
      <c r="CP103" s="211">
        <v>167.48959683119622</v>
      </c>
      <c r="CQ103" s="211">
        <v>156.9929608093407</v>
      </c>
      <c r="CR103" s="211">
        <v>165.89178030358565</v>
      </c>
      <c r="CS103" s="212">
        <v>167.47925668598458</v>
      </c>
    </row>
    <row r="104" spans="1:97" s="211" customFormat="1" x14ac:dyDescent="0.25">
      <c r="A104" s="211" t="s">
        <v>5</v>
      </c>
      <c r="B104" s="211">
        <v>18.155819672131148</v>
      </c>
      <c r="C104" s="211">
        <v>15.772930555555556</v>
      </c>
      <c r="D104" s="211">
        <v>20.703846428571428</v>
      </c>
      <c r="E104" s="211">
        <v>29.755765060240964</v>
      </c>
      <c r="F104" s="211">
        <v>20.337122641509435</v>
      </c>
      <c r="G104" s="211">
        <v>19.268004878048778</v>
      </c>
      <c r="H104" s="211">
        <v>18.808219008264462</v>
      </c>
      <c r="I104" s="211">
        <v>16.963422857142859</v>
      </c>
      <c r="J104" s="211">
        <v>23.866791821561335</v>
      </c>
      <c r="K104" s="211">
        <v>19.062663366336636</v>
      </c>
      <c r="L104" s="211">
        <v>23.947438829787313</v>
      </c>
      <c r="M104" s="212">
        <v>32.393427536231883</v>
      </c>
      <c r="N104" s="213">
        <v>23.190661016949154</v>
      </c>
      <c r="O104" s="213">
        <v>17.472952380952382</v>
      </c>
      <c r="P104" s="213">
        <v>30.34328571428572</v>
      </c>
      <c r="Q104" s="213">
        <v>30.527061475409877</v>
      </c>
      <c r="R104" s="213">
        <v>20.451511705685618</v>
      </c>
      <c r="S104" s="213">
        <v>21.992689236111232</v>
      </c>
      <c r="T104" s="213">
        <v>18.333493036211728</v>
      </c>
      <c r="U104" s="213">
        <v>19.515100244498825</v>
      </c>
      <c r="V104" s="211">
        <v>26.898796703117789</v>
      </c>
      <c r="W104" s="211">
        <v>24.412235905740122</v>
      </c>
      <c r="X104" s="211">
        <v>25.153685644745842</v>
      </c>
      <c r="Y104" s="212">
        <v>26.117915892807261</v>
      </c>
      <c r="Z104" s="211">
        <v>18.908857799968512</v>
      </c>
      <c r="AA104" s="211">
        <v>17.407435101720104</v>
      </c>
      <c r="AB104" s="211">
        <v>19.061150185139404</v>
      </c>
      <c r="AC104" s="211">
        <v>19.186954346008221</v>
      </c>
      <c r="AD104" s="211">
        <v>21.528583516596083</v>
      </c>
      <c r="AE104" s="211">
        <v>22.007394920263451</v>
      </c>
      <c r="AF104" s="211">
        <v>20.419924252574511</v>
      </c>
      <c r="AG104" s="211">
        <v>21.514699476557091</v>
      </c>
      <c r="AH104" s="211">
        <v>22.428631912712113</v>
      </c>
      <c r="AI104" s="211">
        <v>20.687397500557061</v>
      </c>
      <c r="AJ104" s="211">
        <v>21.498114110718838</v>
      </c>
      <c r="AK104" s="212">
        <v>22.399898127636266</v>
      </c>
      <c r="AL104" s="211">
        <v>19.856149662793989</v>
      </c>
      <c r="AM104" s="211">
        <v>18.100820958689226</v>
      </c>
      <c r="AN104" s="211">
        <v>19.4454177205766</v>
      </c>
      <c r="AO104" s="211">
        <v>19.90039582614401</v>
      </c>
      <c r="AP104" s="211">
        <v>22.212539439278288</v>
      </c>
      <c r="AQ104" s="211">
        <v>22.939382797949428</v>
      </c>
      <c r="AR104" s="211">
        <v>21.718622750876463</v>
      </c>
      <c r="AS104" s="211">
        <v>22.766212009263462</v>
      </c>
      <c r="AT104" s="211">
        <v>23.753496003712119</v>
      </c>
      <c r="AU104" s="211">
        <v>22.256628496305005</v>
      </c>
      <c r="AV104" s="211">
        <v>23.001890650299192</v>
      </c>
      <c r="AW104" s="212">
        <v>23.873308955167644</v>
      </c>
      <c r="AX104" s="211">
        <v>21.837655972679062</v>
      </c>
      <c r="AY104" s="211">
        <v>19.819461293505782</v>
      </c>
      <c r="AZ104" s="211">
        <v>21.417345941172986</v>
      </c>
      <c r="BA104" s="211">
        <v>21.610256442324228</v>
      </c>
      <c r="BB104" s="211">
        <v>24.230820364396475</v>
      </c>
      <c r="BC104" s="211">
        <v>25.017687353046213</v>
      </c>
      <c r="BD104" s="211">
        <v>23.386234777008244</v>
      </c>
      <c r="BE104" s="211">
        <v>24.802742839110472</v>
      </c>
      <c r="BF104" s="211">
        <v>25.882806594195603</v>
      </c>
      <c r="BG104" s="211">
        <v>23.986402550961937</v>
      </c>
      <c r="BH104" s="211">
        <v>25.045054894456033</v>
      </c>
      <c r="BI104" s="212">
        <v>26.143979443058349</v>
      </c>
      <c r="BJ104" s="211">
        <v>23.703925683288613</v>
      </c>
      <c r="BK104" s="211">
        <v>21.517157037638651</v>
      </c>
      <c r="BL104" s="211">
        <v>23.224684916919056</v>
      </c>
      <c r="BM104" s="211">
        <v>23.462628637380014</v>
      </c>
      <c r="BN104" s="211">
        <v>26.311243321036731</v>
      </c>
      <c r="BO104" s="211">
        <v>27.072747305879133</v>
      </c>
      <c r="BP104" s="211">
        <v>25.380045200187624</v>
      </c>
      <c r="BQ104" s="211">
        <v>26.911680452570721</v>
      </c>
      <c r="BR104" s="211">
        <v>28.025878365930701</v>
      </c>
      <c r="BS104" s="211">
        <v>26.0442422304919</v>
      </c>
      <c r="BT104" s="211">
        <v>27.18923544582195</v>
      </c>
      <c r="BU104" s="212">
        <v>28.294436578334437</v>
      </c>
      <c r="BV104" s="211">
        <v>26.480692791224794</v>
      </c>
      <c r="BW104" s="211">
        <v>24.055791907599541</v>
      </c>
      <c r="BX104" s="211">
        <v>25.97177589566785</v>
      </c>
      <c r="BY104" s="211">
        <v>26.22368866926729</v>
      </c>
      <c r="BZ104" s="211">
        <v>29.422455447465467</v>
      </c>
      <c r="CA104" s="211">
        <v>30.268317857267064</v>
      </c>
      <c r="CB104" s="211">
        <v>28.385913331981786</v>
      </c>
      <c r="CC104" s="211">
        <v>30.051340606608942</v>
      </c>
      <c r="CD104" s="211">
        <v>31.295306465737337</v>
      </c>
      <c r="CE104" s="211">
        <v>29.08355048142392</v>
      </c>
      <c r="CF104" s="211">
        <v>30.340347586170168</v>
      </c>
      <c r="CG104" s="212">
        <v>31.576396794615722</v>
      </c>
      <c r="CH104" s="211">
        <v>29.940438744506888</v>
      </c>
      <c r="CI104" s="211">
        <v>27.185716440971728</v>
      </c>
      <c r="CJ104" s="211">
        <v>29.334438351646561</v>
      </c>
      <c r="CK104" s="211">
        <v>29.626306842883523</v>
      </c>
      <c r="CL104" s="211">
        <v>33.231463457743537</v>
      </c>
      <c r="CM104" s="211">
        <v>34.194771632079672</v>
      </c>
      <c r="CN104" s="211">
        <v>32.061489956266037</v>
      </c>
      <c r="CO104" s="211">
        <v>33.94047712642346</v>
      </c>
      <c r="CP104" s="211">
        <v>35.3554683712849</v>
      </c>
      <c r="CQ104" s="211">
        <v>32.800483937198941</v>
      </c>
      <c r="CR104" s="211">
        <v>34.269596970919672</v>
      </c>
      <c r="CS104" s="212">
        <v>35.67268048437726</v>
      </c>
    </row>
    <row r="105" spans="1:97" s="211" customFormat="1" x14ac:dyDescent="0.25">
      <c r="A105" s="211" t="s">
        <v>6</v>
      </c>
      <c r="B105" s="211">
        <v>17.296405660377356</v>
      </c>
      <c r="C105" s="211">
        <v>17.413886792452821</v>
      </c>
      <c r="D105" s="211">
        <v>30.311591549295777</v>
      </c>
      <c r="E105" s="211">
        <v>23.184864285714283</v>
      </c>
      <c r="F105" s="211">
        <v>21.37100925925926</v>
      </c>
      <c r="G105" s="211">
        <v>24.05231543624161</v>
      </c>
      <c r="H105" s="211">
        <v>21.471982142857144</v>
      </c>
      <c r="I105" s="211">
        <v>19.332500000000003</v>
      </c>
      <c r="J105" s="211">
        <v>26.668568965517242</v>
      </c>
      <c r="K105" s="211">
        <v>23.115655172413792</v>
      </c>
      <c r="L105" s="211">
        <v>25.352735537190082</v>
      </c>
      <c r="M105" s="212">
        <v>27.613240625000032</v>
      </c>
      <c r="N105" s="213">
        <v>18.192961538461518</v>
      </c>
      <c r="O105" s="213">
        <v>18.959107142857142</v>
      </c>
      <c r="P105" s="213">
        <v>32.339244897959183</v>
      </c>
      <c r="Q105" s="213">
        <v>23.304958579881657</v>
      </c>
      <c r="R105" s="213">
        <v>22.641092592592592</v>
      </c>
      <c r="S105" s="213">
        <v>27.813206896551726</v>
      </c>
      <c r="T105" s="213">
        <v>17.843196666666667</v>
      </c>
      <c r="U105" s="213">
        <v>17.449688596491228</v>
      </c>
      <c r="V105" s="211">
        <v>23.533924335122986</v>
      </c>
      <c r="W105" s="211">
        <v>21.214155563539919</v>
      </c>
      <c r="X105" s="211">
        <v>21.920818258671883</v>
      </c>
      <c r="Y105" s="212">
        <v>25.154049775373398</v>
      </c>
      <c r="Z105" s="211">
        <v>15.14267110354211</v>
      </c>
      <c r="AA105" s="211">
        <v>17.995816392843956</v>
      </c>
      <c r="AB105" s="211">
        <v>22.519961546692436</v>
      </c>
      <c r="AC105" s="211">
        <v>20.629813379677561</v>
      </c>
      <c r="AD105" s="211">
        <v>21.778791978914551</v>
      </c>
      <c r="AE105" s="211">
        <v>22.311552039540846</v>
      </c>
      <c r="AF105" s="211">
        <v>20.413621655305143</v>
      </c>
      <c r="AG105" s="211">
        <v>21.808074410208235</v>
      </c>
      <c r="AH105" s="211">
        <v>22.474361958758283</v>
      </c>
      <c r="AI105" s="211">
        <v>20.876947433975094</v>
      </c>
      <c r="AJ105" s="211">
        <v>21.877816264908649</v>
      </c>
      <c r="AK105" s="212">
        <v>22.450150665591135</v>
      </c>
      <c r="AL105" s="211">
        <v>16.424740580542807</v>
      </c>
      <c r="AM105" s="211">
        <v>19.147677370424628</v>
      </c>
      <c r="AN105" s="211">
        <v>22.771479791847174</v>
      </c>
      <c r="AO105" s="211">
        <v>20.964359678854045</v>
      </c>
      <c r="AP105" s="211">
        <v>22.83541987257686</v>
      </c>
      <c r="AQ105" s="211">
        <v>22.995773194577392</v>
      </c>
      <c r="AR105" s="211">
        <v>21.92136735331362</v>
      </c>
      <c r="AS105" s="211">
        <v>23.459721149293621</v>
      </c>
      <c r="AT105" s="211">
        <v>23.767483950728817</v>
      </c>
      <c r="AU105" s="211">
        <v>22.410319820815559</v>
      </c>
      <c r="AV105" s="211">
        <v>23.672892327838515</v>
      </c>
      <c r="AW105" s="212">
        <v>24.003799051723945</v>
      </c>
      <c r="AX105" s="211">
        <v>18.546692857404324</v>
      </c>
      <c r="AY105" s="211">
        <v>20.973830249793064</v>
      </c>
      <c r="AZ105" s="211">
        <v>24.661049383425375</v>
      </c>
      <c r="BA105" s="211">
        <v>22.967923027691548</v>
      </c>
      <c r="BB105" s="211">
        <v>24.318647002096029</v>
      </c>
      <c r="BC105" s="211">
        <v>24.994994757871908</v>
      </c>
      <c r="BD105" s="211">
        <v>23.673611178855939</v>
      </c>
      <c r="BE105" s="211">
        <v>24.909228163613609</v>
      </c>
      <c r="BF105" s="211">
        <v>25.778668433571617</v>
      </c>
      <c r="BG105" s="211">
        <v>24.16699148955777</v>
      </c>
      <c r="BH105" s="211">
        <v>25.114151722425067</v>
      </c>
      <c r="BI105" s="212">
        <v>26.006818079318936</v>
      </c>
      <c r="BJ105" s="211">
        <v>19.882354517999808</v>
      </c>
      <c r="BK105" s="211">
        <v>22.771305958748044</v>
      </c>
      <c r="BL105" s="211">
        <v>26.77975454078241</v>
      </c>
      <c r="BM105" s="211">
        <v>24.957638750483145</v>
      </c>
      <c r="BN105" s="211">
        <v>26.423741256821597</v>
      </c>
      <c r="BO105" s="211">
        <v>27.150644718609215</v>
      </c>
      <c r="BP105" s="211">
        <v>25.5536196893386</v>
      </c>
      <c r="BQ105" s="211">
        <v>27.036627553140885</v>
      </c>
      <c r="BR105" s="211">
        <v>28.02982504067727</v>
      </c>
      <c r="BS105" s="211">
        <v>26.118494522866069</v>
      </c>
      <c r="BT105" s="211">
        <v>27.282905189011281</v>
      </c>
      <c r="BU105" s="212">
        <v>28.239716497169546</v>
      </c>
      <c r="BV105" s="211">
        <v>22.099786349518148</v>
      </c>
      <c r="BW105" s="211">
        <v>25.456441612541269</v>
      </c>
      <c r="BX105" s="211">
        <v>29.973775668023748</v>
      </c>
      <c r="BY105" s="211">
        <v>27.933683179934704</v>
      </c>
      <c r="BZ105" s="211">
        <v>29.576425908383854</v>
      </c>
      <c r="CA105" s="211">
        <v>30.383919876711222</v>
      </c>
      <c r="CB105" s="211">
        <v>28.606753035688012</v>
      </c>
      <c r="CC105" s="211">
        <v>30.195697129313256</v>
      </c>
      <c r="CD105" s="211">
        <v>31.305375928625168</v>
      </c>
      <c r="CE105" s="211">
        <v>29.172306978331434</v>
      </c>
      <c r="CF105" s="211">
        <v>30.438475670248874</v>
      </c>
      <c r="CG105" s="212">
        <v>31.508821460008942</v>
      </c>
      <c r="CH105" s="211">
        <v>24.948724325385733</v>
      </c>
      <c r="CI105" s="211">
        <v>28.768829756094995</v>
      </c>
      <c r="CJ105" s="211">
        <v>33.839137879351355</v>
      </c>
      <c r="CK105" s="211">
        <v>31.529973623576662</v>
      </c>
      <c r="CL105" s="211">
        <v>33.38521945852213</v>
      </c>
      <c r="CM105" s="211">
        <v>34.305595662014277</v>
      </c>
      <c r="CN105" s="211">
        <v>32.29513137633753</v>
      </c>
      <c r="CO105" s="211">
        <v>34.086130488171264</v>
      </c>
      <c r="CP105" s="211">
        <v>35.349085483249638</v>
      </c>
      <c r="CQ105" s="211">
        <v>32.856310437098678</v>
      </c>
      <c r="CR105" s="211">
        <v>34.364397218179128</v>
      </c>
      <c r="CS105" s="212">
        <v>35.579883379839131</v>
      </c>
    </row>
    <row r="106" spans="1:97" s="211" customFormat="1" x14ac:dyDescent="0.25">
      <c r="A106" s="211" t="s">
        <v>7</v>
      </c>
      <c r="B106" s="211">
        <v>17.248846774193549</v>
      </c>
      <c r="C106" s="211">
        <v>17.460094827586207</v>
      </c>
      <c r="D106" s="211">
        <v>22.745801136363635</v>
      </c>
      <c r="E106" s="211">
        <v>20.610436363636364</v>
      </c>
      <c r="F106" s="211">
        <v>18.440367647058821</v>
      </c>
      <c r="G106" s="211">
        <v>22.255634241245097</v>
      </c>
      <c r="H106" s="211">
        <v>20.052320512820515</v>
      </c>
      <c r="I106" s="211">
        <v>16.133956250000001</v>
      </c>
      <c r="J106" s="211">
        <v>20.827540740740741</v>
      </c>
      <c r="K106" s="211">
        <v>22.263780952380955</v>
      </c>
      <c r="L106" s="211">
        <v>28.230774436090226</v>
      </c>
      <c r="M106" s="212">
        <v>25.780412068965514</v>
      </c>
      <c r="N106" s="213">
        <v>15.893448979591836</v>
      </c>
      <c r="O106" s="213">
        <v>19.297728813559324</v>
      </c>
      <c r="P106" s="213">
        <v>34.09402</v>
      </c>
      <c r="Q106" s="213">
        <v>34.407516129032246</v>
      </c>
      <c r="R106" s="213">
        <v>29.931713333333331</v>
      </c>
      <c r="S106" s="213">
        <v>26.476179999999999</v>
      </c>
      <c r="T106" s="213">
        <v>26.840216748768473</v>
      </c>
      <c r="U106" s="213">
        <v>19.667087947882766</v>
      </c>
      <c r="V106" s="211">
        <v>29.931822238086738</v>
      </c>
      <c r="W106" s="211">
        <v>28.533068702290073</v>
      </c>
      <c r="X106" s="211">
        <v>30.052906692456325</v>
      </c>
      <c r="Y106" s="212">
        <v>33.411309980681821</v>
      </c>
      <c r="Z106" s="211">
        <v>16.192440177405793</v>
      </c>
      <c r="AA106" s="211">
        <v>16.95558959175057</v>
      </c>
      <c r="AB106" s="211">
        <v>23.208677080958651</v>
      </c>
      <c r="AC106" s="211">
        <v>23.978525427960808</v>
      </c>
      <c r="AD106" s="211">
        <v>24.866671081423153</v>
      </c>
      <c r="AE106" s="211">
        <v>25.359705070283869</v>
      </c>
      <c r="AF106" s="211">
        <v>23.41365770146686</v>
      </c>
      <c r="AG106" s="211">
        <v>24.479490568815493</v>
      </c>
      <c r="AH106" s="211">
        <v>25.54576392116747</v>
      </c>
      <c r="AI106" s="211">
        <v>23.532727459580002</v>
      </c>
      <c r="AJ106" s="211">
        <v>24.820002460696241</v>
      </c>
      <c r="AK106" s="212">
        <v>25.614087812280914</v>
      </c>
      <c r="AL106" s="211">
        <v>18.235621581838153</v>
      </c>
      <c r="AM106" s="211">
        <v>18.979483969910106</v>
      </c>
      <c r="AN106" s="211">
        <v>23.94689543174167</v>
      </c>
      <c r="AO106" s="211">
        <v>24.833899626796615</v>
      </c>
      <c r="AP106" s="211">
        <v>25.745504140112264</v>
      </c>
      <c r="AQ106" s="211">
        <v>27.050235906296567</v>
      </c>
      <c r="AR106" s="211">
        <v>25.093580274824852</v>
      </c>
      <c r="AS106" s="211">
        <v>26.939718361367476</v>
      </c>
      <c r="AT106" s="211">
        <v>27.931976972972752</v>
      </c>
      <c r="AU106" s="211">
        <v>25.624505919580738</v>
      </c>
      <c r="AV106" s="211">
        <v>27.198784296906545</v>
      </c>
      <c r="AW106" s="212">
        <v>28.189924964445098</v>
      </c>
      <c r="AX106" s="211">
        <v>20.652085916592029</v>
      </c>
      <c r="AY106" s="211">
        <v>21.330765177184116</v>
      </c>
      <c r="AZ106" s="211">
        <v>25.707543946046645</v>
      </c>
      <c r="BA106" s="211">
        <v>26.728160579692027</v>
      </c>
      <c r="BB106" s="211">
        <v>28.240338387403824</v>
      </c>
      <c r="BC106" s="211">
        <v>28.904696134600091</v>
      </c>
      <c r="BD106" s="211">
        <v>27.213891215891291</v>
      </c>
      <c r="BE106" s="211">
        <v>29.068633077893633</v>
      </c>
      <c r="BF106" s="211">
        <v>29.757085858445151</v>
      </c>
      <c r="BG106" s="211">
        <v>27.735824463946159</v>
      </c>
      <c r="BH106" s="211">
        <v>29.294544807698262</v>
      </c>
      <c r="BI106" s="212">
        <v>30.012666961116668</v>
      </c>
      <c r="BJ106" s="211">
        <v>22.002296403745678</v>
      </c>
      <c r="BK106" s="211">
        <v>22.922561604215907</v>
      </c>
      <c r="BL106" s="211">
        <v>27.930814291065399</v>
      </c>
      <c r="BM106" s="211">
        <v>29.098942056434574</v>
      </c>
      <c r="BN106" s="211">
        <v>30.686620811686758</v>
      </c>
      <c r="BO106" s="211">
        <v>31.404501937306076</v>
      </c>
      <c r="BP106" s="211">
        <v>29.56460928501328</v>
      </c>
      <c r="BQ106" s="211">
        <v>31.370342814263996</v>
      </c>
      <c r="BR106" s="211">
        <v>32.368731976265721</v>
      </c>
      <c r="BS106" s="211">
        <v>30.165162518417187</v>
      </c>
      <c r="BT106" s="211">
        <v>31.652992066890903</v>
      </c>
      <c r="BU106" s="212">
        <v>32.600592605627902</v>
      </c>
      <c r="BV106" s="211">
        <v>24.620915133616517</v>
      </c>
      <c r="BW106" s="211">
        <v>25.501345249167869</v>
      </c>
      <c r="BX106" s="211">
        <v>31.300965445127982</v>
      </c>
      <c r="BY106" s="211">
        <v>32.573947499450313</v>
      </c>
      <c r="BZ106" s="211">
        <v>34.345476527415784</v>
      </c>
      <c r="CA106" s="211">
        <v>35.146109902742786</v>
      </c>
      <c r="CB106" s="211">
        <v>33.097123449236378</v>
      </c>
      <c r="CC106" s="211">
        <v>35.030467782927573</v>
      </c>
      <c r="CD106" s="211">
        <v>36.150768286873301</v>
      </c>
      <c r="CE106" s="211">
        <v>33.691514260026103</v>
      </c>
      <c r="CF106" s="211">
        <v>35.311106085028129</v>
      </c>
      <c r="CG106" s="212">
        <v>36.372922794276064</v>
      </c>
      <c r="CH106" s="211">
        <v>27.794767509570175</v>
      </c>
      <c r="CI106" s="211">
        <v>28.798530540085771</v>
      </c>
      <c r="CJ106" s="211">
        <v>35.306406172670322</v>
      </c>
      <c r="CK106" s="211">
        <v>36.76730719282056</v>
      </c>
      <c r="CL106" s="211">
        <v>38.767376563222108</v>
      </c>
      <c r="CM106" s="211">
        <v>39.677621592903336</v>
      </c>
      <c r="CN106" s="211">
        <v>37.359834989088263</v>
      </c>
      <c r="CO106" s="211">
        <v>39.54155244225683</v>
      </c>
      <c r="CP106" s="211">
        <v>40.816523306638942</v>
      </c>
      <c r="CQ106" s="211">
        <v>37.938893998468139</v>
      </c>
      <c r="CR106" s="211">
        <v>39.864539547216623</v>
      </c>
      <c r="CS106" s="212">
        <v>41.068577334168758</v>
      </c>
    </row>
    <row r="107" spans="1:97" s="211" customFormat="1" x14ac:dyDescent="0.25">
      <c r="A107" s="211" t="s">
        <v>8</v>
      </c>
      <c r="B107" s="211">
        <v>11.022777777777778</v>
      </c>
      <c r="C107" s="211">
        <v>17.557507692307695</v>
      </c>
      <c r="D107" s="211">
        <v>21.380508064516128</v>
      </c>
      <c r="E107" s="211">
        <v>27.854204225352113</v>
      </c>
      <c r="F107" s="211">
        <v>17.136313186813187</v>
      </c>
      <c r="G107" s="211">
        <v>20.090412587412587</v>
      </c>
      <c r="H107" s="211">
        <v>27.293579545454545</v>
      </c>
      <c r="I107" s="211">
        <v>20.912692857142858</v>
      </c>
      <c r="J107" s="211">
        <v>18.252619230769191</v>
      </c>
      <c r="K107" s="211">
        <v>19.909502604166665</v>
      </c>
      <c r="L107" s="211">
        <v>29.402005025125629</v>
      </c>
      <c r="M107" s="212">
        <v>36.214283261802578</v>
      </c>
      <c r="N107" s="213">
        <v>16.007750000000001</v>
      </c>
      <c r="O107" s="213">
        <v>14.436190082644629</v>
      </c>
      <c r="P107" s="213">
        <v>22.0625859375</v>
      </c>
      <c r="Q107" s="213">
        <v>30.427777173913039</v>
      </c>
      <c r="R107" s="213">
        <v>22.59612878787879</v>
      </c>
      <c r="S107" s="213">
        <v>23.566807017543859</v>
      </c>
      <c r="T107" s="213">
        <v>23.281610619469028</v>
      </c>
      <c r="U107" s="213">
        <v>25.512819354838712</v>
      </c>
      <c r="V107" s="211">
        <v>22.456651069518717</v>
      </c>
      <c r="W107" s="211">
        <v>20.227416457928946</v>
      </c>
      <c r="X107" s="211">
        <v>21.128194546794397</v>
      </c>
      <c r="Y107" s="212">
        <v>24.845557569245415</v>
      </c>
      <c r="Z107" s="211">
        <v>15.534444684854513</v>
      </c>
      <c r="AA107" s="211">
        <v>15.721466750387062</v>
      </c>
      <c r="AB107" s="211">
        <v>20.256833443004663</v>
      </c>
      <c r="AC107" s="211">
        <v>19.955008121275494</v>
      </c>
      <c r="AD107" s="211">
        <v>20.71445979377296</v>
      </c>
      <c r="AE107" s="211">
        <v>21.356924906457014</v>
      </c>
      <c r="AF107" s="211">
        <v>19.574189544352173</v>
      </c>
      <c r="AG107" s="211">
        <v>20.498264227464084</v>
      </c>
      <c r="AH107" s="211">
        <v>21.092730611356778</v>
      </c>
      <c r="AI107" s="211">
        <v>19.553401844078522</v>
      </c>
      <c r="AJ107" s="211">
        <v>20.337246279092057</v>
      </c>
      <c r="AK107" s="212">
        <v>21.283615385953727</v>
      </c>
      <c r="AL107" s="211">
        <v>18.306676334634105</v>
      </c>
      <c r="AM107" s="211">
        <v>18.045484423525551</v>
      </c>
      <c r="AN107" s="211">
        <v>21.697328002122578</v>
      </c>
      <c r="AO107" s="211">
        <v>21.315861537159154</v>
      </c>
      <c r="AP107" s="211">
        <v>22.114849691025825</v>
      </c>
      <c r="AQ107" s="211">
        <v>22.60057003957121</v>
      </c>
      <c r="AR107" s="211">
        <v>21.579857352068561</v>
      </c>
      <c r="AS107" s="211">
        <v>22.815527450419108</v>
      </c>
      <c r="AT107" s="211">
        <v>23.865824454835433</v>
      </c>
      <c r="AU107" s="211">
        <v>22.362096631269246</v>
      </c>
      <c r="AV107" s="211">
        <v>23.253576382264235</v>
      </c>
      <c r="AW107" s="212">
        <v>24.111143778057734</v>
      </c>
      <c r="AX107" s="211">
        <v>20.765372980234837</v>
      </c>
      <c r="AY107" s="211">
        <v>20.481326979900292</v>
      </c>
      <c r="AZ107" s="211">
        <v>24.852319025892768</v>
      </c>
      <c r="BA107" s="211">
        <v>23.844059880045442</v>
      </c>
      <c r="BB107" s="211">
        <v>24.377770120828977</v>
      </c>
      <c r="BC107" s="211">
        <v>24.534732991236556</v>
      </c>
      <c r="BD107" s="211">
        <v>23.068464873034827</v>
      </c>
      <c r="BE107" s="211">
        <v>24.450017514814</v>
      </c>
      <c r="BF107" s="211">
        <v>25.500102347819105</v>
      </c>
      <c r="BG107" s="211">
        <v>23.760568062920715</v>
      </c>
      <c r="BH107" s="211">
        <v>24.68688768925324</v>
      </c>
      <c r="BI107" s="212">
        <v>25.686647704573495</v>
      </c>
      <c r="BJ107" s="211">
        <v>22.012725929877238</v>
      </c>
      <c r="BK107" s="211">
        <v>21.713753184822473</v>
      </c>
      <c r="BL107" s="211">
        <v>26.106190384725632</v>
      </c>
      <c r="BM107" s="211">
        <v>25.50131555479107</v>
      </c>
      <c r="BN107" s="211">
        <v>26.280765278826216</v>
      </c>
      <c r="BO107" s="211">
        <v>26.692346820550593</v>
      </c>
      <c r="BP107" s="211">
        <v>25.086081053887767</v>
      </c>
      <c r="BQ107" s="211">
        <v>26.577269774925927</v>
      </c>
      <c r="BR107" s="211">
        <v>27.70371093212459</v>
      </c>
      <c r="BS107" s="211">
        <v>25.814038964799462</v>
      </c>
      <c r="BT107" s="211">
        <v>26.818782968430661</v>
      </c>
      <c r="BU107" s="212">
        <v>27.858555417633234</v>
      </c>
      <c r="BV107" s="211">
        <v>24.599966994111043</v>
      </c>
      <c r="BW107" s="211">
        <v>24.262527334303364</v>
      </c>
      <c r="BX107" s="211">
        <v>29.123272470807439</v>
      </c>
      <c r="BY107" s="211">
        <v>28.430195335728332</v>
      </c>
      <c r="BZ107" s="211">
        <v>29.271273829110591</v>
      </c>
      <c r="CA107" s="211">
        <v>29.899230544807462</v>
      </c>
      <c r="CB107" s="211">
        <v>28.109272760515672</v>
      </c>
      <c r="CC107" s="211">
        <v>29.66880556570656</v>
      </c>
      <c r="CD107" s="211">
        <v>30.931134357886641</v>
      </c>
      <c r="CE107" s="211">
        <v>28.825098151830769</v>
      </c>
      <c r="CF107" s="211">
        <v>29.896449329662939</v>
      </c>
      <c r="CG107" s="212">
        <v>31.062827306282937</v>
      </c>
      <c r="CH107" s="211">
        <v>27.77311324232868</v>
      </c>
      <c r="CI107" s="211">
        <v>27.39236555913017</v>
      </c>
      <c r="CJ107" s="211">
        <v>32.825711166879834</v>
      </c>
      <c r="CK107" s="211">
        <v>32.050090100206887</v>
      </c>
      <c r="CL107" s="211">
        <v>32.994143063179898</v>
      </c>
      <c r="CM107" s="211">
        <v>33.71102887567347</v>
      </c>
      <c r="CN107" s="211">
        <v>31.687627365880754</v>
      </c>
      <c r="CO107" s="211">
        <v>33.444628912837914</v>
      </c>
      <c r="CP107" s="211">
        <v>34.881538806787475</v>
      </c>
      <c r="CQ107" s="211">
        <v>32.384192862015489</v>
      </c>
      <c r="CR107" s="211">
        <v>33.711374248269635</v>
      </c>
      <c r="CS107" s="212">
        <v>35.035890572723076</v>
      </c>
    </row>
    <row r="108" spans="1:97" s="211" customFormat="1" x14ac:dyDescent="0.25">
      <c r="A108" s="211" t="s">
        <v>1</v>
      </c>
      <c r="B108" s="211">
        <v>14.515539682539684</v>
      </c>
      <c r="C108" s="211">
        <v>20.561101694915255</v>
      </c>
      <c r="D108" s="211">
        <v>20.453307142857145</v>
      </c>
      <c r="E108" s="211">
        <v>29.955370535714284</v>
      </c>
      <c r="F108" s="211">
        <v>17.899781690140848</v>
      </c>
      <c r="G108" s="211">
        <v>35.415263333333336</v>
      </c>
      <c r="H108" s="211">
        <v>28.585739726027398</v>
      </c>
      <c r="I108" s="211">
        <v>18.057246031746033</v>
      </c>
      <c r="J108" s="211">
        <v>26.084392018779344</v>
      </c>
      <c r="K108" s="211">
        <v>25.428156756756756</v>
      </c>
      <c r="L108" s="211">
        <v>35.60003571428576</v>
      </c>
      <c r="M108" s="212">
        <v>34.779468253968297</v>
      </c>
      <c r="N108" s="213">
        <v>16.331717171717173</v>
      </c>
      <c r="O108" s="213">
        <v>18.800772727272726</v>
      </c>
      <c r="P108" s="213">
        <v>26.457915343915346</v>
      </c>
      <c r="Q108" s="213">
        <v>18.736309782608693</v>
      </c>
      <c r="R108" s="213">
        <v>25.037327956989245</v>
      </c>
      <c r="S108" s="213">
        <v>24.742334745762715</v>
      </c>
      <c r="T108" s="213">
        <v>24.893502994011978</v>
      </c>
      <c r="U108" s="213">
        <v>26.768354014598543</v>
      </c>
      <c r="V108" s="211">
        <v>24.000000000000004</v>
      </c>
      <c r="W108" s="211">
        <v>21.616724770073834</v>
      </c>
      <c r="X108" s="211">
        <v>22.508273038951508</v>
      </c>
      <c r="Y108" s="212">
        <v>24.826937981416847</v>
      </c>
      <c r="Z108" s="211">
        <v>17.920683888624612</v>
      </c>
      <c r="AA108" s="211">
        <v>19.658297067495976</v>
      </c>
      <c r="AB108" s="211">
        <v>22.236743016238663</v>
      </c>
      <c r="AC108" s="211">
        <v>21.573800192142937</v>
      </c>
      <c r="AD108" s="211">
        <v>22.95075739756485</v>
      </c>
      <c r="AE108" s="211">
        <v>23.570724046537659</v>
      </c>
      <c r="AF108" s="211">
        <v>21.743045358595374</v>
      </c>
      <c r="AG108" s="211">
        <v>22.95422845439133</v>
      </c>
      <c r="AH108" s="211">
        <v>23.824676900953403</v>
      </c>
      <c r="AI108" s="211">
        <v>21.989830392712374</v>
      </c>
      <c r="AJ108" s="211">
        <v>22.96129175756122</v>
      </c>
      <c r="AK108" s="212">
        <v>23.836558339290765</v>
      </c>
      <c r="AL108" s="211">
        <v>20.807445421723752</v>
      </c>
      <c r="AM108" s="211">
        <v>22.469850322848821</v>
      </c>
      <c r="AN108" s="211">
        <v>23.642449851925548</v>
      </c>
      <c r="AO108" s="211">
        <v>22.980704733202195</v>
      </c>
      <c r="AP108" s="211">
        <v>24.467626146235805</v>
      </c>
      <c r="AQ108" s="211">
        <v>25.120100718755243</v>
      </c>
      <c r="AR108" s="211">
        <v>23.631762653358543</v>
      </c>
      <c r="AS108" s="211">
        <v>25.050877027523022</v>
      </c>
      <c r="AT108" s="211">
        <v>26.00359096795513</v>
      </c>
      <c r="AU108" s="211">
        <v>24.231896280296404</v>
      </c>
      <c r="AV108" s="211">
        <v>25.301417225361117</v>
      </c>
      <c r="AW108" s="212">
        <v>26.271084088161921</v>
      </c>
      <c r="AX108" s="211">
        <v>23.020300584579378</v>
      </c>
      <c r="AY108" s="211">
        <v>24.797098237609472</v>
      </c>
      <c r="AZ108" s="211">
        <v>26.093472081580739</v>
      </c>
      <c r="BA108" s="211">
        <v>25.328020902527452</v>
      </c>
      <c r="BB108" s="211">
        <v>26.985048410952459</v>
      </c>
      <c r="BC108" s="211">
        <v>27.695642472174743</v>
      </c>
      <c r="BD108" s="211">
        <v>26.053947566188178</v>
      </c>
      <c r="BE108" s="211">
        <v>27.626653531226264</v>
      </c>
      <c r="BF108" s="211">
        <v>28.669646282439242</v>
      </c>
      <c r="BG108" s="211">
        <v>26.718664880059869</v>
      </c>
      <c r="BH108" s="211">
        <v>27.900631207499693</v>
      </c>
      <c r="BI108" s="212">
        <v>28.965067505324448</v>
      </c>
      <c r="BJ108" s="211">
        <v>25.025719428208184</v>
      </c>
      <c r="BK108" s="211">
        <v>26.948908344880216</v>
      </c>
      <c r="BL108" s="211">
        <v>28.328005661308897</v>
      </c>
      <c r="BM108" s="211">
        <v>27.521973634810291</v>
      </c>
      <c r="BN108" s="211">
        <v>29.316935720084704</v>
      </c>
      <c r="BO108" s="211">
        <v>30.080083268304488</v>
      </c>
      <c r="BP108" s="211">
        <v>28.304167478113747</v>
      </c>
      <c r="BQ108" s="211">
        <v>30.008167253745114</v>
      </c>
      <c r="BR108" s="211">
        <v>31.137242152961047</v>
      </c>
      <c r="BS108" s="211">
        <v>29.026213780624214</v>
      </c>
      <c r="BT108" s="211">
        <v>30.315932902761002</v>
      </c>
      <c r="BU108" s="212">
        <v>31.455722943408944</v>
      </c>
      <c r="BV108" s="211">
        <v>28.101847436352767</v>
      </c>
      <c r="BW108" s="211">
        <v>30.174886341360867</v>
      </c>
      <c r="BX108" s="211">
        <v>31.721761013842219</v>
      </c>
      <c r="BY108" s="211">
        <v>30.797746863239276</v>
      </c>
      <c r="BZ108" s="211">
        <v>32.793244363418594</v>
      </c>
      <c r="CA108" s="211">
        <v>33.62667068460231</v>
      </c>
      <c r="CB108" s="211">
        <v>31.663281987928595</v>
      </c>
      <c r="CC108" s="211">
        <v>33.550229559107471</v>
      </c>
      <c r="CD108" s="211">
        <v>34.798186889959062</v>
      </c>
      <c r="CE108" s="211">
        <v>32.448649021840225</v>
      </c>
      <c r="CF108" s="211">
        <v>33.886417379032416</v>
      </c>
      <c r="CG108" s="212">
        <v>35.150874282658329</v>
      </c>
      <c r="CH108" s="211">
        <v>31.914786998326594</v>
      </c>
      <c r="CI108" s="211">
        <v>34.231942698696095</v>
      </c>
      <c r="CJ108" s="211">
        <v>35.966184474762592</v>
      </c>
      <c r="CK108" s="211">
        <v>34.908863618492489</v>
      </c>
      <c r="CL108" s="211">
        <v>37.167055026145725</v>
      </c>
      <c r="CM108" s="211">
        <v>38.103730997010544</v>
      </c>
      <c r="CN108" s="211">
        <v>35.883518804848869</v>
      </c>
      <c r="CO108" s="211">
        <v>38.016216480230206</v>
      </c>
      <c r="CP108" s="211">
        <v>39.423499359863591</v>
      </c>
      <c r="CQ108" s="211">
        <v>36.750745000042066</v>
      </c>
      <c r="CR108" s="211">
        <v>38.395099028593826</v>
      </c>
      <c r="CS108" s="212">
        <v>39.826319342635792</v>
      </c>
    </row>
    <row r="109" spans="1:97" s="211" customFormat="1" x14ac:dyDescent="0.25">
      <c r="A109" s="211" t="s">
        <v>2</v>
      </c>
      <c r="B109" s="211">
        <v>16.102956521739131</v>
      </c>
      <c r="C109" s="211">
        <v>22.583764705882352</v>
      </c>
      <c r="D109" s="211">
        <v>32.629199999999997</v>
      </c>
      <c r="E109" s="211">
        <v>20.727619047619051</v>
      </c>
      <c r="F109" s="211">
        <v>11.921695121951219</v>
      </c>
      <c r="G109" s="211">
        <v>27.964737500000002</v>
      </c>
      <c r="H109" s="211">
        <v>23.305568181818185</v>
      </c>
      <c r="I109" s="211">
        <v>21.066826923076921</v>
      </c>
      <c r="J109" s="211">
        <v>45.254991150442478</v>
      </c>
      <c r="K109" s="211">
        <v>-9.8870714285714278</v>
      </c>
      <c r="L109" s="211">
        <v>35.934620000000002</v>
      </c>
      <c r="M109" s="212">
        <v>47.435774999999929</v>
      </c>
      <c r="N109" s="213">
        <v>24.390192982456139</v>
      </c>
      <c r="O109" s="213">
        <v>43.174999999999997</v>
      </c>
      <c r="P109" s="213">
        <v>31.025500000000001</v>
      </c>
      <c r="Q109" s="213">
        <v>19.136564705882353</v>
      </c>
      <c r="R109" s="213">
        <v>24.589899082568806</v>
      </c>
      <c r="S109" s="213">
        <v>23.887465714285714</v>
      </c>
      <c r="T109" s="213">
        <v>19.701737704918035</v>
      </c>
      <c r="U109" s="213">
        <v>25.922985401459858</v>
      </c>
      <c r="V109" s="211">
        <v>27.475280765345534</v>
      </c>
      <c r="W109" s="211">
        <v>25.696730973080435</v>
      </c>
      <c r="X109" s="211">
        <v>26.668356349510049</v>
      </c>
      <c r="Y109" s="212">
        <v>29.210539257937278</v>
      </c>
      <c r="Z109" s="211">
        <v>24.199286654643956</v>
      </c>
      <c r="AA109" s="211">
        <v>21.942814875003275</v>
      </c>
      <c r="AB109" s="211">
        <v>26.249663798314106</v>
      </c>
      <c r="AC109" s="211">
        <v>25.78597459934959</v>
      </c>
      <c r="AD109" s="211">
        <v>28.478247961257381</v>
      </c>
      <c r="AE109" s="211">
        <v>29.420497243510802</v>
      </c>
      <c r="AF109" s="211">
        <v>26.960732545992027</v>
      </c>
      <c r="AG109" s="211">
        <v>28.483489800282747</v>
      </c>
      <c r="AH109" s="211">
        <v>29.732897257439486</v>
      </c>
      <c r="AI109" s="211">
        <v>27.185542965114681</v>
      </c>
      <c r="AJ109" s="211">
        <v>28.483228937106354</v>
      </c>
      <c r="AK109" s="212">
        <v>29.705773501330587</v>
      </c>
      <c r="AL109" s="211">
        <v>29.788581516897008</v>
      </c>
      <c r="AM109" s="211">
        <v>26.255654805971538</v>
      </c>
      <c r="AN109" s="211">
        <v>27.620194539691266</v>
      </c>
      <c r="AO109" s="211">
        <v>27.24214252066329</v>
      </c>
      <c r="AP109" s="211">
        <v>30.171146906994874</v>
      </c>
      <c r="AQ109" s="211">
        <v>31.133883416900293</v>
      </c>
      <c r="AR109" s="211">
        <v>29.13159725091263</v>
      </c>
      <c r="AS109" s="211">
        <v>30.881057887524857</v>
      </c>
      <c r="AT109" s="211">
        <v>32.106518030292399</v>
      </c>
      <c r="AU109" s="211">
        <v>29.822626898131883</v>
      </c>
      <c r="AV109" s="211">
        <v>31.262027304215483</v>
      </c>
      <c r="AW109" s="212">
        <v>32.513036942441666</v>
      </c>
      <c r="AX109" s="211">
        <v>32.58916698389055</v>
      </c>
      <c r="AY109" s="211">
        <v>29.031420720576506</v>
      </c>
      <c r="AZ109" s="211">
        <v>30.507794018951454</v>
      </c>
      <c r="BA109" s="211">
        <v>30.043138536490485</v>
      </c>
      <c r="BB109" s="211">
        <v>33.240230625218032</v>
      </c>
      <c r="BC109" s="211">
        <v>34.227618142646953</v>
      </c>
      <c r="BD109" s="211">
        <v>32.05918475291665</v>
      </c>
      <c r="BE109" s="211">
        <v>33.987121987341261</v>
      </c>
      <c r="BF109" s="211">
        <v>35.24567422881146</v>
      </c>
      <c r="BG109" s="211">
        <v>32.763965039279142</v>
      </c>
      <c r="BH109" s="211">
        <v>34.362277837959425</v>
      </c>
      <c r="BI109" s="212">
        <v>35.637176508290139</v>
      </c>
      <c r="BJ109" s="211">
        <v>35.200922420435667</v>
      </c>
      <c r="BK109" s="211">
        <v>31.596656098613774</v>
      </c>
      <c r="BL109" s="211">
        <v>33.20126963087359</v>
      </c>
      <c r="BM109" s="211">
        <v>32.622833446967157</v>
      </c>
      <c r="BN109" s="211">
        <v>36.081908771736344</v>
      </c>
      <c r="BO109" s="211">
        <v>37.20809792012178</v>
      </c>
      <c r="BP109" s="211">
        <v>34.851416886620989</v>
      </c>
      <c r="BQ109" s="211">
        <v>36.939714914920991</v>
      </c>
      <c r="BR109" s="211">
        <v>38.368022894813215</v>
      </c>
      <c r="BS109" s="211">
        <v>35.653960376484946</v>
      </c>
      <c r="BT109" s="211">
        <v>37.375599861820959</v>
      </c>
      <c r="BU109" s="212">
        <v>38.838212376211416</v>
      </c>
      <c r="BV109" s="211">
        <v>39.463027974745621</v>
      </c>
      <c r="BW109" s="211">
        <v>35.239888065832282</v>
      </c>
      <c r="BX109" s="211">
        <v>37.011972179627271</v>
      </c>
      <c r="BY109" s="211">
        <v>36.414194349419851</v>
      </c>
      <c r="BZ109" s="211">
        <v>40.289648843874907</v>
      </c>
      <c r="CA109" s="211">
        <v>41.532646578173306</v>
      </c>
      <c r="CB109" s="211">
        <v>38.902625498234592</v>
      </c>
      <c r="CC109" s="211">
        <v>41.240245501505285</v>
      </c>
      <c r="CD109" s="211">
        <v>42.839978316399844</v>
      </c>
      <c r="CE109" s="211">
        <v>39.809691575197959</v>
      </c>
      <c r="CF109" s="211">
        <v>41.737555650390455</v>
      </c>
      <c r="CG109" s="212">
        <v>43.392945809981313</v>
      </c>
      <c r="CH109" s="211">
        <v>44.706806773392969</v>
      </c>
      <c r="CI109" s="211">
        <v>39.861552559267288</v>
      </c>
      <c r="CJ109" s="211">
        <v>41.82544512914199</v>
      </c>
      <c r="CK109" s="211">
        <v>41.171944336155903</v>
      </c>
      <c r="CL109" s="211">
        <v>45.57963636121719</v>
      </c>
      <c r="CM109" s="211">
        <v>47.00043495753291</v>
      </c>
      <c r="CN109" s="211">
        <v>44.001808875129448</v>
      </c>
      <c r="CO109" s="211">
        <v>46.639848375087055</v>
      </c>
      <c r="CP109" s="211">
        <v>48.463842750776038</v>
      </c>
      <c r="CQ109" s="211">
        <v>45.033110497644785</v>
      </c>
      <c r="CR109" s="211">
        <v>47.202663729929277</v>
      </c>
      <c r="CS109" s="212">
        <v>49.084042221319521</v>
      </c>
    </row>
    <row r="110" spans="1:97" s="258" customFormat="1" x14ac:dyDescent="0.25">
      <c r="A110" s="258" t="s">
        <v>3</v>
      </c>
      <c r="B110" s="258">
        <v>18.703122082585278</v>
      </c>
      <c r="C110" s="258">
        <v>19.460230107526876</v>
      </c>
      <c r="D110" s="258">
        <v>29.600961059190031</v>
      </c>
      <c r="E110" s="258">
        <v>32.040948924731175</v>
      </c>
      <c r="F110" s="258">
        <v>21.096770715096483</v>
      </c>
      <c r="G110" s="258">
        <v>27.360528056112219</v>
      </c>
      <c r="H110" s="258">
        <v>28.683078585461686</v>
      </c>
      <c r="I110" s="258">
        <v>20.198788461538463</v>
      </c>
      <c r="J110" s="258">
        <v>28.502153225806445</v>
      </c>
      <c r="K110" s="258">
        <v>22.786803539823001</v>
      </c>
      <c r="L110" s="258">
        <v>31.309950915750946</v>
      </c>
      <c r="M110" s="259">
        <v>37.219367984693868</v>
      </c>
      <c r="N110" s="260">
        <v>20.217771653543306</v>
      </c>
      <c r="O110" s="260">
        <v>22.215020967741889</v>
      </c>
      <c r="P110" s="260">
        <v>30.631761648745513</v>
      </c>
      <c r="Q110" s="260">
        <v>31.508736465781421</v>
      </c>
      <c r="R110" s="260">
        <v>25.876471507352935</v>
      </c>
      <c r="S110" s="260">
        <v>25.604626593806966</v>
      </c>
      <c r="T110" s="260">
        <v>22.910883969465658</v>
      </c>
      <c r="U110" s="260">
        <v>22.433676760563401</v>
      </c>
      <c r="V110" s="258">
        <v>27.499897168963841</v>
      </c>
      <c r="W110" s="258">
        <v>24.808157567309035</v>
      </c>
      <c r="X110" s="258">
        <v>25.813385792710562</v>
      </c>
      <c r="Y110" s="259">
        <v>28.229440731909055</v>
      </c>
      <c r="Z110" s="258">
        <v>18.397366828642141</v>
      </c>
      <c r="AA110" s="258">
        <v>19.324288369267787</v>
      </c>
      <c r="AB110" s="258">
        <v>22.887903158639745</v>
      </c>
      <c r="AC110" s="258">
        <v>22.525374508207314</v>
      </c>
      <c r="AD110" s="258">
        <v>24.615728715671732</v>
      </c>
      <c r="AE110" s="258">
        <v>25.064018312103258</v>
      </c>
      <c r="AF110" s="258">
        <v>23.190576302819075</v>
      </c>
      <c r="AG110" s="258">
        <v>24.494448939986174</v>
      </c>
      <c r="AH110" s="258">
        <v>25.226772962708591</v>
      </c>
      <c r="AI110" s="258">
        <v>23.435911789454735</v>
      </c>
      <c r="AJ110" s="258">
        <v>24.564352092199996</v>
      </c>
      <c r="AK110" s="259">
        <v>25.340529381635481</v>
      </c>
      <c r="AL110" s="258">
        <v>21.682030372402178</v>
      </c>
      <c r="AM110" s="258">
        <v>22.251672592957103</v>
      </c>
      <c r="AN110" s="258">
        <v>24.193910373817214</v>
      </c>
      <c r="AO110" s="258">
        <v>23.84708340922224</v>
      </c>
      <c r="AP110" s="258">
        <v>26.11745054768463</v>
      </c>
      <c r="AQ110" s="258">
        <v>26.66211237410344</v>
      </c>
      <c r="AR110" s="258">
        <v>25.12200499245597</v>
      </c>
      <c r="AS110" s="258">
        <v>26.615491741199193</v>
      </c>
      <c r="AT110" s="258">
        <v>27.514331307913672</v>
      </c>
      <c r="AU110" s="258">
        <v>25.758657865834131</v>
      </c>
      <c r="AV110" s="258">
        <v>26.946866677320021</v>
      </c>
      <c r="AW110" s="259">
        <v>27.723266681676247</v>
      </c>
      <c r="AX110" s="258">
        <v>24.325178244977998</v>
      </c>
      <c r="AY110" s="258">
        <v>24.896565661160622</v>
      </c>
      <c r="AZ110" s="258">
        <v>26.920098577392022</v>
      </c>
      <c r="BA110" s="258">
        <v>26.254832307941207</v>
      </c>
      <c r="BB110" s="258">
        <v>28.732828104207474</v>
      </c>
      <c r="BC110" s="258">
        <v>29.298127564537157</v>
      </c>
      <c r="BD110" s="258">
        <v>27.39340662904015</v>
      </c>
      <c r="BE110" s="258">
        <v>29.010071493151067</v>
      </c>
      <c r="BF110" s="258">
        <v>30.072632621386482</v>
      </c>
      <c r="BG110" s="258">
        <v>27.99426176328981</v>
      </c>
      <c r="BH110" s="258">
        <v>29.267241664113524</v>
      </c>
      <c r="BI110" s="259">
        <v>30.237336104114796</v>
      </c>
      <c r="BJ110" s="258">
        <v>26.182370473966497</v>
      </c>
      <c r="BK110" s="258">
        <v>26.895299682776894</v>
      </c>
      <c r="BL110" s="258">
        <v>29.025792467491659</v>
      </c>
      <c r="BM110" s="258">
        <v>28.495209273859835</v>
      </c>
      <c r="BN110" s="258">
        <v>31.205189846161566</v>
      </c>
      <c r="BO110" s="258">
        <v>31.87288360151128</v>
      </c>
      <c r="BP110" s="258">
        <v>29.848273895452397</v>
      </c>
      <c r="BQ110" s="258">
        <v>31.62571917418612</v>
      </c>
      <c r="BR110" s="258">
        <v>32.86930855632118</v>
      </c>
      <c r="BS110" s="258">
        <v>30.623314032229263</v>
      </c>
      <c r="BT110" s="258">
        <v>32.012701329120539</v>
      </c>
      <c r="BU110" s="259">
        <v>33.104639437726583</v>
      </c>
      <c r="BV110" s="258">
        <v>29.562841964388426</v>
      </c>
      <c r="BW110" s="258">
        <v>30.226741314442933</v>
      </c>
      <c r="BX110" s="258">
        <v>32.546948654655729</v>
      </c>
      <c r="BY110" s="258">
        <v>31.936499404059351</v>
      </c>
      <c r="BZ110" s="258">
        <v>35.032548638240762</v>
      </c>
      <c r="CA110" s="258">
        <v>35.765684808725076</v>
      </c>
      <c r="CB110" s="258">
        <v>33.482232293471675</v>
      </c>
      <c r="CC110" s="258">
        <v>35.392491199400723</v>
      </c>
      <c r="CD110" s="258">
        <v>36.766562460058701</v>
      </c>
      <c r="CE110" s="258">
        <v>34.228195206941621</v>
      </c>
      <c r="CF110" s="258">
        <v>35.729068630110405</v>
      </c>
      <c r="CG110" s="259">
        <v>36.962521881551602</v>
      </c>
      <c r="CH110" s="258">
        <v>33.352522220610382</v>
      </c>
      <c r="CI110" s="258">
        <v>34.143080892632561</v>
      </c>
      <c r="CJ110" s="258">
        <v>36.729551019865291</v>
      </c>
      <c r="CK110" s="258">
        <v>36.055580347990848</v>
      </c>
      <c r="CL110" s="258">
        <v>39.547273719287709</v>
      </c>
      <c r="CM110" s="258">
        <v>40.385891412619564</v>
      </c>
      <c r="CN110" s="258">
        <v>37.808880743155065</v>
      </c>
      <c r="CO110" s="258">
        <v>39.96024705305819</v>
      </c>
      <c r="CP110" s="258">
        <v>41.526745464511826</v>
      </c>
      <c r="CQ110" s="258">
        <v>38.596076689978268</v>
      </c>
      <c r="CR110" s="258">
        <v>40.366432566544944</v>
      </c>
      <c r="CS110" s="259">
        <v>41.773679638419097</v>
      </c>
    </row>
    <row r="112" spans="1:97" s="194" customFormat="1" x14ac:dyDescent="0.25">
      <c r="A112" s="72"/>
      <c r="B112" s="72">
        <v>1</v>
      </c>
      <c r="C112" s="190">
        <v>2</v>
      </c>
      <c r="D112" s="190">
        <v>3</v>
      </c>
      <c r="E112" s="190">
        <v>4</v>
      </c>
      <c r="F112" s="190">
        <v>5</v>
      </c>
      <c r="G112" s="190">
        <v>6</v>
      </c>
      <c r="H112" s="190">
        <v>7</v>
      </c>
      <c r="I112" s="190">
        <v>8</v>
      </c>
      <c r="J112" s="190">
        <v>9</v>
      </c>
      <c r="K112" s="190">
        <v>10</v>
      </c>
      <c r="L112" s="190">
        <v>11</v>
      </c>
      <c r="M112" s="191">
        <v>12</v>
      </c>
      <c r="N112" s="193">
        <v>13</v>
      </c>
      <c r="O112" s="193">
        <v>14</v>
      </c>
      <c r="P112" s="193">
        <v>15</v>
      </c>
      <c r="Q112" s="193">
        <v>16</v>
      </c>
      <c r="R112" s="193">
        <v>17</v>
      </c>
      <c r="S112" s="193">
        <v>18</v>
      </c>
      <c r="T112" s="193">
        <v>19</v>
      </c>
      <c r="U112" s="193">
        <v>20</v>
      </c>
      <c r="V112" s="190">
        <v>21</v>
      </c>
      <c r="W112" s="190">
        <v>22</v>
      </c>
      <c r="X112" s="190">
        <v>23</v>
      </c>
      <c r="Y112" s="191">
        <v>24</v>
      </c>
      <c r="Z112" s="190">
        <v>25</v>
      </c>
      <c r="AA112" s="190">
        <v>26</v>
      </c>
      <c r="AB112" s="190">
        <v>27</v>
      </c>
      <c r="AC112" s="190">
        <v>28</v>
      </c>
      <c r="AD112" s="190">
        <v>29</v>
      </c>
      <c r="AE112" s="190">
        <v>30</v>
      </c>
      <c r="AF112" s="190">
        <v>31</v>
      </c>
      <c r="AG112" s="190">
        <v>32</v>
      </c>
      <c r="AH112" s="190">
        <v>33</v>
      </c>
      <c r="AI112" s="190">
        <v>34</v>
      </c>
      <c r="AJ112" s="190">
        <v>35</v>
      </c>
      <c r="AK112" s="191">
        <v>36</v>
      </c>
      <c r="AL112" s="190">
        <v>37</v>
      </c>
      <c r="AM112" s="190">
        <v>38</v>
      </c>
      <c r="AN112" s="190">
        <v>39</v>
      </c>
      <c r="AO112" s="190">
        <v>40</v>
      </c>
      <c r="AP112" s="190">
        <v>41</v>
      </c>
      <c r="AQ112" s="190">
        <v>42</v>
      </c>
      <c r="AR112" s="190">
        <v>43</v>
      </c>
      <c r="AS112" s="190">
        <v>44</v>
      </c>
      <c r="AT112" s="190">
        <v>45</v>
      </c>
      <c r="AU112" s="190">
        <v>46</v>
      </c>
      <c r="AV112" s="190">
        <v>47</v>
      </c>
      <c r="AW112" s="191">
        <v>48</v>
      </c>
      <c r="AX112" s="190">
        <v>49</v>
      </c>
      <c r="AY112" s="190">
        <v>50</v>
      </c>
      <c r="AZ112" s="190">
        <v>51</v>
      </c>
      <c r="BA112" s="190">
        <v>52</v>
      </c>
      <c r="BB112" s="190">
        <v>53</v>
      </c>
      <c r="BC112" s="190">
        <v>54</v>
      </c>
      <c r="BD112" s="190">
        <v>55</v>
      </c>
      <c r="BE112" s="190">
        <v>56</v>
      </c>
      <c r="BF112" s="190">
        <v>57</v>
      </c>
      <c r="BG112" s="190">
        <v>58</v>
      </c>
      <c r="BH112" s="190">
        <v>59</v>
      </c>
      <c r="BI112" s="191">
        <v>60</v>
      </c>
      <c r="BJ112" s="190">
        <v>61</v>
      </c>
      <c r="BK112" s="190">
        <v>62</v>
      </c>
      <c r="BL112" s="190">
        <v>63</v>
      </c>
      <c r="BM112" s="190">
        <v>64</v>
      </c>
      <c r="BN112" s="190">
        <v>65</v>
      </c>
      <c r="BO112" s="190">
        <v>66</v>
      </c>
      <c r="BP112" s="190">
        <v>67</v>
      </c>
      <c r="BQ112" s="190">
        <v>68</v>
      </c>
      <c r="BR112" s="190">
        <v>69</v>
      </c>
      <c r="BS112" s="190">
        <v>70</v>
      </c>
      <c r="BT112" s="190">
        <v>71</v>
      </c>
      <c r="BU112" s="191">
        <v>72</v>
      </c>
      <c r="BV112" s="190">
        <v>73</v>
      </c>
      <c r="BW112" s="190">
        <v>74</v>
      </c>
      <c r="BX112" s="190">
        <v>75</v>
      </c>
      <c r="BY112" s="190">
        <v>76</v>
      </c>
      <c r="BZ112" s="190">
        <v>77</v>
      </c>
      <c r="CA112" s="190">
        <v>78</v>
      </c>
      <c r="CB112" s="190">
        <v>79</v>
      </c>
      <c r="CC112" s="190">
        <v>80</v>
      </c>
      <c r="CD112" s="190">
        <v>81</v>
      </c>
      <c r="CE112" s="190">
        <v>82</v>
      </c>
      <c r="CF112" s="190">
        <v>83</v>
      </c>
      <c r="CG112" s="191">
        <v>84</v>
      </c>
      <c r="CH112" s="190">
        <v>85</v>
      </c>
      <c r="CI112" s="190">
        <v>86</v>
      </c>
      <c r="CJ112" s="190">
        <v>87</v>
      </c>
      <c r="CK112" s="190">
        <v>88</v>
      </c>
      <c r="CL112" s="190">
        <v>89</v>
      </c>
      <c r="CM112" s="190">
        <v>90</v>
      </c>
      <c r="CN112" s="190">
        <v>91</v>
      </c>
      <c r="CO112" s="190">
        <v>92</v>
      </c>
      <c r="CP112" s="190">
        <v>93</v>
      </c>
      <c r="CQ112" s="190">
        <v>94</v>
      </c>
      <c r="CR112" s="190">
        <v>95</v>
      </c>
      <c r="CS112" s="191">
        <v>96</v>
      </c>
    </row>
    <row r="113" spans="1:97" s="261" customFormat="1" x14ac:dyDescent="0.25">
      <c r="A113" s="227" t="s">
        <v>207</v>
      </c>
      <c r="B113" s="228">
        <v>42005</v>
      </c>
      <c r="C113" s="228">
        <v>42036</v>
      </c>
      <c r="D113" s="228">
        <v>42064</v>
      </c>
      <c r="E113" s="228">
        <v>42095</v>
      </c>
      <c r="F113" s="228">
        <v>42125</v>
      </c>
      <c r="G113" s="228">
        <v>42156</v>
      </c>
      <c r="H113" s="228">
        <v>42186</v>
      </c>
      <c r="I113" s="228">
        <v>42217</v>
      </c>
      <c r="J113" s="228">
        <v>42248</v>
      </c>
      <c r="K113" s="228">
        <v>42278</v>
      </c>
      <c r="L113" s="228">
        <v>42309</v>
      </c>
      <c r="M113" s="229">
        <v>42339</v>
      </c>
      <c r="N113" s="230">
        <v>42370</v>
      </c>
      <c r="O113" s="230">
        <v>42401</v>
      </c>
      <c r="P113" s="230">
        <v>42430</v>
      </c>
      <c r="Q113" s="230">
        <v>42461</v>
      </c>
      <c r="R113" s="230">
        <v>42491</v>
      </c>
      <c r="S113" s="230">
        <v>42522</v>
      </c>
      <c r="T113" s="230">
        <v>42552</v>
      </c>
      <c r="U113" s="230">
        <v>42583</v>
      </c>
      <c r="V113" s="228">
        <v>42614</v>
      </c>
      <c r="W113" s="228">
        <v>42644</v>
      </c>
      <c r="X113" s="228">
        <v>42675</v>
      </c>
      <c r="Y113" s="229">
        <v>42705</v>
      </c>
      <c r="Z113" s="228">
        <v>42752</v>
      </c>
      <c r="AA113" s="228">
        <v>42783</v>
      </c>
      <c r="AB113" s="228">
        <v>42811</v>
      </c>
      <c r="AC113" s="228">
        <v>42842</v>
      </c>
      <c r="AD113" s="228">
        <v>42872</v>
      </c>
      <c r="AE113" s="228">
        <v>42903</v>
      </c>
      <c r="AF113" s="228">
        <v>42933</v>
      </c>
      <c r="AG113" s="228">
        <v>42964</v>
      </c>
      <c r="AH113" s="228">
        <v>42995</v>
      </c>
      <c r="AI113" s="228">
        <v>43025</v>
      </c>
      <c r="AJ113" s="228">
        <v>43056</v>
      </c>
      <c r="AK113" s="229">
        <v>43086</v>
      </c>
      <c r="AL113" s="228">
        <v>43118</v>
      </c>
      <c r="AM113" s="228">
        <v>43149</v>
      </c>
      <c r="AN113" s="228">
        <v>43177</v>
      </c>
      <c r="AO113" s="228">
        <v>43208</v>
      </c>
      <c r="AP113" s="228">
        <v>43238</v>
      </c>
      <c r="AQ113" s="228">
        <v>43269</v>
      </c>
      <c r="AR113" s="228">
        <v>43299</v>
      </c>
      <c r="AS113" s="228">
        <v>43330</v>
      </c>
      <c r="AT113" s="228">
        <v>43361</v>
      </c>
      <c r="AU113" s="228">
        <v>43391</v>
      </c>
      <c r="AV113" s="228">
        <v>43422</v>
      </c>
      <c r="AW113" s="229">
        <v>43452</v>
      </c>
      <c r="AX113" s="228">
        <v>43483</v>
      </c>
      <c r="AY113" s="228">
        <v>43514</v>
      </c>
      <c r="AZ113" s="228">
        <v>43542</v>
      </c>
      <c r="BA113" s="228">
        <v>43573</v>
      </c>
      <c r="BB113" s="228">
        <v>43603</v>
      </c>
      <c r="BC113" s="228">
        <v>43634</v>
      </c>
      <c r="BD113" s="228">
        <v>43664</v>
      </c>
      <c r="BE113" s="228">
        <v>43695</v>
      </c>
      <c r="BF113" s="228">
        <v>43726</v>
      </c>
      <c r="BG113" s="228">
        <v>43756</v>
      </c>
      <c r="BH113" s="228">
        <v>43787</v>
      </c>
      <c r="BI113" s="229">
        <v>43817</v>
      </c>
      <c r="BJ113" s="228">
        <v>43848</v>
      </c>
      <c r="BK113" s="228">
        <v>43879</v>
      </c>
      <c r="BL113" s="228">
        <v>43908</v>
      </c>
      <c r="BM113" s="228">
        <v>43939</v>
      </c>
      <c r="BN113" s="228">
        <v>43969</v>
      </c>
      <c r="BO113" s="228">
        <v>44000</v>
      </c>
      <c r="BP113" s="228">
        <v>44030</v>
      </c>
      <c r="BQ113" s="228">
        <v>44061</v>
      </c>
      <c r="BR113" s="228">
        <v>44092</v>
      </c>
      <c r="BS113" s="228">
        <v>44122</v>
      </c>
      <c r="BT113" s="228">
        <v>44153</v>
      </c>
      <c r="BU113" s="229">
        <v>44183</v>
      </c>
      <c r="BV113" s="228">
        <v>44214</v>
      </c>
      <c r="BW113" s="228">
        <v>44245</v>
      </c>
      <c r="BX113" s="228">
        <v>44273</v>
      </c>
      <c r="BY113" s="228">
        <v>44304</v>
      </c>
      <c r="BZ113" s="228">
        <v>44334</v>
      </c>
      <c r="CA113" s="228">
        <v>44365</v>
      </c>
      <c r="CB113" s="228">
        <v>44395</v>
      </c>
      <c r="CC113" s="228">
        <v>44426</v>
      </c>
      <c r="CD113" s="228">
        <v>44457</v>
      </c>
      <c r="CE113" s="228">
        <v>44487</v>
      </c>
      <c r="CF113" s="228">
        <v>44518</v>
      </c>
      <c r="CG113" s="229">
        <v>44548</v>
      </c>
      <c r="CH113" s="228">
        <v>44579</v>
      </c>
      <c r="CI113" s="228">
        <v>44610</v>
      </c>
      <c r="CJ113" s="228">
        <v>44638</v>
      </c>
      <c r="CK113" s="228">
        <v>44669</v>
      </c>
      <c r="CL113" s="228">
        <v>44699</v>
      </c>
      <c r="CM113" s="228">
        <v>44730</v>
      </c>
      <c r="CN113" s="228">
        <v>44760</v>
      </c>
      <c r="CO113" s="228">
        <v>44791</v>
      </c>
      <c r="CP113" s="228">
        <v>44822</v>
      </c>
      <c r="CQ113" s="228">
        <v>44852</v>
      </c>
      <c r="CR113" s="228">
        <v>44883</v>
      </c>
      <c r="CS113" s="229">
        <v>44913</v>
      </c>
    </row>
    <row r="114" spans="1:97" s="209" customFormat="1" x14ac:dyDescent="0.25">
      <c r="A114" s="209" t="s">
        <v>4</v>
      </c>
      <c r="B114" s="262">
        <v>39.474249999999998</v>
      </c>
      <c r="C114" s="211">
        <v>22.874491228070177</v>
      </c>
      <c r="D114" s="211">
        <v>82.768190476190469</v>
      </c>
      <c r="E114" s="211">
        <v>80.577164285714289</v>
      </c>
      <c r="F114" s="211">
        <v>45.539316901408455</v>
      </c>
      <c r="G114" s="211">
        <v>66.881197183098593</v>
      </c>
      <c r="H114" s="211">
        <v>99.296493421052631</v>
      </c>
      <c r="I114" s="211">
        <v>31.644802631578948</v>
      </c>
      <c r="J114" s="211">
        <v>88.019902597402591</v>
      </c>
      <c r="K114" s="211">
        <v>61.883493506493373</v>
      </c>
      <c r="L114" s="211">
        <v>66.295130136986302</v>
      </c>
      <c r="M114" s="212">
        <v>121.88768421052617</v>
      </c>
      <c r="N114" s="213">
        <v>19.227256410256409</v>
      </c>
      <c r="O114" s="213">
        <v>18.406422413792846</v>
      </c>
      <c r="P114" s="213">
        <v>37.421355932203305</v>
      </c>
      <c r="Q114" s="213">
        <v>56.870478632478637</v>
      </c>
      <c r="R114" s="213">
        <v>31.795125000000002</v>
      </c>
      <c r="S114" s="213">
        <v>34.815032710280377</v>
      </c>
      <c r="T114" s="213">
        <v>34.730929292929297</v>
      </c>
      <c r="U114" s="213">
        <v>27.964786458333332</v>
      </c>
      <c r="V114" s="211">
        <v>57.260000000000012</v>
      </c>
      <c r="W114" s="211">
        <v>47.258749999999999</v>
      </c>
      <c r="X114" s="211">
        <v>58.581250000000004</v>
      </c>
      <c r="Y114" s="212">
        <v>65.723593685138212</v>
      </c>
      <c r="Z114" s="211">
        <v>15.586551934552251</v>
      </c>
      <c r="AA114" s="211">
        <v>15.904765396765733</v>
      </c>
      <c r="AB114" s="211">
        <v>29.275772897373255</v>
      </c>
      <c r="AC114" s="211">
        <v>28.698903708184147</v>
      </c>
      <c r="AD114" s="211">
        <v>36.55772289911215</v>
      </c>
      <c r="AE114" s="211">
        <v>37.305040962200742</v>
      </c>
      <c r="AF114" s="211">
        <v>35.389350648671247</v>
      </c>
      <c r="AG114" s="211">
        <v>38.054872285540974</v>
      </c>
      <c r="AH114" s="211">
        <v>39.222036934619297</v>
      </c>
      <c r="AI114" s="211">
        <v>37.176717239613254</v>
      </c>
      <c r="AJ114" s="211">
        <v>39.609186423835155</v>
      </c>
      <c r="AK114" s="212">
        <v>40.410503875775198</v>
      </c>
      <c r="AL114" s="211">
        <v>17.404271213661339</v>
      </c>
      <c r="AM114" s="211">
        <v>17.638595918624507</v>
      </c>
      <c r="AN114" s="211">
        <v>30.820332383040476</v>
      </c>
      <c r="AO114" s="211">
        <v>31.055700210005934</v>
      </c>
      <c r="AP114" s="211">
        <v>38.810174924105993</v>
      </c>
      <c r="AQ114" s="211">
        <v>39.383190203014401</v>
      </c>
      <c r="AR114" s="211">
        <v>37.726008131258745</v>
      </c>
      <c r="AS114" s="211">
        <v>40.646944765340699</v>
      </c>
      <c r="AT114" s="211">
        <v>42.058141962130804</v>
      </c>
      <c r="AU114" s="211">
        <v>39.681561378412987</v>
      </c>
      <c r="AV114" s="211">
        <v>42.297706846049785</v>
      </c>
      <c r="AW114" s="212">
        <v>42.592469646205473</v>
      </c>
      <c r="AX114" s="211">
        <v>20.185814351270434</v>
      </c>
      <c r="AY114" s="211">
        <v>20.476699147322304</v>
      </c>
      <c r="AZ114" s="211">
        <v>36.672971070283729</v>
      </c>
      <c r="BA114" s="211">
        <v>36.232959541238415</v>
      </c>
      <c r="BB114" s="211">
        <v>44.916533455791281</v>
      </c>
      <c r="BC114" s="211">
        <v>45.528529326410577</v>
      </c>
      <c r="BD114" s="211">
        <v>43.565738541888813</v>
      </c>
      <c r="BE114" s="211">
        <v>47.001237329483587</v>
      </c>
      <c r="BF114" s="211">
        <v>48.744807574147025</v>
      </c>
      <c r="BG114" s="211">
        <v>45.960668224962745</v>
      </c>
      <c r="BH114" s="211">
        <v>49.002805399221444</v>
      </c>
      <c r="BI114" s="212">
        <v>50.454301680096485</v>
      </c>
      <c r="BJ114" s="211">
        <v>22.003664593987793</v>
      </c>
      <c r="BK114" s="211">
        <v>22.342753525868545</v>
      </c>
      <c r="BL114" s="211">
        <v>39.550574447704712</v>
      </c>
      <c r="BM114" s="211">
        <v>39.779448623896016</v>
      </c>
      <c r="BN114" s="211">
        <v>49.15894689523023</v>
      </c>
      <c r="BO114" s="211">
        <v>49.853721327309493</v>
      </c>
      <c r="BP114" s="211">
        <v>48.153055371067254</v>
      </c>
      <c r="BQ114" s="211">
        <v>51.97928802478625</v>
      </c>
      <c r="BR114" s="211">
        <v>54.681031555379576</v>
      </c>
      <c r="BS114" s="211">
        <v>51.549221247134732</v>
      </c>
      <c r="BT114" s="211">
        <v>54.964751322445373</v>
      </c>
      <c r="BU114" s="212">
        <v>56.616830419113334</v>
      </c>
      <c r="BV114" s="211">
        <v>24.651987451729237</v>
      </c>
      <c r="BW114" s="211">
        <v>25.048691325082785</v>
      </c>
      <c r="BX114" s="211">
        <v>43.986326783283232</v>
      </c>
      <c r="BY114" s="211">
        <v>44.38032837764807</v>
      </c>
      <c r="BZ114" s="211">
        <v>56.622815347624005</v>
      </c>
      <c r="CA114" s="211">
        <v>57.422333014773976</v>
      </c>
      <c r="CB114" s="211">
        <v>55.464123397709571</v>
      </c>
      <c r="CC114" s="211">
        <v>60.219826095979045</v>
      </c>
      <c r="CD114" s="211">
        <v>63.367606460365039</v>
      </c>
      <c r="CE114" s="211">
        <v>59.732347363536107</v>
      </c>
      <c r="CF114" s="211">
        <v>63.884627784017646</v>
      </c>
      <c r="CG114" s="212">
        <v>66.863975274986331</v>
      </c>
      <c r="CH114" s="211">
        <v>28.005057183980533</v>
      </c>
      <c r="CI114" s="211">
        <v>28.465282004069774</v>
      </c>
      <c r="CJ114" s="211">
        <v>49.784508588864618</v>
      </c>
      <c r="CK114" s="211">
        <v>50.310400529825422</v>
      </c>
      <c r="CL114" s="211">
        <v>64.07639224786746</v>
      </c>
      <c r="CM114" s="211">
        <v>64.996677866234037</v>
      </c>
      <c r="CN114" s="211">
        <v>62.766728453948552</v>
      </c>
      <c r="CO114" s="211">
        <v>68.173306081268734</v>
      </c>
      <c r="CP114" s="211">
        <v>71.762722082256076</v>
      </c>
      <c r="CQ114" s="211">
        <v>68.057524550038409</v>
      </c>
      <c r="CR114" s="211">
        <v>73.792995220587329</v>
      </c>
      <c r="CS114" s="212">
        <v>77.278842184017719</v>
      </c>
    </row>
    <row r="115" spans="1:97" s="209" customFormat="1" x14ac:dyDescent="0.25">
      <c r="A115" s="209" t="s">
        <v>5</v>
      </c>
      <c r="B115" s="263">
        <v>5.1037096774193556</v>
      </c>
      <c r="C115" s="211">
        <v>5.382232227488152</v>
      </c>
      <c r="D115" s="211">
        <v>6.4126957964601772</v>
      </c>
      <c r="E115" s="211">
        <v>8.5163051724137944</v>
      </c>
      <c r="F115" s="211">
        <v>6.8800053191489363</v>
      </c>
      <c r="G115" s="211">
        <v>7.8684083665338642</v>
      </c>
      <c r="H115" s="211">
        <v>9.1397369477911639</v>
      </c>
      <c r="I115" s="211">
        <v>6.0831946721311478</v>
      </c>
      <c r="J115" s="211">
        <v>11.184959930313587</v>
      </c>
      <c r="K115" s="211">
        <v>8.2988318965517252</v>
      </c>
      <c r="L115" s="211">
        <v>11.185387577639789</v>
      </c>
      <c r="M115" s="212">
        <v>15.102341216216216</v>
      </c>
      <c r="N115" s="213">
        <v>6.6743853658536585</v>
      </c>
      <c r="O115" s="213">
        <v>5.6163061224489796</v>
      </c>
      <c r="P115" s="213">
        <v>13.372370424597367</v>
      </c>
      <c r="Q115" s="213">
        <v>13.667161467889926</v>
      </c>
      <c r="R115" s="213">
        <v>8.1751363636363639</v>
      </c>
      <c r="S115" s="213">
        <v>9.744453076923131</v>
      </c>
      <c r="T115" s="213">
        <v>7.1076933045356485</v>
      </c>
      <c r="U115" s="213">
        <v>7.5871444866920337</v>
      </c>
      <c r="V115" s="211">
        <v>11.426820014509373</v>
      </c>
      <c r="W115" s="211">
        <v>10.369036346112637</v>
      </c>
      <c r="X115" s="211">
        <v>10.970960868096725</v>
      </c>
      <c r="Y115" s="212">
        <v>11.78053358874868</v>
      </c>
      <c r="Z115" s="211">
        <v>2.836328669995277</v>
      </c>
      <c r="AA115" s="211">
        <v>2.6111152652580154</v>
      </c>
      <c r="AB115" s="211">
        <v>6.6714025647987905</v>
      </c>
      <c r="AC115" s="211">
        <v>6.5309332271986191</v>
      </c>
      <c r="AD115" s="211">
        <v>7.4014771132874113</v>
      </c>
      <c r="AE115" s="211">
        <v>7.6445918418733267</v>
      </c>
      <c r="AF115" s="211">
        <v>7.1608646189955181</v>
      </c>
      <c r="AG115" s="211">
        <v>7.6211270262661817</v>
      </c>
      <c r="AH115" s="211">
        <v>8.0226281562866575</v>
      </c>
      <c r="AI115" s="211">
        <v>7.4735846337663645</v>
      </c>
      <c r="AJ115" s="211">
        <v>7.8463654382671271</v>
      </c>
      <c r="AK115" s="212">
        <v>8.255942305673015</v>
      </c>
      <c r="AL115" s="211">
        <v>3.0379908984074797</v>
      </c>
      <c r="AM115" s="211">
        <v>2.7694256066794516</v>
      </c>
      <c r="AN115" s="211">
        <v>6.8480428156959805</v>
      </c>
      <c r="AO115" s="211">
        <v>6.8645518968287709</v>
      </c>
      <c r="AP115" s="211">
        <v>7.7108236651091779</v>
      </c>
      <c r="AQ115" s="211">
        <v>8.0391410962636165</v>
      </c>
      <c r="AR115" s="211">
        <v>7.6516965838250792</v>
      </c>
      <c r="AS115" s="211">
        <v>8.1095143172944137</v>
      </c>
      <c r="AT115" s="211">
        <v>8.5401366110675543</v>
      </c>
      <c r="AU115" s="211">
        <v>8.0430241831654516</v>
      </c>
      <c r="AV115" s="211">
        <v>8.4073130697223331</v>
      </c>
      <c r="AW115" s="212">
        <v>8.812667878662042</v>
      </c>
      <c r="AX115" s="211">
        <v>3.4042209667036061</v>
      </c>
      <c r="AY115" s="211">
        <v>3.0898052344780624</v>
      </c>
      <c r="AZ115" s="211">
        <v>8.0516094510853531</v>
      </c>
      <c r="BA115" s="211">
        <v>7.8517784864975031</v>
      </c>
      <c r="BB115" s="211">
        <v>8.859415975647055</v>
      </c>
      <c r="BC115" s="211">
        <v>9.1794127537591645</v>
      </c>
      <c r="BD115" s="211">
        <v>8.6392303076398562</v>
      </c>
      <c r="BE115" s="211">
        <v>9.2537482640031072</v>
      </c>
      <c r="BF115" s="211">
        <v>9.7483216950183422</v>
      </c>
      <c r="BG115" s="211">
        <v>9.097186484693168</v>
      </c>
      <c r="BH115" s="211">
        <v>9.5930508116422004</v>
      </c>
      <c r="BI115" s="212">
        <v>10.107570337968745</v>
      </c>
      <c r="BJ115" s="211">
        <v>3.6950103126710085</v>
      </c>
      <c r="BK115" s="211">
        <v>3.3542974787335296</v>
      </c>
      <c r="BL115" s="211">
        <v>8.7307318247061634</v>
      </c>
      <c r="BM115" s="211">
        <v>8.5870200830993308</v>
      </c>
      <c r="BN115" s="211">
        <v>9.6906355555298145</v>
      </c>
      <c r="BO115" s="211">
        <v>10.010133251524124</v>
      </c>
      <c r="BP115" s="211">
        <v>9.5383330539905415</v>
      </c>
      <c r="BQ115" s="211">
        <v>10.215008494162619</v>
      </c>
      <c r="BR115" s="211">
        <v>10.819329635495766</v>
      </c>
      <c r="BS115" s="211">
        <v>10.11868117747262</v>
      </c>
      <c r="BT115" s="211">
        <v>10.669093560223153</v>
      </c>
      <c r="BU115" s="212">
        <v>11.213706260332852</v>
      </c>
      <c r="BV115" s="211">
        <v>4.2042835783272361</v>
      </c>
      <c r="BW115" s="211">
        <v>3.8196279418571666</v>
      </c>
      <c r="BX115" s="211">
        <v>9.9395084606010435</v>
      </c>
      <c r="BY115" s="211">
        <v>9.7686097467622393</v>
      </c>
      <c r="BZ115" s="211">
        <v>11.030096651278424</v>
      </c>
      <c r="CA115" s="211">
        <v>11.392575135561664</v>
      </c>
      <c r="CB115" s="211">
        <v>10.857077915219298</v>
      </c>
      <c r="CC115" s="211">
        <v>11.757084397228432</v>
      </c>
      <c r="CD115" s="211">
        <v>12.452428640456734</v>
      </c>
      <c r="CE115" s="211">
        <v>11.645172134090364</v>
      </c>
      <c r="CF115" s="211">
        <v>12.347316515729659</v>
      </c>
      <c r="CG115" s="212">
        <v>12.978940188016193</v>
      </c>
      <c r="CH115" s="211">
        <v>4.7499905964850306</v>
      </c>
      <c r="CI115" s="211">
        <v>4.3133745528882397</v>
      </c>
      <c r="CJ115" s="211">
        <v>11.221670874779505</v>
      </c>
      <c r="CK115" s="211">
        <v>11.032992113455355</v>
      </c>
      <c r="CL115" s="211">
        <v>12.455433340265547</v>
      </c>
      <c r="CM115" s="211">
        <v>12.866917129501998</v>
      </c>
      <c r="CN115" s="211">
        <v>12.260496918671556</v>
      </c>
      <c r="CO115" s="211">
        <v>13.27782401854626</v>
      </c>
      <c r="CP115" s="211">
        <v>14.065298567484289</v>
      </c>
      <c r="CQ115" s="211">
        <v>13.302483627380584</v>
      </c>
      <c r="CR115" s="211">
        <v>14.224492415602755</v>
      </c>
      <c r="CS115" s="212">
        <v>14.955070383836581</v>
      </c>
    </row>
    <row r="116" spans="1:97" s="209" customFormat="1" x14ac:dyDescent="0.25">
      <c r="A116" s="209" t="s">
        <v>6</v>
      </c>
      <c r="B116" s="263">
        <v>4.504714987714987</v>
      </c>
      <c r="C116" s="211">
        <v>4.2728518518518497</v>
      </c>
      <c r="D116" s="211">
        <v>10.346745192307692</v>
      </c>
      <c r="E116" s="211">
        <v>7.2291336302895317</v>
      </c>
      <c r="F116" s="211">
        <v>6.1493845470692721</v>
      </c>
      <c r="G116" s="211">
        <v>8.1081334841628969</v>
      </c>
      <c r="H116" s="211">
        <v>7.468515527950311</v>
      </c>
      <c r="I116" s="211">
        <v>5.2079387755102049</v>
      </c>
      <c r="J116" s="211">
        <v>9.8312097457627114</v>
      </c>
      <c r="K116" s="211">
        <v>8.2759753086419749</v>
      </c>
      <c r="L116" s="211">
        <v>6.786904867256637</v>
      </c>
      <c r="M116" s="212">
        <v>11.431095730918512</v>
      </c>
      <c r="N116" s="213">
        <v>3.2068949152542339</v>
      </c>
      <c r="O116" s="213">
        <v>5.1790731707317077</v>
      </c>
      <c r="P116" s="213">
        <v>8.2532447916666669</v>
      </c>
      <c r="Q116" s="213">
        <v>5.8262396449704141</v>
      </c>
      <c r="R116" s="213">
        <v>6.7423841911764706</v>
      </c>
      <c r="S116" s="213">
        <v>8.7553107191316162</v>
      </c>
      <c r="T116" s="213">
        <v>4.1495806201550387</v>
      </c>
      <c r="U116" s="213">
        <v>4.3528763676148801</v>
      </c>
      <c r="V116" s="211">
        <v>7.1666615969581757</v>
      </c>
      <c r="W116" s="211">
        <v>6.5763882246973751</v>
      </c>
      <c r="X116" s="211">
        <v>7.1692145403469656</v>
      </c>
      <c r="Y116" s="212">
        <v>8.4900105832370407</v>
      </c>
      <c r="Z116" s="211">
        <v>2.2714006655313166</v>
      </c>
      <c r="AA116" s="211">
        <v>2.6993724589265931</v>
      </c>
      <c r="AB116" s="211">
        <v>5.6299903866731089</v>
      </c>
      <c r="AC116" s="211">
        <v>5.0146653084787163</v>
      </c>
      <c r="AD116" s="211">
        <v>5.3480606798360073</v>
      </c>
      <c r="AE116" s="211">
        <v>5.5338331967502157</v>
      </c>
      <c r="AF116" s="211">
        <v>5.1156292885054064</v>
      </c>
      <c r="AG116" s="211">
        <v>5.5172415076459549</v>
      </c>
      <c r="AH116" s="211">
        <v>5.7433413036547423</v>
      </c>
      <c r="AI116" s="211">
        <v>5.3873378973322215</v>
      </c>
      <c r="AJ116" s="211">
        <v>5.7019106358944303</v>
      </c>
      <c r="AK116" s="212">
        <v>5.9112695790352143</v>
      </c>
      <c r="AL116" s="211">
        <v>2.5129853088230494</v>
      </c>
      <c r="AM116" s="211">
        <v>2.9295946376749673</v>
      </c>
      <c r="AN116" s="211">
        <v>5.7259740205779686</v>
      </c>
      <c r="AO116" s="211">
        <v>5.1680752927600322</v>
      </c>
      <c r="AP116" s="211">
        <v>5.6584612048562821</v>
      </c>
      <c r="AQ116" s="211">
        <v>5.7589580412214669</v>
      </c>
      <c r="AR116" s="211">
        <v>5.51936908004879</v>
      </c>
      <c r="AS116" s="211">
        <v>5.9626819190713016</v>
      </c>
      <c r="AT116" s="211">
        <v>6.1077410562615224</v>
      </c>
      <c r="AU116" s="211">
        <v>5.7885698156735659</v>
      </c>
      <c r="AV116" s="211">
        <v>6.1716978884671212</v>
      </c>
      <c r="AW116" s="212">
        <v>6.3294650465364999</v>
      </c>
      <c r="AX116" s="211">
        <v>2.8957139977387567</v>
      </c>
      <c r="AY116" s="211">
        <v>3.2695612009711734</v>
      </c>
      <c r="AZ116" s="211">
        <v>6.6224805095690771</v>
      </c>
      <c r="BA116" s="211">
        <v>5.9601095297791487</v>
      </c>
      <c r="BB116" s="211">
        <v>6.3515161246912148</v>
      </c>
      <c r="BC116" s="211">
        <v>6.5533441844757636</v>
      </c>
      <c r="BD116" s="211">
        <v>6.2430672877377953</v>
      </c>
      <c r="BE116" s="211">
        <v>6.6384754765959091</v>
      </c>
      <c r="BF116" s="211">
        <v>6.9385990006663194</v>
      </c>
      <c r="BG116" s="211">
        <v>6.5421498414894304</v>
      </c>
      <c r="BH116" s="211">
        <v>6.8715360817373616</v>
      </c>
      <c r="BI116" s="212">
        <v>7.1864649990291865</v>
      </c>
      <c r="BJ116" s="211">
        <v>3.1003488278376587</v>
      </c>
      <c r="BK116" s="211">
        <v>3.549631882700345</v>
      </c>
      <c r="BL116" s="211">
        <v>7.1913711355499554</v>
      </c>
      <c r="BM116" s="211">
        <v>6.5241902038650963</v>
      </c>
      <c r="BN116" s="211">
        <v>6.9516527047824788</v>
      </c>
      <c r="BO116" s="211">
        <v>7.1707433123495612</v>
      </c>
      <c r="BP116" s="211">
        <v>6.8591262077171304</v>
      </c>
      <c r="BQ116" s="211">
        <v>7.3303708762058468</v>
      </c>
      <c r="BR116" s="211">
        <v>7.7291827314902877</v>
      </c>
      <c r="BS116" s="211">
        <v>7.2479074795132883</v>
      </c>
      <c r="BT116" s="211">
        <v>7.6470888851148535</v>
      </c>
      <c r="BU116" s="212">
        <v>7.99436915295475</v>
      </c>
      <c r="BV116" s="211">
        <v>3.506651089187836</v>
      </c>
      <c r="BW116" s="211">
        <v>4.0416653853451976</v>
      </c>
      <c r="BX116" s="211">
        <v>8.1976419823986042</v>
      </c>
      <c r="BY116" s="211">
        <v>7.4335316143219758</v>
      </c>
      <c r="BZ116" s="211">
        <v>7.919553130624311</v>
      </c>
      <c r="CA116" s="211">
        <v>8.1682480485314262</v>
      </c>
      <c r="CB116" s="211">
        <v>7.816243074134551</v>
      </c>
      <c r="CC116" s="211">
        <v>8.438221390935869</v>
      </c>
      <c r="CD116" s="211">
        <v>8.8973332146084676</v>
      </c>
      <c r="CE116" s="211">
        <v>8.3439935896638566</v>
      </c>
      <c r="CF116" s="211">
        <v>8.8479827633623849</v>
      </c>
      <c r="CG116" s="212">
        <v>9.2507624048517645</v>
      </c>
      <c r="CH116" s="211">
        <v>3.95575455400457</v>
      </c>
      <c r="CI116" s="211">
        <v>4.5641171787571473</v>
      </c>
      <c r="CJ116" s="211">
        <v>9.2507321334620141</v>
      </c>
      <c r="CK116" s="211">
        <v>8.3881195256666263</v>
      </c>
      <c r="CL116" s="211">
        <v>8.9375219204422454</v>
      </c>
      <c r="CM116" s="211">
        <v>9.2199758575494446</v>
      </c>
      <c r="CN116" s="211">
        <v>8.8222357748914551</v>
      </c>
      <c r="CO116" s="211">
        <v>9.5248138306550718</v>
      </c>
      <c r="CP116" s="211">
        <v>10.044674129666499</v>
      </c>
      <c r="CQ116" s="211">
        <v>9.5178956849450866</v>
      </c>
      <c r="CR116" s="211">
        <v>10.188391037193544</v>
      </c>
      <c r="CS116" s="212">
        <v>10.654317618432653</v>
      </c>
    </row>
    <row r="117" spans="1:97" s="209" customFormat="1" x14ac:dyDescent="0.25">
      <c r="A117" s="209" t="s">
        <v>7</v>
      </c>
      <c r="B117" s="263">
        <v>3.7722345679012346</v>
      </c>
      <c r="C117" s="211">
        <v>2.6303519480519482</v>
      </c>
      <c r="D117" s="211">
        <v>4.9853810709838102</v>
      </c>
      <c r="E117" s="211">
        <v>3.6984469820554651</v>
      </c>
      <c r="F117" s="211">
        <v>4.705234521575985</v>
      </c>
      <c r="G117" s="211">
        <v>7.0876059479553781</v>
      </c>
      <c r="H117" s="211">
        <v>5.6533048192771087</v>
      </c>
      <c r="I117" s="211">
        <v>3.121442563482467</v>
      </c>
      <c r="J117" s="211">
        <v>6.7265980861244019</v>
      </c>
      <c r="K117" s="211">
        <v>5.5134363207547175</v>
      </c>
      <c r="L117" s="211">
        <v>8.2793671444321948</v>
      </c>
      <c r="M117" s="212">
        <v>8.9216223150357994</v>
      </c>
      <c r="N117" s="213">
        <v>2.1414637946837765</v>
      </c>
      <c r="O117" s="213">
        <v>2.7523755036261082</v>
      </c>
      <c r="P117" s="213">
        <v>7.2335261669024042</v>
      </c>
      <c r="Q117" s="213">
        <v>5.7655837837837813</v>
      </c>
      <c r="R117" s="213">
        <v>5.5292573891625612</v>
      </c>
      <c r="S117" s="213">
        <v>5.8783703374777971</v>
      </c>
      <c r="T117" s="213">
        <v>4.4623783783783786</v>
      </c>
      <c r="U117" s="213">
        <v>3.174445846477397</v>
      </c>
      <c r="V117" s="211">
        <v>7.2444060475161978</v>
      </c>
      <c r="W117" s="211">
        <v>5.3296083650190109</v>
      </c>
      <c r="X117" s="211">
        <v>6.1832380913032221</v>
      </c>
      <c r="Y117" s="212">
        <v>7.4875078817719771</v>
      </c>
      <c r="Z117" s="211">
        <v>1.9430928212886946</v>
      </c>
      <c r="AA117" s="211">
        <v>2.0346707510100686</v>
      </c>
      <c r="AB117" s="211">
        <v>5.1059089578109029</v>
      </c>
      <c r="AC117" s="211">
        <v>5.124925780237815</v>
      </c>
      <c r="AD117" s="211">
        <v>5.3724001047019945</v>
      </c>
      <c r="AE117" s="211">
        <v>5.5349128085815877</v>
      </c>
      <c r="AF117" s="211">
        <v>5.1614246701938109</v>
      </c>
      <c r="AG117" s="211">
        <v>5.4523713293434763</v>
      </c>
      <c r="AH117" s="211">
        <v>5.7441743695329839</v>
      </c>
      <c r="AI117" s="211">
        <v>5.3450720704454353</v>
      </c>
      <c r="AJ117" s="211">
        <v>5.6926316632677532</v>
      </c>
      <c r="AK117" s="212">
        <v>5.9333419156784419</v>
      </c>
      <c r="AL117" s="211">
        <v>2.2320400816169901</v>
      </c>
      <c r="AM117" s="211">
        <v>2.3230888379169969</v>
      </c>
      <c r="AN117" s="211">
        <v>5.299016715725295</v>
      </c>
      <c r="AO117" s="211">
        <v>5.3853233990279099</v>
      </c>
      <c r="AP117" s="211">
        <v>5.6198220265433516</v>
      </c>
      <c r="AQ117" s="211">
        <v>5.9575053935590025</v>
      </c>
      <c r="AR117" s="211">
        <v>5.5636633451676154</v>
      </c>
      <c r="AS117" s="211">
        <v>6.0286336513736662</v>
      </c>
      <c r="AT117" s="211">
        <v>6.3099296611022284</v>
      </c>
      <c r="AU117" s="211">
        <v>5.8296873850907867</v>
      </c>
      <c r="AV117" s="211">
        <v>6.2441993532594813</v>
      </c>
      <c r="AW117" s="212">
        <v>6.5320770928828047</v>
      </c>
      <c r="AX117" s="211">
        <v>2.5793961203170404</v>
      </c>
      <c r="AY117" s="211">
        <v>2.6643152299312982</v>
      </c>
      <c r="AZ117" s="211">
        <v>6.0750168158365501</v>
      </c>
      <c r="BA117" s="211">
        <v>6.1026410481488966</v>
      </c>
      <c r="BB117" s="211">
        <v>6.4508181529452475</v>
      </c>
      <c r="BC117" s="211">
        <v>6.6693425054069557</v>
      </c>
      <c r="BD117" s="211">
        <v>6.318794558199655</v>
      </c>
      <c r="BE117" s="211">
        <v>6.8133729400661931</v>
      </c>
      <c r="BF117" s="211">
        <v>7.0485945301653814</v>
      </c>
      <c r="BG117" s="211">
        <v>6.6114680226122688</v>
      </c>
      <c r="BH117" s="211">
        <v>7.0483700628629737</v>
      </c>
      <c r="BI117" s="212">
        <v>7.2986737747353381</v>
      </c>
      <c r="BJ117" s="211">
        <v>2.7429609479237573</v>
      </c>
      <c r="BK117" s="211">
        <v>2.8595380667346362</v>
      </c>
      <c r="BL117" s="211">
        <v>6.6003593390825204</v>
      </c>
      <c r="BM117" s="211">
        <v>6.6934351617524568</v>
      </c>
      <c r="BN117" s="211">
        <v>7.0612973660855678</v>
      </c>
      <c r="BO117" s="211">
        <v>7.2990127987574418</v>
      </c>
      <c r="BP117" s="211">
        <v>6.9836178580987678</v>
      </c>
      <c r="BQ117" s="211">
        <v>7.4841016513158101</v>
      </c>
      <c r="BR117" s="211">
        <v>7.8545561912563153</v>
      </c>
      <c r="BS117" s="211">
        <v>7.366390203426489</v>
      </c>
      <c r="BT117" s="211">
        <v>7.806984466427509</v>
      </c>
      <c r="BU117" s="212">
        <v>8.121477864709659</v>
      </c>
      <c r="BV117" s="211">
        <v>3.1250945544113247</v>
      </c>
      <c r="BW117" s="211">
        <v>3.2371107549896951</v>
      </c>
      <c r="BX117" s="211">
        <v>7.5329514090830507</v>
      </c>
      <c r="BY117" s="211">
        <v>7.630725041966941</v>
      </c>
      <c r="BZ117" s="211">
        <v>8.0454133797073162</v>
      </c>
      <c r="CA117" s="211">
        <v>8.3142308540698746</v>
      </c>
      <c r="CB117" s="211">
        <v>7.957694734459456</v>
      </c>
      <c r="CC117" s="211">
        <v>8.6148842160851959</v>
      </c>
      <c r="CD117" s="211">
        <v>9.0413910993671109</v>
      </c>
      <c r="CE117" s="211">
        <v>8.4801312002229121</v>
      </c>
      <c r="CF117" s="211">
        <v>9.0329742267002757</v>
      </c>
      <c r="CG117" s="212">
        <v>9.3973113276058839</v>
      </c>
      <c r="CH117" s="211">
        <v>3.5253078066181249</v>
      </c>
      <c r="CI117" s="211">
        <v>3.6529296439150958</v>
      </c>
      <c r="CJ117" s="211">
        <v>8.4931438974878137</v>
      </c>
      <c r="CK117" s="211">
        <v>8.6104591184652275</v>
      </c>
      <c r="CL117" s="211">
        <v>9.0786390894319613</v>
      </c>
      <c r="CM117" s="211">
        <v>9.3835837445005374</v>
      </c>
      <c r="CN117" s="211">
        <v>8.98075808167121</v>
      </c>
      <c r="CO117" s="211">
        <v>9.723653492855405</v>
      </c>
      <c r="CP117" s="211">
        <v>10.206332665877232</v>
      </c>
      <c r="CQ117" s="211">
        <v>9.671410110576927</v>
      </c>
      <c r="CR117" s="211">
        <v>10.401145683142486</v>
      </c>
      <c r="CS117" s="212">
        <v>10.82207599382369</v>
      </c>
    </row>
    <row r="118" spans="1:97" s="209" customFormat="1" x14ac:dyDescent="0.25">
      <c r="A118" s="209" t="s">
        <v>8</v>
      </c>
      <c r="B118" s="263">
        <v>1.76103550295858</v>
      </c>
      <c r="C118" s="211">
        <v>2.2333424657534247</v>
      </c>
      <c r="D118" s="211">
        <v>4.5088146258503405</v>
      </c>
      <c r="E118" s="211">
        <v>6.0019681335356605</v>
      </c>
      <c r="F118" s="211">
        <v>4.6688757485029946</v>
      </c>
      <c r="G118" s="211">
        <v>5.7921955645161294</v>
      </c>
      <c r="H118" s="211">
        <v>7.3826895491803279</v>
      </c>
      <c r="I118" s="211">
        <v>4.6252401263823062</v>
      </c>
      <c r="J118" s="211">
        <v>6.6746568213783259</v>
      </c>
      <c r="K118" s="211">
        <v>4.8882666240409209</v>
      </c>
      <c r="L118" s="211">
        <v>8.0814903314917128</v>
      </c>
      <c r="M118" s="212">
        <v>11.480174149659863</v>
      </c>
      <c r="N118" s="213">
        <v>2.2203143176733784</v>
      </c>
      <c r="O118" s="213">
        <v>1.9430244716351501</v>
      </c>
      <c r="P118" s="213">
        <v>4.9806190476190473</v>
      </c>
      <c r="Q118" s="213">
        <v>5.1223339432753878</v>
      </c>
      <c r="R118" s="213">
        <v>3.1697013815090331</v>
      </c>
      <c r="S118" s="213">
        <v>4.7216449912126537</v>
      </c>
      <c r="T118" s="213">
        <v>3.6038657534246576</v>
      </c>
      <c r="U118" s="213">
        <v>4.0684022633744856</v>
      </c>
      <c r="V118" s="211">
        <v>4.6911666137734063</v>
      </c>
      <c r="W118" s="211">
        <v>3.5884203657839593</v>
      </c>
      <c r="X118" s="211">
        <v>4.168392281258261</v>
      </c>
      <c r="Y118" s="212">
        <v>5.4903635536292379</v>
      </c>
      <c r="Z118" s="211">
        <v>1.5534444684854514</v>
      </c>
      <c r="AA118" s="211">
        <v>1.5721466750387063</v>
      </c>
      <c r="AB118" s="211">
        <v>3.9039249513790262</v>
      </c>
      <c r="AC118" s="211">
        <v>3.7367315140141559</v>
      </c>
      <c r="AD118" s="211">
        <v>3.9120409389952258</v>
      </c>
      <c r="AE118" s="211">
        <v>4.0681129083127576</v>
      </c>
      <c r="AF118" s="211">
        <v>3.7726696455141573</v>
      </c>
      <c r="AG118" s="211">
        <v>3.9947429204941862</v>
      </c>
      <c r="AH118" s="211">
        <v>4.1576882151314152</v>
      </c>
      <c r="AI118" s="211">
        <v>3.8918587623963727</v>
      </c>
      <c r="AJ118" s="211">
        <v>4.0882133647114376</v>
      </c>
      <c r="AK118" s="212">
        <v>4.3160454634128937</v>
      </c>
      <c r="AL118" s="211">
        <v>1.8672809861326789</v>
      </c>
      <c r="AM118" s="211">
        <v>1.8406394111996063</v>
      </c>
      <c r="AN118" s="211">
        <v>4.203934138531225</v>
      </c>
      <c r="AO118" s="211">
        <v>4.0451479513043918</v>
      </c>
      <c r="AP118" s="211">
        <v>4.2166245876534427</v>
      </c>
      <c r="AQ118" s="211">
        <v>4.3525572965491168</v>
      </c>
      <c r="AR118" s="211">
        <v>4.1739991230499509</v>
      </c>
      <c r="AS118" s="211">
        <v>4.4596098210900514</v>
      </c>
      <c r="AT118" s="211">
        <v>4.7033122767731079</v>
      </c>
      <c r="AU118" s="211">
        <v>4.4311797823875025</v>
      </c>
      <c r="AV118" s="211">
        <v>4.6548587818633109</v>
      </c>
      <c r="AW118" s="212">
        <v>4.8734166577837943</v>
      </c>
      <c r="AX118" s="211">
        <v>2.163214291659556</v>
      </c>
      <c r="AY118" s="211">
        <v>2.1334348362253737</v>
      </c>
      <c r="AZ118" s="211">
        <v>5.1167162775591875</v>
      </c>
      <c r="BA118" s="211">
        <v>4.7493445813234452</v>
      </c>
      <c r="BB118" s="211">
        <v>4.8622162354999032</v>
      </c>
      <c r="BC118" s="211">
        <v>4.9561872893079819</v>
      </c>
      <c r="BD118" s="211">
        <v>4.692364205145978</v>
      </c>
      <c r="BE118" s="211">
        <v>5.0237117074189266</v>
      </c>
      <c r="BF118" s="211">
        <v>5.2882555524437311</v>
      </c>
      <c r="BG118" s="211">
        <v>4.9604839300293122</v>
      </c>
      <c r="BH118" s="211">
        <v>5.2060446086972805</v>
      </c>
      <c r="BI118" s="212">
        <v>5.4700554273925288</v>
      </c>
      <c r="BJ118" s="211">
        <v>2.2873673780315573</v>
      </c>
      <c r="BK118" s="211">
        <v>2.2562113108551922</v>
      </c>
      <c r="BL118" s="211">
        <v>5.396624866763716</v>
      </c>
      <c r="BM118" s="211">
        <v>5.1324460354963808</v>
      </c>
      <c r="BN118" s="211">
        <v>5.2889438942734674</v>
      </c>
      <c r="BO118" s="211">
        <v>5.4310701024953678</v>
      </c>
      <c r="BP118" s="211">
        <v>5.190848476105951</v>
      </c>
      <c r="BQ118" s="211">
        <v>5.5553174602902837</v>
      </c>
      <c r="BR118" s="211">
        <v>5.8872506939209854</v>
      </c>
      <c r="BS118" s="211">
        <v>5.5222659408045889</v>
      </c>
      <c r="BT118" s="211">
        <v>5.7951907772521398</v>
      </c>
      <c r="BU118" s="212">
        <v>6.0807050208122719</v>
      </c>
      <c r="BV118" s="211">
        <v>2.6025228596733179</v>
      </c>
      <c r="BW118" s="211">
        <v>2.5665523403087649</v>
      </c>
      <c r="BX118" s="211">
        <v>6.1307132328284606</v>
      </c>
      <c r="BY118" s="211">
        <v>5.8281033169319398</v>
      </c>
      <c r="BZ118" s="211">
        <v>6.0015034297272152</v>
      </c>
      <c r="CA118" s="211">
        <v>6.192265883347595</v>
      </c>
      <c r="CB118" s="211">
        <v>5.9191594949043029</v>
      </c>
      <c r="CC118" s="211">
        <v>6.3937693076489772</v>
      </c>
      <c r="CD118" s="211">
        <v>6.7764842213712395</v>
      </c>
      <c r="CE118" s="211">
        <v>6.3570594916145362</v>
      </c>
      <c r="CF118" s="211">
        <v>6.7029502794736384</v>
      </c>
      <c r="CG118" s="212">
        <v>7.0346002452605605</v>
      </c>
      <c r="CH118" s="211">
        <v>2.9359648832011414</v>
      </c>
      <c r="CI118" s="211">
        <v>2.8954397685003008</v>
      </c>
      <c r="CJ118" s="211">
        <v>6.9125928845640807</v>
      </c>
      <c r="CK118" s="211">
        <v>6.5734107478195902</v>
      </c>
      <c r="CL118" s="211">
        <v>6.7681673560321443</v>
      </c>
      <c r="CM118" s="211">
        <v>6.9850929186352886</v>
      </c>
      <c r="CN118" s="211">
        <v>6.676327932029599</v>
      </c>
      <c r="CO118" s="211">
        <v>7.2123557322682394</v>
      </c>
      <c r="CP118" s="211">
        <v>7.6460383458005463</v>
      </c>
      <c r="CQ118" s="211">
        <v>7.2417779341818243</v>
      </c>
      <c r="CR118" s="211">
        <v>7.7144438020567652</v>
      </c>
      <c r="CS118" s="212">
        <v>8.0982176508006667</v>
      </c>
    </row>
    <row r="119" spans="1:97" s="209" customFormat="1" x14ac:dyDescent="0.25">
      <c r="A119" s="209" t="s">
        <v>1</v>
      </c>
      <c r="B119" s="263">
        <v>2.4917683923705725</v>
      </c>
      <c r="C119" s="211">
        <v>2.775983981693364</v>
      </c>
      <c r="D119" s="211">
        <v>2.7323120229007634</v>
      </c>
      <c r="E119" s="211">
        <v>5.6291971476510065</v>
      </c>
      <c r="F119" s="211">
        <v>4.6382645985401467</v>
      </c>
      <c r="G119" s="211">
        <v>9.7116809872029251</v>
      </c>
      <c r="H119" s="211">
        <v>7.995245210727969</v>
      </c>
      <c r="I119" s="211">
        <v>4.0921097122302159</v>
      </c>
      <c r="J119" s="211">
        <v>10.872750489236791</v>
      </c>
      <c r="K119" s="211">
        <v>7.7884254966887418</v>
      </c>
      <c r="L119" s="211">
        <v>11.215763713080184</v>
      </c>
      <c r="M119" s="212">
        <v>12.223746164574631</v>
      </c>
      <c r="N119" s="213">
        <v>2.0286574654956087</v>
      </c>
      <c r="O119" s="213">
        <v>2.366229977116705</v>
      </c>
      <c r="P119" s="213">
        <v>5.2971885593220343</v>
      </c>
      <c r="Q119" s="213">
        <v>3.1862116451016633</v>
      </c>
      <c r="R119" s="213">
        <v>4.5256977648202135</v>
      </c>
      <c r="S119" s="213">
        <v>4.857896006655575</v>
      </c>
      <c r="T119" s="213">
        <v>3.4272176422093983</v>
      </c>
      <c r="U119" s="213">
        <v>3.3552282708142727</v>
      </c>
      <c r="V119" s="211">
        <v>4.6872405677198499</v>
      </c>
      <c r="W119" s="211">
        <v>4.0114974916387967</v>
      </c>
      <c r="X119" s="211">
        <v>4.8372819122720552</v>
      </c>
      <c r="Y119" s="212">
        <v>5.9564776144690583</v>
      </c>
      <c r="Z119" s="211">
        <v>1.7920683888624609</v>
      </c>
      <c r="AA119" s="211">
        <v>1.9658297067495976</v>
      </c>
      <c r="AB119" s="211">
        <v>4.2273825049153668</v>
      </c>
      <c r="AC119" s="211">
        <v>3.9842174599803504</v>
      </c>
      <c r="AD119" s="211">
        <v>4.2875226237536319</v>
      </c>
      <c r="AE119" s="211">
        <v>4.442404839647085</v>
      </c>
      <c r="AF119" s="211">
        <v>4.1433625569571895</v>
      </c>
      <c r="AG119" s="211">
        <v>4.4172451156293677</v>
      </c>
      <c r="AH119" s="211">
        <v>4.6290738861471912</v>
      </c>
      <c r="AI119" s="211">
        <v>4.313851200492123</v>
      </c>
      <c r="AJ119" s="211">
        <v>4.5506861285085414</v>
      </c>
      <c r="AK119" s="212">
        <v>4.7612797690394615</v>
      </c>
      <c r="AL119" s="211">
        <v>2.1223594330158231</v>
      </c>
      <c r="AM119" s="211">
        <v>2.2919247329305796</v>
      </c>
      <c r="AN119" s="211">
        <v>4.5204857818804003</v>
      </c>
      <c r="AO119" s="211">
        <v>4.3071119742595796</v>
      </c>
      <c r="AP119" s="211">
        <v>4.6133496102552423</v>
      </c>
      <c r="AQ119" s="211">
        <v>4.7796406931504416</v>
      </c>
      <c r="AR119" s="211">
        <v>4.5233050676340598</v>
      </c>
      <c r="AS119" s="211">
        <v>4.8452791579544323</v>
      </c>
      <c r="AT119" s="211">
        <v>5.0767260224735864</v>
      </c>
      <c r="AU119" s="211">
        <v>4.7592134503207744</v>
      </c>
      <c r="AV119" s="211">
        <v>5.0194843186473275</v>
      </c>
      <c r="AW119" s="212">
        <v>5.2534091163465231</v>
      </c>
      <c r="AX119" s="211">
        <v>2.4064313543976783</v>
      </c>
      <c r="AY119" s="211">
        <v>2.5910095802456543</v>
      </c>
      <c r="AZ119" s="211">
        <v>5.3328962025458173</v>
      </c>
      <c r="BA119" s="211">
        <v>4.987478070419594</v>
      </c>
      <c r="BB119" s="211">
        <v>5.3138210991109602</v>
      </c>
      <c r="BC119" s="211">
        <v>5.5060275244290002</v>
      </c>
      <c r="BD119" s="211">
        <v>5.2119220041534158</v>
      </c>
      <c r="BE119" s="211">
        <v>5.5815894635505554</v>
      </c>
      <c r="BF119" s="211">
        <v>5.846513303512916</v>
      </c>
      <c r="BG119" s="211">
        <v>5.482196274943508</v>
      </c>
      <c r="BH119" s="211">
        <v>5.781713775517388</v>
      </c>
      <c r="BI119" s="212">
        <v>6.0559443585866664</v>
      </c>
      <c r="BJ119" s="211">
        <v>2.6159668335899418</v>
      </c>
      <c r="BK119" s="211">
        <v>2.815848912557894</v>
      </c>
      <c r="BL119" s="211">
        <v>5.7928114070030468</v>
      </c>
      <c r="BM119" s="211">
        <v>5.4699958179495267</v>
      </c>
      <c r="BN119" s="211">
        <v>5.8276868512880231</v>
      </c>
      <c r="BO119" s="211">
        <v>6.0395442754194564</v>
      </c>
      <c r="BP119" s="211">
        <v>5.7720133659258241</v>
      </c>
      <c r="BQ119" s="211">
        <v>6.1820754712036816</v>
      </c>
      <c r="BR119" s="211">
        <v>6.5359758296666879</v>
      </c>
      <c r="BS119" s="211">
        <v>6.1257852470635354</v>
      </c>
      <c r="BT119" s="211">
        <v>6.4609209616861776</v>
      </c>
      <c r="BU119" s="212">
        <v>6.7628806730602218</v>
      </c>
      <c r="BV119" s="211">
        <v>3.0121553853710452</v>
      </c>
      <c r="BW119" s="211">
        <v>3.2315819730844804</v>
      </c>
      <c r="BX119" s="211">
        <v>6.6375245875755526</v>
      </c>
      <c r="BY119" s="211">
        <v>6.2619731099251172</v>
      </c>
      <c r="BZ119" s="211">
        <v>6.6694664702739166</v>
      </c>
      <c r="CA119" s="211">
        <v>6.9071414982677011</v>
      </c>
      <c r="CB119" s="211">
        <v>6.6043055605569965</v>
      </c>
      <c r="CC119" s="211">
        <v>7.1456092755013296</v>
      </c>
      <c r="CD119" s="211">
        <v>7.5512388955696128</v>
      </c>
      <c r="CE119" s="211">
        <v>7.0789434473662327</v>
      </c>
      <c r="CF119" s="211">
        <v>7.5057018569954099</v>
      </c>
      <c r="CG119" s="212">
        <v>7.8547570308467156</v>
      </c>
      <c r="CH119" s="211">
        <v>3.4207995080983129</v>
      </c>
      <c r="CI119" s="211">
        <v>3.6659073077906532</v>
      </c>
      <c r="CJ119" s="211">
        <v>7.525832085286754</v>
      </c>
      <c r="CK119" s="211">
        <v>7.0980981429352701</v>
      </c>
      <c r="CL119" s="211">
        <v>7.559227108577681</v>
      </c>
      <c r="CM119" s="211">
        <v>7.8270179214498405</v>
      </c>
      <c r="CN119" s="211">
        <v>7.4848857938428797</v>
      </c>
      <c r="CO119" s="211">
        <v>8.0972986137802554</v>
      </c>
      <c r="CP119" s="211">
        <v>8.5554700231258618</v>
      </c>
      <c r="CQ119" s="211">
        <v>8.1044424515631537</v>
      </c>
      <c r="CR119" s="211">
        <v>8.6751015324160363</v>
      </c>
      <c r="CS119" s="212">
        <v>9.0776978716989944</v>
      </c>
    </row>
    <row r="120" spans="1:97" s="209" customFormat="1" x14ac:dyDescent="0.25">
      <c r="A120" s="209" t="s">
        <v>2</v>
      </c>
      <c r="B120" s="263">
        <v>2.2862222222222224</v>
      </c>
      <c r="C120" s="211">
        <v>2.2852619047619047</v>
      </c>
      <c r="D120" s="211">
        <v>3.9076886227544909</v>
      </c>
      <c r="E120" s="211">
        <v>2.6221686746987953</v>
      </c>
      <c r="F120" s="211">
        <v>2.5325880829015541</v>
      </c>
      <c r="G120" s="211">
        <v>4.7397860169491528</v>
      </c>
      <c r="H120" s="211">
        <v>4.458456521739131</v>
      </c>
      <c r="I120" s="211">
        <v>4.4713265306122443</v>
      </c>
      <c r="J120" s="211">
        <v>18.26362142857143</v>
      </c>
      <c r="K120" s="211">
        <v>-2.471767857142857</v>
      </c>
      <c r="L120" s="211">
        <v>13.694596036585367</v>
      </c>
      <c r="M120" s="212">
        <v>17.204685233160596</v>
      </c>
      <c r="N120" s="213">
        <v>3.0091796536796536</v>
      </c>
      <c r="O120" s="213">
        <v>4.1886194029850747</v>
      </c>
      <c r="P120" s="213">
        <v>6.0012828467153287</v>
      </c>
      <c r="Q120" s="213">
        <v>2.6151254019292605</v>
      </c>
      <c r="R120" s="213">
        <v>3.6025524193548386</v>
      </c>
      <c r="S120" s="213">
        <v>5.3731446015424158</v>
      </c>
      <c r="T120" s="213">
        <v>2.8079579439252336</v>
      </c>
      <c r="U120" s="213">
        <v>3.7741222104144532</v>
      </c>
      <c r="V120" s="211">
        <v>4.8110448278851985</v>
      </c>
      <c r="W120" s="211">
        <v>4.242990410924306</v>
      </c>
      <c r="X120" s="211">
        <v>5.1918105521240987</v>
      </c>
      <c r="Y120" s="212">
        <v>6.4257322105732779</v>
      </c>
      <c r="Z120" s="211">
        <v>2.4199286654643957</v>
      </c>
      <c r="AA120" s="211">
        <v>2.1942814875003274</v>
      </c>
      <c r="AB120" s="211">
        <v>5.0190372284851383</v>
      </c>
      <c r="AC120" s="211">
        <v>4.7920268081554527</v>
      </c>
      <c r="AD120" s="211">
        <v>5.3610621741884756</v>
      </c>
      <c r="AE120" s="211">
        <v>5.6250585416580181</v>
      </c>
      <c r="AF120" s="211">
        <v>5.2231392127824225</v>
      </c>
      <c r="AG120" s="211">
        <v>5.5864216403246116</v>
      </c>
      <c r="AH120" s="211">
        <v>5.8888549620643671</v>
      </c>
      <c r="AI120" s="211">
        <v>5.4421980110393759</v>
      </c>
      <c r="AJ120" s="211">
        <v>5.7524356590470251</v>
      </c>
      <c r="AK120" s="212">
        <v>6.0502563833741574</v>
      </c>
      <c r="AL120" s="211">
        <v>3.038435314723495</v>
      </c>
      <c r="AM120" s="211">
        <v>2.6780767902090972</v>
      </c>
      <c r="AN120" s="211">
        <v>5.3349914673843237</v>
      </c>
      <c r="AO120" s="211">
        <v>5.1507280166918568</v>
      </c>
      <c r="AP120" s="211">
        <v>5.73690636392661</v>
      </c>
      <c r="AQ120" s="211">
        <v>5.9830219161289229</v>
      </c>
      <c r="AR120" s="211">
        <v>5.6307684899429677</v>
      </c>
      <c r="AS120" s="211">
        <v>6.0314859973757109</v>
      </c>
      <c r="AT120" s="211">
        <v>6.3344642357555712</v>
      </c>
      <c r="AU120" s="211">
        <v>5.9205816338216923</v>
      </c>
      <c r="AV120" s="211">
        <v>6.2691243653624298</v>
      </c>
      <c r="AW120" s="212">
        <v>6.5845721110111644</v>
      </c>
      <c r="AX120" s="211">
        <v>3.3930172327325963</v>
      </c>
      <c r="AY120" s="211">
        <v>3.0230191800850954</v>
      </c>
      <c r="AZ120" s="211">
        <v>6.280148048705672</v>
      </c>
      <c r="BA120" s="211">
        <v>5.9646960246738407</v>
      </c>
      <c r="BB120" s="211">
        <v>6.5987132713912784</v>
      </c>
      <c r="BC120" s="211">
        <v>6.8536035996915219</v>
      </c>
      <c r="BD120" s="211">
        <v>6.4466738668403485</v>
      </c>
      <c r="BE120" s="211">
        <v>6.9046013079022099</v>
      </c>
      <c r="BF120" s="211">
        <v>7.2297921716963742</v>
      </c>
      <c r="BG120" s="211">
        <v>6.7507332471578962</v>
      </c>
      <c r="BH120" s="211">
        <v>7.15473397565132</v>
      </c>
      <c r="BI120" s="212">
        <v>7.4931568471494163</v>
      </c>
      <c r="BJ120" s="211">
        <v>3.6724920647341253</v>
      </c>
      <c r="BK120" s="211">
        <v>3.2955607035397496</v>
      </c>
      <c r="BL120" s="211">
        <v>6.8177995149913437</v>
      </c>
      <c r="BM120" s="211">
        <v>6.5238046065129316</v>
      </c>
      <c r="BN120" s="211">
        <v>7.2273679568220404</v>
      </c>
      <c r="BO120" s="211">
        <v>7.5308990569102416</v>
      </c>
      <c r="BP120" s="211">
        <v>7.1736127219331598</v>
      </c>
      <c r="BQ120" s="211">
        <v>7.6801817626499442</v>
      </c>
      <c r="BR120" s="211">
        <v>8.1152479652215881</v>
      </c>
      <c r="BS120" s="211">
        <v>7.5880460352292545</v>
      </c>
      <c r="BT120" s="211">
        <v>8.0339736749420112</v>
      </c>
      <c r="BU120" s="212">
        <v>8.4300251575414435</v>
      </c>
      <c r="BV120" s="211">
        <v>4.1951133752532792</v>
      </c>
      <c r="BW120" s="211">
        <v>3.7465478601966269</v>
      </c>
      <c r="BX120" s="211">
        <v>7.7723905812211527</v>
      </c>
      <c r="BY120" s="211">
        <v>7.4421531658208409</v>
      </c>
      <c r="BZ120" s="211">
        <v>8.2368078032416658</v>
      </c>
      <c r="CA120" s="211">
        <v>8.576114092158118</v>
      </c>
      <c r="CB120" s="211">
        <v>8.1643498817314075</v>
      </c>
      <c r="CC120" s="211">
        <v>8.849693636882618</v>
      </c>
      <c r="CD120" s="211">
        <v>9.3540880289697288</v>
      </c>
      <c r="CE120" s="211">
        <v>8.7469579887658018</v>
      </c>
      <c r="CF120" s="211">
        <v>9.3191217247295182</v>
      </c>
      <c r="CG120" s="212">
        <v>9.7863309799090104</v>
      </c>
      <c r="CH120" s="211">
        <v>4.7466757524201366</v>
      </c>
      <c r="CI120" s="211">
        <v>4.2323205744381331</v>
      </c>
      <c r="CJ120" s="211">
        <v>8.7889340956500845</v>
      </c>
      <c r="CK120" s="211">
        <v>8.4209867585191418</v>
      </c>
      <c r="CL120" s="211">
        <v>9.3254536752399737</v>
      </c>
      <c r="CM120" s="211">
        <v>9.712471947745561</v>
      </c>
      <c r="CN120" s="211">
        <v>9.2406891882097018</v>
      </c>
      <c r="CO120" s="211">
        <v>10.016701461342912</v>
      </c>
      <c r="CP120" s="211">
        <v>10.589004183036543</v>
      </c>
      <c r="CQ120" s="211">
        <v>10.026132650676239</v>
      </c>
      <c r="CR120" s="211">
        <v>10.75866590009859</v>
      </c>
      <c r="CS120" s="212">
        <v>11.300017578079721</v>
      </c>
    </row>
    <row r="121" spans="1:97" s="219" customFormat="1" x14ac:dyDescent="0.25">
      <c r="A121" s="219" t="s">
        <v>3</v>
      </c>
      <c r="B121" s="264">
        <v>4.1737335737179482</v>
      </c>
      <c r="C121" s="258">
        <v>3.4992293116782669</v>
      </c>
      <c r="D121" s="258">
        <v>6.7749793226381456</v>
      </c>
      <c r="E121" s="258">
        <v>7.6088305138844543</v>
      </c>
      <c r="F121" s="258">
        <v>6.1018565331582408</v>
      </c>
      <c r="G121" s="258">
        <v>8.8054843598839057</v>
      </c>
      <c r="H121" s="258">
        <v>9.3378234729772931</v>
      </c>
      <c r="I121" s="258">
        <v>5.0694998491704375</v>
      </c>
      <c r="J121" s="258">
        <v>11.232862467494941</v>
      </c>
      <c r="K121" s="258">
        <v>7.0545446575342448</v>
      </c>
      <c r="L121" s="258">
        <v>10.684520750000011</v>
      </c>
      <c r="M121" s="259">
        <v>14.175362885596305</v>
      </c>
      <c r="N121" s="260">
        <v>3.0890964870067368</v>
      </c>
      <c r="O121" s="260">
        <v>3.3866026555200324</v>
      </c>
      <c r="P121" s="260">
        <v>7.902229773462782</v>
      </c>
      <c r="Q121" s="260">
        <v>6.847292563817982</v>
      </c>
      <c r="R121" s="260">
        <v>5.7106695740365101</v>
      </c>
      <c r="S121" s="260">
        <v>7.2470905653892546</v>
      </c>
      <c r="T121" s="260">
        <v>4.7376887134964507</v>
      </c>
      <c r="U121" s="260">
        <v>4.5704190817790575</v>
      </c>
      <c r="V121" s="258">
        <v>7.080414621231756</v>
      </c>
      <c r="W121" s="258">
        <v>5.9991622918100633</v>
      </c>
      <c r="X121" s="258">
        <v>6.7291313359196216</v>
      </c>
      <c r="Y121" s="259">
        <v>7.8405005293610062</v>
      </c>
      <c r="Z121" s="258">
        <v>2.1219352177580371</v>
      </c>
      <c r="AA121" s="258">
        <v>2.1370877620676363</v>
      </c>
      <c r="AB121" s="258">
        <v>4.9311954456069884</v>
      </c>
      <c r="AC121" s="258">
        <v>4.7800316248487347</v>
      </c>
      <c r="AD121" s="258">
        <v>5.3776088548757341</v>
      </c>
      <c r="AE121" s="258">
        <v>5.6330897664816524</v>
      </c>
      <c r="AF121" s="258">
        <v>5.1613450970519068</v>
      </c>
      <c r="AG121" s="258">
        <v>5.5264878907144164</v>
      </c>
      <c r="AH121" s="258">
        <v>5.7834078972486305</v>
      </c>
      <c r="AI121" s="258">
        <v>5.3397319620357333</v>
      </c>
      <c r="AJ121" s="258">
        <v>5.6623405857749924</v>
      </c>
      <c r="AK121" s="259">
        <v>5.9224801366885904</v>
      </c>
      <c r="AL121" s="258">
        <v>2.5226996782111093</v>
      </c>
      <c r="AM121" s="258">
        <v>2.5022656582175506</v>
      </c>
      <c r="AN121" s="258">
        <v>5.3018089346223682</v>
      </c>
      <c r="AO121" s="258">
        <v>5.1790004043689768</v>
      </c>
      <c r="AP121" s="258">
        <v>5.7809169169181729</v>
      </c>
      <c r="AQ121" s="258">
        <v>5.9774749199453145</v>
      </c>
      <c r="AR121" s="258">
        <v>5.6070013188101289</v>
      </c>
      <c r="AS121" s="258">
        <v>6.0175482864159395</v>
      </c>
      <c r="AT121" s="258">
        <v>6.2869596467156708</v>
      </c>
      <c r="AU121" s="258">
        <v>5.8555559706441098</v>
      </c>
      <c r="AV121" s="258">
        <v>6.2068272067818988</v>
      </c>
      <c r="AW121" s="259">
        <v>6.4534909366789446</v>
      </c>
      <c r="AX121" s="258">
        <v>2.8803001943764914</v>
      </c>
      <c r="AY121" s="258">
        <v>2.8549335115303482</v>
      </c>
      <c r="AZ121" s="258">
        <v>6.3146689018787949</v>
      </c>
      <c r="BA121" s="258">
        <v>6.0510705750577323</v>
      </c>
      <c r="BB121" s="258">
        <v>6.6803464165983364</v>
      </c>
      <c r="BC121" s="258">
        <v>6.8600786875420905</v>
      </c>
      <c r="BD121" s="258">
        <v>6.4274108793864366</v>
      </c>
      <c r="BE121" s="258">
        <v>6.8584581424230029</v>
      </c>
      <c r="BF121" s="258">
        <v>7.1614593329242293</v>
      </c>
      <c r="BG121" s="258">
        <v>6.6724654483534609</v>
      </c>
      <c r="BH121" s="258">
        <v>7.0380771675309104</v>
      </c>
      <c r="BI121" s="259">
        <v>7.3502203628538165</v>
      </c>
      <c r="BJ121" s="258">
        <v>3.0843590305678119</v>
      </c>
      <c r="BK121" s="258">
        <v>3.0718038131291658</v>
      </c>
      <c r="BL121" s="258">
        <v>6.7673810945961916</v>
      </c>
      <c r="BM121" s="258">
        <v>6.5654282558451911</v>
      </c>
      <c r="BN121" s="258">
        <v>7.2537817835870131</v>
      </c>
      <c r="BO121" s="258">
        <v>7.4625921926576684</v>
      </c>
      <c r="BP121" s="258">
        <v>7.0798379309365993</v>
      </c>
      <c r="BQ121" s="258">
        <v>7.5659223705818732</v>
      </c>
      <c r="BR121" s="258">
        <v>7.9827365182108201</v>
      </c>
      <c r="BS121" s="258">
        <v>7.4514626903609962</v>
      </c>
      <c r="BT121" s="258">
        <v>7.8643476878368306</v>
      </c>
      <c r="BU121" s="259">
        <v>8.2125618034945873</v>
      </c>
      <c r="BV121" s="258">
        <v>3.5381719883645126</v>
      </c>
      <c r="BW121" s="258">
        <v>3.5175223712986128</v>
      </c>
      <c r="BX121" s="258">
        <v>7.7323630964365933</v>
      </c>
      <c r="BY121" s="258">
        <v>7.5039221959503548</v>
      </c>
      <c r="BZ121" s="258">
        <v>8.3141857469327345</v>
      </c>
      <c r="CA121" s="258">
        <v>8.5476807871354907</v>
      </c>
      <c r="CB121" s="258">
        <v>8.1112721269177488</v>
      </c>
      <c r="CC121" s="258">
        <v>8.7529083239399146</v>
      </c>
      <c r="CD121" s="258">
        <v>9.2287948916140454</v>
      </c>
      <c r="CE121" s="258">
        <v>8.6141038282892524</v>
      </c>
      <c r="CF121" s="258">
        <v>9.1334989763650043</v>
      </c>
      <c r="CG121" s="259">
        <v>9.5433890532573997</v>
      </c>
      <c r="CH121" s="258">
        <v>3.9944651057080374</v>
      </c>
      <c r="CI121" s="258">
        <v>3.9736040806066786</v>
      </c>
      <c r="CJ121" s="258">
        <v>8.7345111978903329</v>
      </c>
      <c r="CK121" s="258">
        <v>8.4780897793761998</v>
      </c>
      <c r="CL121" s="258">
        <v>9.3894127614188569</v>
      </c>
      <c r="CM121" s="258">
        <v>9.6523675762609802</v>
      </c>
      <c r="CN121" s="258">
        <v>9.1577359083988554</v>
      </c>
      <c r="CO121" s="258">
        <v>9.8823940562298596</v>
      </c>
      <c r="CP121" s="258">
        <v>10.421892887157675</v>
      </c>
      <c r="CQ121" s="258">
        <v>9.8315685690469312</v>
      </c>
      <c r="CR121" s="258">
        <v>10.522893992550168</v>
      </c>
      <c r="CS121" s="259">
        <v>10.997483692365279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BY168"/>
  <sheetViews>
    <sheetView zoomScale="80" zoomScaleNormal="80" zoomScaleSheetLayoutView="100" workbookViewId="0">
      <pane xSplit="12" ySplit="3" topLeftCell="M100" activePane="bottomRight" state="frozen"/>
      <selection pane="topRight" activeCell="M1" sqref="M1"/>
      <selection pane="bottomLeft" activeCell="A4" sqref="A4"/>
      <selection pane="bottomRight" activeCell="A14" sqref="A14"/>
    </sheetView>
  </sheetViews>
  <sheetFormatPr defaultColWidth="9.125" defaultRowHeight="15" outlineLevelRow="1" outlineLevelCol="1" x14ac:dyDescent="0.25"/>
  <cols>
    <col min="1" max="1" width="18.625" customWidth="1"/>
    <col min="2" max="12" width="9.125" hidden="1" customWidth="1" outlineLevel="1"/>
    <col min="13" max="13" width="13.375" customWidth="1" collapsed="1"/>
    <col min="14" max="14" width="9.125" customWidth="1"/>
    <col min="15" max="18" width="9.125" customWidth="1" outlineLevel="1"/>
    <col min="19" max="19" width="9.125" customWidth="1"/>
    <col min="20" max="24" width="9.125" customWidth="1" outlineLevel="1"/>
    <col min="25" max="25" width="12.25" customWidth="1"/>
    <col min="26" max="26" width="9.125" style="18"/>
    <col min="27" max="27" width="10.25" style="18" bestFit="1" customWidth="1"/>
    <col min="28" max="28" width="8.25" style="18" customWidth="1"/>
    <col min="29" max="29" width="9.125" style="18" customWidth="1" outlineLevel="1"/>
    <col min="30" max="30" width="10.875" style="18" customWidth="1"/>
    <col min="31" max="31" width="11" style="18" hidden="1" customWidth="1" outlineLevel="1"/>
    <col min="32" max="40" width="9.125" style="18" hidden="1" customWidth="1" outlineLevel="1"/>
    <col min="41" max="41" width="9.125" style="18" collapsed="1"/>
    <col min="42" max="43" width="9.125" style="18"/>
    <col min="44" max="47" width="9.125" style="18" customWidth="1"/>
    <col min="48" max="52" width="9.125" style="18" customWidth="1" outlineLevel="1"/>
    <col min="53" max="53" width="10.625" style="18" customWidth="1"/>
    <col min="54" max="60" width="9.125" style="18"/>
    <col min="61" max="64" width="9.125" style="18" customWidth="1"/>
    <col min="65" max="68" width="9.125" style="18" hidden="1" customWidth="1" outlineLevel="1"/>
    <col min="69" max="69" width="0" style="18" hidden="1" customWidth="1" outlineLevel="1"/>
    <col min="70" max="70" width="9.125" style="18" collapsed="1"/>
    <col min="71" max="16384" width="9.125" style="18"/>
  </cols>
  <sheetData>
    <row r="1" spans="1:74" x14ac:dyDescent="0.25">
      <c r="L1" s="6"/>
      <c r="M1" s="6"/>
      <c r="AD1" s="38"/>
      <c r="AH1" s="39" t="s">
        <v>39</v>
      </c>
      <c r="AM1" s="18" t="s">
        <v>39</v>
      </c>
    </row>
    <row r="2" spans="1:74" x14ac:dyDescent="0.25">
      <c r="A2" s="62">
        <v>7</v>
      </c>
      <c r="B2">
        <f>IF(A2&lt;4,A2,IF(A2&lt;7,A2-3,IF(A2&lt;10,A2-6,A2-9)))</f>
        <v>1</v>
      </c>
      <c r="Z2" s="322">
        <v>2016</v>
      </c>
      <c r="AA2" s="322"/>
      <c r="AB2" s="322"/>
      <c r="AC2" s="322"/>
      <c r="AD2" s="322"/>
      <c r="AE2" s="323">
        <v>2015</v>
      </c>
      <c r="AF2" s="323"/>
      <c r="AG2" s="323"/>
      <c r="AH2" s="323"/>
      <c r="AI2" s="323"/>
      <c r="AJ2" s="321" t="s">
        <v>28</v>
      </c>
      <c r="AK2" s="321"/>
      <c r="AL2" s="321"/>
      <c r="AM2" s="321"/>
      <c r="AN2" s="321"/>
      <c r="AO2" s="131" t="s">
        <v>135</v>
      </c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322" t="s">
        <v>134</v>
      </c>
      <c r="BB2" s="324"/>
      <c r="BC2" s="324"/>
      <c r="BD2" s="324"/>
      <c r="BE2" s="324"/>
      <c r="BF2" s="127" t="s">
        <v>132</v>
      </c>
      <c r="BG2" s="128"/>
      <c r="BH2" s="128"/>
      <c r="BI2" s="133"/>
      <c r="BJ2" s="133"/>
      <c r="BK2" s="133"/>
      <c r="BL2" s="133"/>
      <c r="BM2" s="133"/>
      <c r="BN2" s="133"/>
      <c r="BO2" s="133"/>
      <c r="BP2" s="133"/>
      <c r="BQ2" s="133"/>
      <c r="BR2" s="129" t="s">
        <v>133</v>
      </c>
      <c r="BS2" s="130"/>
      <c r="BT2" s="130"/>
      <c r="BU2" s="130"/>
      <c r="BV2" s="120" t="s">
        <v>130</v>
      </c>
    </row>
    <row r="3" spans="1:74" s="17" customFormat="1" x14ac:dyDescent="0.25">
      <c r="A3" s="2" t="s">
        <v>0</v>
      </c>
      <c r="B3" s="3">
        <v>42005</v>
      </c>
      <c r="C3" s="3">
        <v>42036</v>
      </c>
      <c r="D3" s="3">
        <v>42064</v>
      </c>
      <c r="E3" s="3">
        <v>42095</v>
      </c>
      <c r="F3" s="3">
        <v>42125</v>
      </c>
      <c r="G3" s="3">
        <v>42156</v>
      </c>
      <c r="H3" s="3">
        <v>42186</v>
      </c>
      <c r="I3" s="3">
        <v>42217</v>
      </c>
      <c r="J3" s="3">
        <v>42248</v>
      </c>
      <c r="K3" s="3">
        <v>42278</v>
      </c>
      <c r="L3" s="3">
        <v>42309</v>
      </c>
      <c r="M3" s="3">
        <v>42339</v>
      </c>
      <c r="N3" s="3">
        <v>42370</v>
      </c>
      <c r="O3" s="3">
        <v>42401</v>
      </c>
      <c r="P3" s="3">
        <v>42430</v>
      </c>
      <c r="Q3" s="3">
        <v>42461</v>
      </c>
      <c r="R3" s="3">
        <v>42491</v>
      </c>
      <c r="S3" s="3">
        <v>42522</v>
      </c>
      <c r="T3" s="3">
        <v>42552</v>
      </c>
      <c r="U3" s="3">
        <v>42583</v>
      </c>
      <c r="V3" s="3">
        <v>42614</v>
      </c>
      <c r="W3" s="3">
        <v>42644</v>
      </c>
      <c r="X3" s="3">
        <v>42675</v>
      </c>
      <c r="Y3" s="3">
        <v>42705</v>
      </c>
      <c r="Z3" s="29" t="str">
        <f>"YTD " &amp; A2 &amp;"/16"</f>
        <v>YTD 7/16</v>
      </c>
      <c r="AA3" s="29" t="s">
        <v>19</v>
      </c>
      <c r="AB3" s="29" t="s">
        <v>20</v>
      </c>
      <c r="AC3" s="29" t="s">
        <v>21</v>
      </c>
      <c r="AD3" s="29" t="s">
        <v>22</v>
      </c>
      <c r="AE3" s="26" t="str">
        <f>"YTD " &amp; A2 &amp;"/15"</f>
        <v>YTD 7/15</v>
      </c>
      <c r="AF3" s="26" t="s">
        <v>23</v>
      </c>
      <c r="AG3" s="26" t="s">
        <v>24</v>
      </c>
      <c r="AH3" s="26" t="s">
        <v>25</v>
      </c>
      <c r="AI3" s="26" t="s">
        <v>26</v>
      </c>
      <c r="AJ3" s="30" t="s">
        <v>27</v>
      </c>
      <c r="AK3" s="30" t="s">
        <v>29</v>
      </c>
      <c r="AL3" s="30" t="s">
        <v>30</v>
      </c>
      <c r="AM3" s="30" t="s">
        <v>31</v>
      </c>
      <c r="AN3" s="30" t="s">
        <v>32</v>
      </c>
      <c r="AO3" s="108">
        <v>42736</v>
      </c>
      <c r="AP3" s="108">
        <v>42767</v>
      </c>
      <c r="AQ3" s="108">
        <v>42795</v>
      </c>
      <c r="AR3" s="108">
        <v>42826</v>
      </c>
      <c r="AS3" s="108">
        <v>42856</v>
      </c>
      <c r="AT3" s="108">
        <v>42887</v>
      </c>
      <c r="AU3" s="108">
        <v>42917</v>
      </c>
      <c r="AV3" s="108">
        <v>42948</v>
      </c>
      <c r="AW3" s="108">
        <v>42979</v>
      </c>
      <c r="AX3" s="108">
        <v>43009</v>
      </c>
      <c r="AY3" s="108">
        <v>43040</v>
      </c>
      <c r="AZ3" s="108">
        <v>43070</v>
      </c>
      <c r="BA3" s="29" t="s">
        <v>123</v>
      </c>
      <c r="BB3" s="29" t="s">
        <v>124</v>
      </c>
      <c r="BC3" s="29" t="s">
        <v>125</v>
      </c>
      <c r="BD3" s="29" t="s">
        <v>126</v>
      </c>
      <c r="BE3" s="29" t="str">
        <f>"YTD " &amp; A2 &amp;"/17"</f>
        <v>YTD 7/17</v>
      </c>
      <c r="BF3" s="121">
        <v>42736</v>
      </c>
      <c r="BG3" s="108">
        <v>42767</v>
      </c>
      <c r="BH3" s="108">
        <v>42795</v>
      </c>
      <c r="BI3" s="108">
        <v>42826</v>
      </c>
      <c r="BJ3" s="108">
        <v>42856</v>
      </c>
      <c r="BK3" s="108">
        <v>42887</v>
      </c>
      <c r="BL3" s="108">
        <v>42917</v>
      </c>
      <c r="BM3" s="108">
        <v>42948</v>
      </c>
      <c r="BN3" s="108">
        <v>42979</v>
      </c>
      <c r="BO3" s="108">
        <v>43009</v>
      </c>
      <c r="BP3" s="108">
        <v>43040</v>
      </c>
      <c r="BQ3" s="108">
        <v>43070</v>
      </c>
      <c r="BR3" s="29" t="s">
        <v>127</v>
      </c>
      <c r="BS3" s="29" t="s">
        <v>128</v>
      </c>
      <c r="BT3" s="29" t="s">
        <v>96</v>
      </c>
      <c r="BU3" s="29" t="s">
        <v>129</v>
      </c>
      <c r="BV3" s="112"/>
    </row>
    <row r="4" spans="1:74" outlineLevel="1" x14ac:dyDescent="0.25">
      <c r="A4" t="s">
        <v>4</v>
      </c>
      <c r="B4" s="6">
        <f>'Agency North'!C4+'Agency South'!C4</f>
        <v>2052.6610000000001</v>
      </c>
      <c r="C4" s="6">
        <f>'Agency North'!D4+'Agency South'!D4</f>
        <v>1303.846</v>
      </c>
      <c r="D4" s="6">
        <f>'Agency North'!E4+'Agency South'!E4</f>
        <v>5214.3959999999997</v>
      </c>
      <c r="E4" s="6">
        <f>'Agency North'!F4+'Agency South'!F4</f>
        <v>5640.4014999999999</v>
      </c>
      <c r="F4" s="6">
        <f>'Agency North'!G4+'Agency South'!G4</f>
        <v>3233.2915000000003</v>
      </c>
      <c r="G4" s="6">
        <f>'Agency North'!H4+'Agency South'!H4</f>
        <v>4748.5650000000005</v>
      </c>
      <c r="H4" s="6">
        <f>'Agency North'!I4+'Agency South'!I4</f>
        <v>7546.5334999999995</v>
      </c>
      <c r="I4" s="6">
        <f>'Agency North'!J4+'Agency South'!J4</f>
        <v>2405.0050000000001</v>
      </c>
      <c r="J4" s="6">
        <f>'Agency North'!K4+'Agency South'!K4</f>
        <v>6777.5324999999993</v>
      </c>
      <c r="K4" s="6">
        <f>'Agency North'!L4+'Agency South'!L4</f>
        <v>4765.0289999999895</v>
      </c>
      <c r="L4" s="6">
        <f>'Agency North'!M4+'Agency South'!M4</f>
        <v>4839.5445</v>
      </c>
      <c r="M4" s="6">
        <f>'Agency North'!N4+'Agency South'!N4</f>
        <v>9263.463999999989</v>
      </c>
      <c r="N4" s="6">
        <f>'Agency North'!O4+'Agency South'!O4</f>
        <v>2249.5889999999999</v>
      </c>
      <c r="O4" s="6">
        <f>'Agency North'!P4+'Agency South'!P4</f>
        <v>2135.14499999997</v>
      </c>
      <c r="P4" s="6">
        <f>'Agency North'!Q4+'Agency South'!Q4</f>
        <v>4415.7199999999903</v>
      </c>
      <c r="Q4" s="6">
        <f>'Agency North'!R4+'Agency South'!R4</f>
        <v>6653.8460000000005</v>
      </c>
      <c r="R4" s="6">
        <f>'Agency North'!S4+'Agency South'!S4</f>
        <v>3561.0540000000001</v>
      </c>
      <c r="S4" s="6">
        <f>'Agency North'!T4+'Agency South'!T4</f>
        <v>3725.2085000000002</v>
      </c>
      <c r="T4" s="6">
        <f>'Agency North'!U4+'Agency South'!U4</f>
        <v>3438.3620000000001</v>
      </c>
      <c r="U4" s="6">
        <f>'Agency North'!V4+'Agency South'!V4</f>
        <v>2684.6194999999998</v>
      </c>
      <c r="V4" s="6">
        <f>'Agency North'!W4+'Agency South'!W4</f>
        <v>3703.7440000000001</v>
      </c>
      <c r="W4" s="6">
        <f>'Agency North'!X4+'Agency South'!X4</f>
        <v>3162.1419999999998</v>
      </c>
      <c r="X4" s="6">
        <f>'Agency North'!Y4+'Agency South'!Y4</f>
        <v>3886.2655</v>
      </c>
      <c r="Y4" s="6">
        <f>'Agency North'!Z4+'Agency South'!Z4</f>
        <v>6935.8164999999999</v>
      </c>
      <c r="Z4" s="22">
        <f>SUM(N4:INDEX(N4:Y4,$A$2))</f>
        <v>26178.924499999961</v>
      </c>
      <c r="AA4" s="22">
        <f>SUM(N4:P4)</f>
        <v>8800.4539999999597</v>
      </c>
      <c r="AB4" s="22">
        <f>SUM(Q4:S4)</f>
        <v>13940.108500000002</v>
      </c>
      <c r="AC4" s="22">
        <f>SUM(T4:V4)</f>
        <v>9826.7255000000005</v>
      </c>
      <c r="AD4" s="22">
        <f>SUM(W4:Y4)</f>
        <v>13984.223999999998</v>
      </c>
      <c r="AE4" s="22">
        <f>SUM(B4                                                                                : INDEX(B4:M4,$A$2))</f>
        <v>29739.694499999998</v>
      </c>
      <c r="AF4" s="22">
        <f>SUM(B4:D4)</f>
        <v>8570.9030000000002</v>
      </c>
      <c r="AG4" s="22">
        <f>SUM(E4:G4)</f>
        <v>13622.258</v>
      </c>
      <c r="AH4" s="22">
        <f>SUM(H4:J4)</f>
        <v>16729.070999999996</v>
      </c>
      <c r="AI4" s="22">
        <f>SUM(K4:M4)</f>
        <v>18868.037499999977</v>
      </c>
      <c r="AJ4" s="31">
        <f>Z4/AE4-1</f>
        <v>-0.11973122319733431</v>
      </c>
      <c r="AK4" s="31">
        <f t="shared" ref="AK4:AK12" si="0">AA4/AF4-1</f>
        <v>2.6782592219274814E-2</v>
      </c>
      <c r="AL4" s="31">
        <f t="shared" ref="AL4:AM13" si="1">AB4/AG4-1</f>
        <v>2.3333172811732306E-2</v>
      </c>
      <c r="AM4" s="31">
        <f t="shared" si="1"/>
        <v>-0.41259586381096702</v>
      </c>
      <c r="AN4" s="31">
        <f>AD4/SUM(K4:INDEX(K4:M4,MOD($A$2,3)))-1</f>
        <v>1.9347615722800491</v>
      </c>
      <c r="AO4" s="22">
        <f>'Agency North'!AP4+'Agency South'!AP4</f>
        <v>5031.0820000000003</v>
      </c>
      <c r="AP4" s="22">
        <f>'Agency North'!AQ4+'Agency South'!AQ4</f>
        <v>9389.4535000000105</v>
      </c>
      <c r="AQ4" s="22">
        <f>'Agency North'!AR4+'Agency South'!AR4</f>
        <v>10085.810000000001</v>
      </c>
      <c r="AR4" s="22">
        <f>'Agency North'!AS4+'Agency South'!AS4</f>
        <v>8733.3140000000203</v>
      </c>
      <c r="AS4" s="22">
        <f>'Agency North'!AT4+'Agency South'!AT4</f>
        <v>8327.24</v>
      </c>
      <c r="AT4" s="22">
        <f>'Agency North'!AU4+'Agency South'!AU4</f>
        <v>9479.32</v>
      </c>
      <c r="AU4" s="22">
        <f>'Agency North'!AV4+'Agency South'!AV4</f>
        <v>7295.0760000000164</v>
      </c>
      <c r="BA4" s="110">
        <f>SUM(AO4:INDEX(AO4:AQ4,IF($A$2&lt;3,$A$2,3)))</f>
        <v>24506.34550000001</v>
      </c>
      <c r="BB4" s="110">
        <f>SUM(AR4:INDEX(AR4:AT4,IF(AND($A$2&gt;3,A2&lt;7),$A$2-3,0)))</f>
        <v>26539.874000000018</v>
      </c>
      <c r="BC4" s="110">
        <f>SUM(AU4:INDEX(AU4:AW4,IF(AND($A$2&gt;6,$A$2&lt;10),$A$2-6,0)))</f>
        <v>7295.0760000000164</v>
      </c>
      <c r="BD4" s="110">
        <f>SUM(AX4:INDEX(AX4:AZ4,IF($A$2&gt;9,$A$2-9,0)))</f>
        <v>0</v>
      </c>
      <c r="BE4" s="110">
        <f>SUM($AO4:INDEX(AO4:AZ4,$A$2))</f>
        <v>58341.295500000044</v>
      </c>
      <c r="BF4" s="122">
        <f>AO4/N4</f>
        <v>2.2364449683920045</v>
      </c>
      <c r="BG4" s="111">
        <f t="shared" ref="BG4:BQ4" si="2">AP4/O4</f>
        <v>4.3975718276745335</v>
      </c>
      <c r="BH4" s="111">
        <f t="shared" si="2"/>
        <v>2.2840691891696085</v>
      </c>
      <c r="BI4" s="111">
        <f t="shared" si="2"/>
        <v>1.3125212095380656</v>
      </c>
      <c r="BJ4" s="111">
        <f t="shared" si="2"/>
        <v>2.3384200295755133</v>
      </c>
      <c r="BK4" s="111">
        <f t="shared" si="2"/>
        <v>2.5446414610081556</v>
      </c>
      <c r="BL4" s="111">
        <f>AU4/T4</f>
        <v>2.1216718891146469</v>
      </c>
      <c r="BM4" s="111">
        <f t="shared" si="2"/>
        <v>0</v>
      </c>
      <c r="BN4" s="111">
        <f t="shared" si="2"/>
        <v>0</v>
      </c>
      <c r="BO4" s="111">
        <f t="shared" si="2"/>
        <v>0</v>
      </c>
      <c r="BP4" s="111">
        <f t="shared" si="2"/>
        <v>0</v>
      </c>
      <c r="BQ4" s="111">
        <f t="shared" si="2"/>
        <v>0</v>
      </c>
      <c r="BR4" s="111">
        <f>BA4/SUM(N4:INDEX(N4:P4,IF($A$2&lt;3,$A$2,3)))</f>
        <v>2.784668325065971</v>
      </c>
      <c r="BS4" s="111">
        <f>BB4/SUM(Q4:INDEX(Q4:S4,IF($A$2&lt;7,$A$2-3,3)))</f>
        <v>1.9038498875385377</v>
      </c>
      <c r="BT4" s="111">
        <f>BC4/SUM(T4:INDEX(T4:V4,IF($A$2&lt;7,$A$2-3,IF($A$2&lt;10,$A$2-6,IF($A$2&lt;13,$A$2-9,-1) ))))</f>
        <v>2.1216718891146469</v>
      </c>
      <c r="BU4" s="111">
        <f t="shared" ref="BU4:BU13" si="3">BD4/AD4</f>
        <v>0</v>
      </c>
      <c r="BV4" s="111">
        <f>BE4/Z4</f>
        <v>2.2285596759332162</v>
      </c>
    </row>
    <row r="5" spans="1:74" outlineLevel="1" x14ac:dyDescent="0.25">
      <c r="A5" t="s">
        <v>5</v>
      </c>
      <c r="B5" s="6">
        <f>'Agency North'!C5+'Agency South'!C5</f>
        <v>2215.0100000000002</v>
      </c>
      <c r="C5" s="6">
        <f>'Agency North'!D5+'Agency South'!D5</f>
        <v>1135.6510000000001</v>
      </c>
      <c r="D5" s="6">
        <f>'Agency North'!E5+'Agency South'!E5</f>
        <v>2898.5385000000001</v>
      </c>
      <c r="E5" s="6">
        <f>'Agency North'!F5+'Agency South'!F5</f>
        <v>4939.4570000000003</v>
      </c>
      <c r="F5" s="6">
        <f>'Agency North'!G5+'Agency South'!G5</f>
        <v>3233.6025</v>
      </c>
      <c r="G5" s="6">
        <f>'Agency North'!H5+'Agency South'!H5</f>
        <v>3949.9409999999998</v>
      </c>
      <c r="H5" s="6">
        <f>'Agency North'!I5+'Agency South'!I5</f>
        <v>4551.5889999999999</v>
      </c>
      <c r="I5" s="6">
        <f>'Agency North'!J5+'Agency South'!J5</f>
        <v>2968.5990000000002</v>
      </c>
      <c r="J5" s="6">
        <f>'Agency North'!K5+'Agency South'!K5</f>
        <v>6420.1669999999995</v>
      </c>
      <c r="K5" s="6">
        <f>'Agency North'!L5+'Agency South'!L5</f>
        <v>3850.6580000000004</v>
      </c>
      <c r="L5" s="6">
        <f>'Agency North'!M5+'Agency South'!M5</f>
        <v>9004.2370000000301</v>
      </c>
      <c r="M5" s="6">
        <f>'Agency North'!N5+'Agency South'!N5</f>
        <v>8940.5859999999993</v>
      </c>
      <c r="N5" s="6">
        <f>'Agency North'!O5+'Agency South'!O5</f>
        <v>1368.249</v>
      </c>
      <c r="O5" s="6">
        <f>'Agency North'!P5+'Agency South'!P5</f>
        <v>1100.796</v>
      </c>
      <c r="P5" s="6">
        <f>'Agency North'!Q5+'Agency South'!Q5</f>
        <v>9133.3290000000015</v>
      </c>
      <c r="Q5" s="6">
        <f>'Agency North'!R5+'Agency South'!R5</f>
        <v>7448.6030000000101</v>
      </c>
      <c r="R5" s="6">
        <f>'Agency North'!S5+'Agency South'!S5</f>
        <v>6115.0020000000004</v>
      </c>
      <c r="S5" s="6">
        <f>'Agency North'!T5+'Agency South'!T5</f>
        <v>12667.78900000007</v>
      </c>
      <c r="T5" s="6">
        <f>'Agency North'!U5+'Agency South'!U5</f>
        <v>6581.7240000000102</v>
      </c>
      <c r="U5" s="6">
        <f>'Agency North'!V5+'Agency South'!V5</f>
        <v>7981.6760000000195</v>
      </c>
      <c r="V5" s="6">
        <f>'Agency North'!W5+'Agency South'!W5</f>
        <v>13617.750500000049</v>
      </c>
      <c r="W5" s="6">
        <f>'Agency North'!X5+'Agency South'!X5</f>
        <v>8497.1710000000203</v>
      </c>
      <c r="X5" s="6">
        <f>'Agency North'!Y5+'Agency South'!Y5</f>
        <v>11235.910000000051</v>
      </c>
      <c r="Y5" s="6">
        <f>'Agency North'!Z5+'Agency South'!Z5</f>
        <v>20535.086000000112</v>
      </c>
      <c r="Z5" s="22">
        <f>SUM(N5:INDEX(N5:Y5,$A$2))</f>
        <v>44415.492000000093</v>
      </c>
      <c r="AA5" s="22">
        <f t="shared" ref="AA5:AA10" si="4">SUM(N5:P5)</f>
        <v>11602.374000000002</v>
      </c>
      <c r="AB5" s="22">
        <f t="shared" ref="AB5:AB10" si="5">SUM(Q5:S5)</f>
        <v>26231.39400000008</v>
      </c>
      <c r="AC5" s="22">
        <f t="shared" ref="AC5:AC10" si="6">SUM(T5:V5)</f>
        <v>28181.15050000008</v>
      </c>
      <c r="AD5" s="22">
        <f t="shared" ref="AD5:AD10" si="7">SUM(W5:Y5)</f>
        <v>40268.167000000183</v>
      </c>
      <c r="AE5" s="22">
        <f>SUM(B5                                                                                : INDEX(B5:M5,$A$2))</f>
        <v>22923.789000000001</v>
      </c>
      <c r="AF5" s="22">
        <f t="shared" ref="AF5:AF10" si="8">SUM(B5:D5)</f>
        <v>6249.1995000000006</v>
      </c>
      <c r="AG5" s="22">
        <f t="shared" ref="AG5:AG10" si="9">SUM(E5:G5)</f>
        <v>12123.0005</v>
      </c>
      <c r="AH5" s="22">
        <f t="shared" ref="AH5:AH10" si="10">SUM(H5:J5)</f>
        <v>13940.355</v>
      </c>
      <c r="AI5" s="22">
        <f t="shared" ref="AI5:AI10" si="11">SUM(K5:M5)</f>
        <v>21795.481000000029</v>
      </c>
      <c r="AJ5" s="31">
        <f t="shared" ref="AJ5:AJ10" si="12">Z5/AE5-1</f>
        <v>0.93752839026742452</v>
      </c>
      <c r="AK5" s="31">
        <f t="shared" si="0"/>
        <v>0.85661763558676607</v>
      </c>
      <c r="AL5" s="31">
        <f t="shared" si="1"/>
        <v>1.163770759557428</v>
      </c>
      <c r="AM5" s="31">
        <f t="shared" si="1"/>
        <v>1.0215518543107462</v>
      </c>
      <c r="AN5" s="31">
        <f>AD5/SUM(K5:INDEX(K5:M5,MOD($A$2,3)))-1</f>
        <v>9.4574768779777845</v>
      </c>
      <c r="AO5" s="22">
        <f>'Agency North'!AP5+'Agency South'!AP5</f>
        <v>4021.123</v>
      </c>
      <c r="AP5" s="22">
        <f>'Agency North'!AQ5+'Agency South'!AQ5</f>
        <v>5862.4380000000092</v>
      </c>
      <c r="AQ5" s="22">
        <f>'Agency North'!AR5+'Agency South'!AR5</f>
        <v>14371.029999999999</v>
      </c>
      <c r="AR5" s="22">
        <f>'Agency North'!AS5+'Agency South'!AS5</f>
        <v>10653.198000000019</v>
      </c>
      <c r="AS5" s="22">
        <f>'Agency North'!AT5+'Agency South'!AT5</f>
        <v>9712.19</v>
      </c>
      <c r="AT5" s="22">
        <f>'Agency North'!AU5+'Agency South'!AU5</f>
        <v>19164.91</v>
      </c>
      <c r="AU5" s="22">
        <f>'Agency North'!AV5+'Agency South'!AV5</f>
        <v>11118.032000000068</v>
      </c>
      <c r="BA5" s="110">
        <f>SUM(AO5:INDEX(AO5:AQ5,IF($A$2&lt;3,$A$2,3)))</f>
        <v>24254.591000000008</v>
      </c>
      <c r="BB5" s="110">
        <f>SUM(AR5:INDEX(AR5:AT5,IF(AND($A$2&gt;3,A3&lt;7),$A$2-3,0)))</f>
        <v>39530.298000000024</v>
      </c>
      <c r="BC5" s="110">
        <f>SUM(AU5:INDEX(AU5:AW5,IF(AND($A$2&gt;6,$A$2&lt;10),$A$2-6,0)))</f>
        <v>11118.032000000068</v>
      </c>
      <c r="BD5" s="110">
        <f>SUM(AX5:INDEX(AX5:AZ5,IF($A$2&gt;9,$A$2-9,0)))</f>
        <v>0</v>
      </c>
      <c r="BE5" s="110">
        <f>SUM($AO5:INDEX(AO5:AZ5,$A$2))</f>
        <v>74902.921000000089</v>
      </c>
      <c r="BF5" s="122">
        <f t="shared" ref="BF5:BF14" si="13">AO5/N5</f>
        <v>2.9388824694920297</v>
      </c>
      <c r="BG5" s="111">
        <f t="shared" ref="BG5:BG14" si="14">AP5/O5</f>
        <v>5.3256352675700214</v>
      </c>
      <c r="BH5" s="111">
        <f t="shared" ref="BH5:BH14" si="15">AQ5/P5</f>
        <v>1.5734711844936273</v>
      </c>
      <c r="BI5" s="111">
        <f t="shared" ref="BI5:BI14" si="16">AR5/Q5</f>
        <v>1.4302276547696264</v>
      </c>
      <c r="BJ5" s="111">
        <f t="shared" ref="BJ5:BJ14" si="17">AS5/R5</f>
        <v>1.5882562262448974</v>
      </c>
      <c r="BK5" s="111">
        <f t="shared" ref="BK5:BK14" si="18">AT5/S5</f>
        <v>1.5128851609384948</v>
      </c>
      <c r="BL5" s="111">
        <f t="shared" ref="BL5:BL14" si="19">AU5/T5</f>
        <v>1.6892279287311427</v>
      </c>
      <c r="BM5" s="111">
        <f t="shared" ref="BM5:BM14" si="20">AV5/U5</f>
        <v>0</v>
      </c>
      <c r="BN5" s="111">
        <f t="shared" ref="BN5:BN14" si="21">AW5/V5</f>
        <v>0</v>
      </c>
      <c r="BO5" s="111">
        <f t="shared" ref="BO5:BO14" si="22">AX5/W5</f>
        <v>0</v>
      </c>
      <c r="BP5" s="111">
        <f t="shared" ref="BP5:BP14" si="23">AY5/X5</f>
        <v>0</v>
      </c>
      <c r="BQ5" s="111">
        <f t="shared" ref="BQ5:BQ14" si="24">AZ5/Y5</f>
        <v>0</v>
      </c>
      <c r="BR5" s="111">
        <f>BA5/SUM(N5:INDEX(N5:P5,IF($A$2&lt;3,$A$2,3)))</f>
        <v>2.0904851886346711</v>
      </c>
      <c r="BS5" s="111">
        <f>BB5/SUM(Q5:INDEX(Q5:S5,IF($A$2&lt;7,$A$2-3,3)))</f>
        <v>1.5069842647325531</v>
      </c>
      <c r="BT5" s="111">
        <f>BC5/SUM(T5:INDEX(T5:V5,IF($A$2&lt;7,$A$2-3,IF($A$2&lt;10,$A$2-6,IF($A$2&lt;13,$A$2-9,-1) ))))</f>
        <v>1.6892279287311427</v>
      </c>
      <c r="BU5" s="111">
        <f t="shared" si="3"/>
        <v>0</v>
      </c>
      <c r="BV5" s="111">
        <f t="shared" ref="BV5:BV13" si="25">BE5/Z5</f>
        <v>1.6864143033696426</v>
      </c>
    </row>
    <row r="6" spans="1:74" outlineLevel="1" x14ac:dyDescent="0.25">
      <c r="A6" t="s">
        <v>6</v>
      </c>
      <c r="B6" s="6">
        <f>'Agency North'!C6+'Agency South'!C6</f>
        <v>1833.4189999999999</v>
      </c>
      <c r="C6" s="6">
        <f>'Agency North'!D6+'Agency South'!D6</f>
        <v>1845.8719999999989</v>
      </c>
      <c r="D6" s="6">
        <f>'Agency North'!E6+'Agency South'!E6</f>
        <v>2152.123</v>
      </c>
      <c r="E6" s="6">
        <f>'Agency North'!F6+'Agency South'!F6</f>
        <v>3245.8809999999999</v>
      </c>
      <c r="F6" s="6">
        <f>'Agency North'!G6+'Agency South'!G6</f>
        <v>3462.1035000000002</v>
      </c>
      <c r="G6" s="6">
        <f>'Agency North'!H6+'Agency South'!H6</f>
        <v>3583.7950000000001</v>
      </c>
      <c r="H6" s="6">
        <f>'Agency North'!I6+'Agency South'!I6</f>
        <v>3607.2930000000001</v>
      </c>
      <c r="I6" s="6">
        <f>'Agency North'!J6+'Agency South'!J6</f>
        <v>2551.8900000000003</v>
      </c>
      <c r="J6" s="6">
        <f>'Agency North'!K6+'Agency South'!K6</f>
        <v>4640.3310000000001</v>
      </c>
      <c r="K6" s="6">
        <f>'Agency North'!L6+'Agency South'!L6</f>
        <v>4692.4780000000001</v>
      </c>
      <c r="L6" s="6">
        <f>'Agency North'!M6+'Agency South'!M6</f>
        <v>3067.681</v>
      </c>
      <c r="M6" s="6">
        <f>'Agency North'!N6+'Agency South'!N6</f>
        <v>8836.2370000000101</v>
      </c>
      <c r="N6" s="6">
        <f>'Agency North'!O6+'Agency South'!O6</f>
        <v>1892.0679999999979</v>
      </c>
      <c r="O6" s="6">
        <f>'Agency North'!P6+'Agency South'!P6</f>
        <v>1061.71</v>
      </c>
      <c r="P6" s="6">
        <f>'Agency North'!Q6+'Agency South'!Q6</f>
        <v>1584.623</v>
      </c>
      <c r="Q6" s="6">
        <f>'Agency North'!R6+'Agency South'!R6</f>
        <v>3938.538</v>
      </c>
      <c r="R6" s="6">
        <f>'Agency North'!S6+'Agency South'!S6</f>
        <v>3667.857</v>
      </c>
      <c r="S6" s="6">
        <f>'Agency North'!T6+'Agency South'!T6</f>
        <v>6452.6640000000007</v>
      </c>
      <c r="T6" s="6">
        <f>'Agency North'!U6+'Agency South'!U6</f>
        <v>5352.9589999999998</v>
      </c>
      <c r="U6" s="6">
        <f>'Agency North'!V6+'Agency South'!V6</f>
        <v>3978.529</v>
      </c>
      <c r="V6" s="6">
        <f>'Agency North'!W6+'Agency South'!W6</f>
        <v>7996.2820000000202</v>
      </c>
      <c r="W6" s="6">
        <f>'Agency North'!X6+'Agency South'!X6</f>
        <v>7832.3809999999994</v>
      </c>
      <c r="X6" s="6">
        <f>'Agency North'!Y6+'Agency South'!Y6</f>
        <v>8536.5800000000108</v>
      </c>
      <c r="Y6" s="6">
        <f>'Agency North'!Z6+'Agency South'!Z6</f>
        <v>10129.290000000021</v>
      </c>
      <c r="Z6" s="22">
        <f>SUM(N6:INDEX(N6:Y6,$A$2))</f>
        <v>23950.418999999998</v>
      </c>
      <c r="AA6" s="22">
        <f t="shared" si="4"/>
        <v>4538.400999999998</v>
      </c>
      <c r="AB6" s="22">
        <f t="shared" si="5"/>
        <v>14059.059000000001</v>
      </c>
      <c r="AC6" s="22">
        <f t="shared" si="6"/>
        <v>17327.770000000019</v>
      </c>
      <c r="AD6" s="22">
        <f t="shared" si="7"/>
        <v>26498.251000000033</v>
      </c>
      <c r="AE6" s="22">
        <f>SUM(B6                                                                                : INDEX(B6:M6,$A$2))</f>
        <v>19730.486499999999</v>
      </c>
      <c r="AF6" s="22">
        <f t="shared" si="8"/>
        <v>5831.4139999999989</v>
      </c>
      <c r="AG6" s="22">
        <f t="shared" si="9"/>
        <v>10291.779500000001</v>
      </c>
      <c r="AH6" s="22">
        <f t="shared" si="10"/>
        <v>10799.514000000001</v>
      </c>
      <c r="AI6" s="22">
        <f t="shared" si="11"/>
        <v>16596.396000000008</v>
      </c>
      <c r="AJ6" s="31">
        <f t="shared" si="12"/>
        <v>0.2138787860096607</v>
      </c>
      <c r="AK6" s="31">
        <f t="shared" si="0"/>
        <v>-0.22173232769959417</v>
      </c>
      <c r="AL6" s="31">
        <f t="shared" si="1"/>
        <v>0.36604743620867519</v>
      </c>
      <c r="AM6" s="31">
        <f t="shared" si="1"/>
        <v>0.60449535043891944</v>
      </c>
      <c r="AN6" s="31">
        <f>AD6/SUM(K6:INDEX(K6:M6,MOD($A$2,3)))-1</f>
        <v>4.6469632889062096</v>
      </c>
      <c r="AO6" s="22">
        <f>'Agency North'!AP6+'Agency South'!AP6</f>
        <v>3546.127</v>
      </c>
      <c r="AP6" s="22">
        <f>'Agency North'!AQ6+'Agency South'!AQ6</f>
        <v>2647.5230000000001</v>
      </c>
      <c r="AQ6" s="22">
        <f>'Agency North'!AR6+'Agency South'!AR6</f>
        <v>7056.42</v>
      </c>
      <c r="AR6" s="22">
        <f>'Agency North'!AS6+'Agency South'!AS6</f>
        <v>6249.1180000000004</v>
      </c>
      <c r="AS6" s="22">
        <f>'Agency North'!AT6+'Agency South'!AT6</f>
        <v>5843.96</v>
      </c>
      <c r="AT6" s="22">
        <f>'Agency North'!AU6+'Agency South'!AU6</f>
        <v>4276.42</v>
      </c>
      <c r="AU6" s="22">
        <f>'Agency North'!AV6+'Agency South'!AV6</f>
        <v>5405.5009999999966</v>
      </c>
      <c r="BA6" s="110">
        <f>SUM(AO6:INDEX(AO6:AQ6,IF($A$2&lt;3,$A$2,3)))</f>
        <v>13250.07</v>
      </c>
      <c r="BB6" s="110">
        <f>SUM(AR6:INDEX(AR6:AT6,IF(AND($A$2&gt;3,A4&lt;7),$A$2-3,0)))</f>
        <v>16369.498000000001</v>
      </c>
      <c r="BC6" s="110">
        <f>SUM(AU6:INDEX(AU6:AW6,IF(AND($A$2&gt;6,$A$2&lt;10),$A$2-6,0)))</f>
        <v>5405.5009999999966</v>
      </c>
      <c r="BD6" s="110">
        <f>SUM(AX6:INDEX(AX6:AZ6,IF($A$2&gt;9,$A$2-9,0)))</f>
        <v>0</v>
      </c>
      <c r="BE6" s="110">
        <f>SUM($AO6:INDEX(AO6:AZ6,$A$2))</f>
        <v>35025.068999999996</v>
      </c>
      <c r="BF6" s="122">
        <f t="shared" si="13"/>
        <v>1.8742069523928335</v>
      </c>
      <c r="BG6" s="111">
        <f t="shared" si="14"/>
        <v>2.4936404479565986</v>
      </c>
      <c r="BH6" s="111">
        <f t="shared" si="15"/>
        <v>4.4530591819000485</v>
      </c>
      <c r="BI6" s="111">
        <f t="shared" si="16"/>
        <v>1.586659313684418</v>
      </c>
      <c r="BJ6" s="111">
        <f t="shared" si="17"/>
        <v>1.5932900328447919</v>
      </c>
      <c r="BK6" s="111">
        <f t="shared" si="18"/>
        <v>0.66273712686729069</v>
      </c>
      <c r="BL6" s="111">
        <f t="shared" si="19"/>
        <v>1.0098155057791396</v>
      </c>
      <c r="BM6" s="111">
        <f t="shared" si="20"/>
        <v>0</v>
      </c>
      <c r="BN6" s="111">
        <f t="shared" si="21"/>
        <v>0</v>
      </c>
      <c r="BO6" s="111">
        <f t="shared" si="22"/>
        <v>0</v>
      </c>
      <c r="BP6" s="111">
        <f t="shared" si="23"/>
        <v>0</v>
      </c>
      <c r="BQ6" s="111">
        <f t="shared" si="24"/>
        <v>0</v>
      </c>
      <c r="BR6" s="111">
        <f>BA6/SUM(N6:INDEX(N6:P6,IF($A$2&lt;3,$A$2,3)))</f>
        <v>2.9195458929257256</v>
      </c>
      <c r="BS6" s="111">
        <f>BB6/SUM(Q6:INDEX(Q6:S6,IF($A$2&lt;7,$A$2-3,3)))</f>
        <v>1.1643380968811639</v>
      </c>
      <c r="BT6" s="111">
        <f>BC6/SUM(T6:INDEX(T6:V6,IF($A$2&lt;7,$A$2-3,IF($A$2&lt;10,$A$2-6,IF($A$2&lt;13,$A$2-9,-1) ))))</f>
        <v>1.0098155057791396</v>
      </c>
      <c r="BU6" s="111">
        <f t="shared" si="3"/>
        <v>0</v>
      </c>
      <c r="BV6" s="111">
        <f t="shared" si="25"/>
        <v>1.4623990085517919</v>
      </c>
    </row>
    <row r="7" spans="1:74" outlineLevel="1" x14ac:dyDescent="0.25">
      <c r="A7" t="s">
        <v>7</v>
      </c>
      <c r="B7" s="6">
        <f>'Agency North'!C7+'Agency South'!C7</f>
        <v>2138.857</v>
      </c>
      <c r="C7" s="6">
        <f>'Agency North'!D7+'Agency South'!D7</f>
        <v>2025.3710000000001</v>
      </c>
      <c r="D7" s="6">
        <f>'Agency North'!E7+'Agency South'!E7</f>
        <v>4003.261</v>
      </c>
      <c r="E7" s="6">
        <f>'Agency North'!F7+'Agency South'!F7</f>
        <v>2267.1480000000001</v>
      </c>
      <c r="F7" s="6">
        <f>'Agency North'!G7+'Agency South'!G7</f>
        <v>2507.89</v>
      </c>
      <c r="G7" s="6">
        <f>'Agency North'!H7+'Agency South'!H7</f>
        <v>5719.6979999999903</v>
      </c>
      <c r="H7" s="6">
        <f>'Agency North'!I7+'Agency South'!I7</f>
        <v>4692.2430000000004</v>
      </c>
      <c r="I7" s="6">
        <f>'Agency North'!J7+'Agency South'!J7</f>
        <v>2581.433</v>
      </c>
      <c r="J7" s="6">
        <f>'Agency North'!K7+'Agency South'!K7</f>
        <v>5623.4359999999997</v>
      </c>
      <c r="K7" s="6">
        <f>'Agency North'!L7+'Agency South'!L7</f>
        <v>4675.3940000000002</v>
      </c>
      <c r="L7" s="6">
        <f>'Agency North'!M7+'Agency South'!M7</f>
        <v>7509.3860000000004</v>
      </c>
      <c r="M7" s="6">
        <f>'Agency North'!N7+'Agency South'!N7</f>
        <v>7476.3194999999996</v>
      </c>
      <c r="N7" s="6">
        <f>'Agency North'!O7+'Agency South'!O7</f>
        <v>2336.337</v>
      </c>
      <c r="O7" s="6">
        <f>'Agency North'!P7+'Agency South'!P7</f>
        <v>3415.6980000000003</v>
      </c>
      <c r="P7" s="6">
        <f>'Agency North'!Q7+'Agency South'!Q7</f>
        <v>5114.1030000000001</v>
      </c>
      <c r="Q7" s="6">
        <f>'Agency North'!R7+'Agency South'!R7</f>
        <v>2133.2659999999992</v>
      </c>
      <c r="R7" s="6">
        <f>'Agency North'!S7+'Agency South'!S7</f>
        <v>4489.7569999999996</v>
      </c>
      <c r="S7" s="6">
        <f>'Agency North'!T7+'Agency South'!T7</f>
        <v>6619.0450000000001</v>
      </c>
      <c r="T7" s="6">
        <f>'Agency North'!U7+'Agency South'!U7</f>
        <v>5448.5640000000003</v>
      </c>
      <c r="U7" s="6">
        <f>'Agency North'!V7+'Agency South'!V7</f>
        <v>6037.7960000000094</v>
      </c>
      <c r="V7" s="6">
        <f>'Agency North'!W7+'Agency South'!W7</f>
        <v>8443.2695000000003</v>
      </c>
      <c r="W7" s="6">
        <f>'Agency North'!X7+'Agency South'!X7</f>
        <v>5178.5619999999999</v>
      </c>
      <c r="X7" s="6">
        <f>'Agency North'!Y7+'Agency South'!Y7</f>
        <v>10998.69850000002</v>
      </c>
      <c r="Y7" s="6">
        <f>'Agency North'!Z7+'Agency South'!Z7</f>
        <v>22703.76300000013</v>
      </c>
      <c r="Z7" s="22">
        <f>SUM(N7:INDEX(N7:Y7,$A$2))</f>
        <v>29556.769999999997</v>
      </c>
      <c r="AA7" s="22">
        <f>SUM(N7:P7)</f>
        <v>10866.137999999999</v>
      </c>
      <c r="AB7" s="22">
        <f t="shared" si="5"/>
        <v>13242.067999999999</v>
      </c>
      <c r="AC7" s="22">
        <f t="shared" si="6"/>
        <v>19929.62950000001</v>
      </c>
      <c r="AD7" s="22">
        <f t="shared" si="7"/>
        <v>38881.023500000148</v>
      </c>
      <c r="AE7" s="22">
        <f>SUM(B7                                                                                : INDEX(B7:M7,$A$2))</f>
        <v>23354.467999999986</v>
      </c>
      <c r="AF7" s="22">
        <f t="shared" si="8"/>
        <v>8167.4889999999996</v>
      </c>
      <c r="AG7" s="22">
        <f t="shared" si="9"/>
        <v>10494.73599999999</v>
      </c>
      <c r="AH7" s="22">
        <f t="shared" si="10"/>
        <v>12897.112000000001</v>
      </c>
      <c r="AI7" s="22">
        <f t="shared" si="11"/>
        <v>19661.0995</v>
      </c>
      <c r="AJ7" s="31">
        <f t="shared" si="12"/>
        <v>0.26557239496956275</v>
      </c>
      <c r="AK7" s="31">
        <f t="shared" si="0"/>
        <v>0.33041354570541803</v>
      </c>
      <c r="AL7" s="31">
        <f t="shared" si="1"/>
        <v>0.26178190666254131</v>
      </c>
      <c r="AM7" s="31">
        <f t="shared" si="1"/>
        <v>0.54527847009470087</v>
      </c>
      <c r="AN7" s="31">
        <f>AD7/SUM(K7:INDEX(K7:M7,MOD($A$2,3)))-1</f>
        <v>7.3160956060601841</v>
      </c>
      <c r="AO7" s="22">
        <f>'Agency North'!AP7+'Agency South'!AP7</f>
        <v>6171.4570000000003</v>
      </c>
      <c r="AP7" s="22">
        <f>'Agency North'!AQ7+'Agency South'!AQ7</f>
        <v>9958.8110000000088</v>
      </c>
      <c r="AQ7" s="22">
        <f>'Agency North'!AR7+'Agency South'!AR7</f>
        <v>6642.41</v>
      </c>
      <c r="AR7" s="22">
        <f>'Agency North'!AS7+'Agency South'!AS7</f>
        <v>5431.5429999999997</v>
      </c>
      <c r="AS7" s="22">
        <f>'Agency North'!AT7+'Agency South'!AT7</f>
        <v>7162.16</v>
      </c>
      <c r="AT7" s="22">
        <f>'Agency North'!AU7+'Agency South'!AU7</f>
        <v>7271.48</v>
      </c>
      <c r="AU7" s="22">
        <f>'Agency North'!AV7+'Agency South'!AV7</f>
        <v>6083.0154999999922</v>
      </c>
      <c r="BA7" s="110">
        <f>SUM(AO7:INDEX(AO7:AQ7,IF($A$2&lt;3,$A$2,3)))</f>
        <v>22772.678000000007</v>
      </c>
      <c r="BB7" s="110">
        <f>SUM(AR7:INDEX(AR7:AT7,IF(AND($A$2&gt;3,A5&lt;7),$A$2-3,0)))</f>
        <v>19865.182999999997</v>
      </c>
      <c r="BC7" s="110">
        <f>SUM(AU7:INDEX(AU7:AW7,IF(AND($A$2&gt;6,$A$2&lt;10),$A$2-6,0)))</f>
        <v>6083.0154999999922</v>
      </c>
      <c r="BD7" s="110">
        <f>SUM(AX7:INDEX(AX7:AZ7,IF($A$2&gt;9,$A$2-9,0)))</f>
        <v>0</v>
      </c>
      <c r="BE7" s="110">
        <f>SUM($AO7:INDEX(AO7:AZ7,$A$2))</f>
        <v>48720.876499999998</v>
      </c>
      <c r="BF7" s="122">
        <f t="shared" si="13"/>
        <v>2.6415097650724189</v>
      </c>
      <c r="BG7" s="111">
        <f t="shared" si="14"/>
        <v>2.9156005595342469</v>
      </c>
      <c r="BH7" s="111">
        <f t="shared" si="15"/>
        <v>1.2988416541473646</v>
      </c>
      <c r="BI7" s="111">
        <f t="shared" si="16"/>
        <v>2.5461161430407655</v>
      </c>
      <c r="BJ7" s="111">
        <f t="shared" si="17"/>
        <v>1.5952221913123585</v>
      </c>
      <c r="BK7" s="111">
        <f t="shared" si="18"/>
        <v>1.0985693555490255</v>
      </c>
      <c r="BL7" s="111">
        <f t="shared" si="19"/>
        <v>1.1164438006050754</v>
      </c>
      <c r="BM7" s="111">
        <f t="shared" si="20"/>
        <v>0</v>
      </c>
      <c r="BN7" s="111">
        <f t="shared" si="21"/>
        <v>0</v>
      </c>
      <c r="BO7" s="111">
        <f t="shared" si="22"/>
        <v>0</v>
      </c>
      <c r="BP7" s="111">
        <f t="shared" si="23"/>
        <v>0</v>
      </c>
      <c r="BQ7" s="111">
        <f t="shared" si="24"/>
        <v>0</v>
      </c>
      <c r="BR7" s="111">
        <f>BA7/SUM(N7:INDEX(N7:P7,IF($A$2&lt;3,$A$2,3)))</f>
        <v>2.0957471734667834</v>
      </c>
      <c r="BS7" s="111">
        <f>BB7/SUM(Q7:INDEX(Q7:S7,IF($A$2&lt;7,$A$2-3,3)))</f>
        <v>1.5001571506806941</v>
      </c>
      <c r="BT7" s="111">
        <f>BC7/SUM(T7:INDEX(T7:V7,IF($A$2&lt;7,$A$2-3,IF($A$2&lt;10,$A$2-6,IF($A$2&lt;13,$A$2-9,-1) ))))</f>
        <v>1.1164438006050754</v>
      </c>
      <c r="BU7" s="111">
        <f t="shared" si="3"/>
        <v>0</v>
      </c>
      <c r="BV7" s="111">
        <f t="shared" si="25"/>
        <v>1.6483829762183082</v>
      </c>
    </row>
    <row r="8" spans="1:74" outlineLevel="1" x14ac:dyDescent="0.25">
      <c r="A8" t="s">
        <v>8</v>
      </c>
      <c r="B8" s="6">
        <f>'Agency North'!C8+'Agency South'!C8</f>
        <v>892.84500000000003</v>
      </c>
      <c r="C8" s="6">
        <f>'Agency North'!D8+'Agency South'!D8</f>
        <v>1141.2380000000001</v>
      </c>
      <c r="D8" s="6">
        <f>'Agency North'!E8+'Agency South'!E8</f>
        <v>2651.183</v>
      </c>
      <c r="E8" s="6">
        <f>'Agency North'!F8+'Agency South'!F8</f>
        <v>3955.297</v>
      </c>
      <c r="F8" s="6">
        <f>'Agency North'!G8+'Agency South'!G8</f>
        <v>3118.8090000000002</v>
      </c>
      <c r="G8" s="6">
        <f>'Agency North'!H8+'Agency South'!H8</f>
        <v>2872.9290000000001</v>
      </c>
      <c r="H8" s="6">
        <f>'Agency North'!I8+'Agency South'!I8</f>
        <v>3602.7525000000001</v>
      </c>
      <c r="I8" s="6">
        <f>'Agency North'!J8+'Agency South'!J8</f>
        <v>2927.777</v>
      </c>
      <c r="J8" s="6">
        <f>'Agency North'!K8+'Agency South'!K8</f>
        <v>4745.6809999999896</v>
      </c>
      <c r="K8" s="6">
        <f>'Agency North'!L8+'Agency South'!L8</f>
        <v>3822.6244999999999</v>
      </c>
      <c r="L8" s="6">
        <f>'Agency North'!M8+'Agency South'!M8</f>
        <v>5850.9989999999998</v>
      </c>
      <c r="M8" s="6">
        <f>'Agency North'!N8+'Agency South'!N8</f>
        <v>8437.9279999999999</v>
      </c>
      <c r="N8" s="6">
        <f>'Agency North'!O8+'Agency South'!O8</f>
        <v>1984.9610000000002</v>
      </c>
      <c r="O8" s="6">
        <f>'Agency North'!P8+'Agency South'!P8</f>
        <v>1746.779</v>
      </c>
      <c r="P8" s="6">
        <f>'Agency North'!Q8+'Agency South'!Q8</f>
        <v>5648.0219999999999</v>
      </c>
      <c r="Q8" s="6">
        <f>'Agency North'!R8+'Agency South'!R8</f>
        <v>5598.7109999999993</v>
      </c>
      <c r="R8" s="6">
        <f>'Agency North'!S8+'Agency South'!S8</f>
        <v>2982.6890000000003</v>
      </c>
      <c r="S8" s="6">
        <f>'Agency North'!T8+'Agency South'!T8</f>
        <v>2686.616</v>
      </c>
      <c r="T8" s="6">
        <f>'Agency North'!U8+'Agency South'!U8</f>
        <v>2630.8220000000001</v>
      </c>
      <c r="U8" s="6">
        <f>'Agency North'!V8+'Agency South'!V8</f>
        <v>3954.4870000000001</v>
      </c>
      <c r="V8" s="6">
        <f>'Agency North'!W8+'Agency South'!W8</f>
        <v>6037.6844999999994</v>
      </c>
      <c r="W8" s="6">
        <f>'Agency North'!X8+'Agency South'!X8</f>
        <v>6882.4295000000002</v>
      </c>
      <c r="X8" s="6">
        <f>'Agency North'!Y8+'Agency South'!Y8</f>
        <v>4610.6565000000001</v>
      </c>
      <c r="Y8" s="6">
        <f>'Agency North'!Z8+'Agency South'!Z8</f>
        <v>9361.8205000000198</v>
      </c>
      <c r="Z8" s="22">
        <f>SUM(N8:INDEX(N8:Y8,$A$2))</f>
        <v>23278.6</v>
      </c>
      <c r="AA8" s="22">
        <f t="shared" si="4"/>
        <v>9379.7620000000006</v>
      </c>
      <c r="AB8" s="22">
        <f t="shared" si="5"/>
        <v>11268.016</v>
      </c>
      <c r="AC8" s="22">
        <f t="shared" si="6"/>
        <v>12622.9935</v>
      </c>
      <c r="AD8" s="22">
        <f t="shared" si="7"/>
        <v>20854.906500000019</v>
      </c>
      <c r="AE8" s="22">
        <f>SUM(B8                                                                                : INDEX(B8:M8,$A$2))</f>
        <v>18235.053499999998</v>
      </c>
      <c r="AF8" s="22">
        <f t="shared" si="8"/>
        <v>4685.2659999999996</v>
      </c>
      <c r="AG8" s="22">
        <f t="shared" si="9"/>
        <v>9947.0349999999999</v>
      </c>
      <c r="AH8" s="22">
        <f t="shared" si="10"/>
        <v>11276.21049999999</v>
      </c>
      <c r="AI8" s="22">
        <f t="shared" si="11"/>
        <v>18111.551500000001</v>
      </c>
      <c r="AJ8" s="31">
        <f t="shared" si="12"/>
        <v>0.27658523184480921</v>
      </c>
      <c r="AK8" s="31">
        <f t="shared" si="0"/>
        <v>1.0019700055450431</v>
      </c>
      <c r="AL8" s="31">
        <f t="shared" si="1"/>
        <v>0.13280148305500084</v>
      </c>
      <c r="AM8" s="31">
        <f t="shared" si="1"/>
        <v>0.1194357803093522</v>
      </c>
      <c r="AN8" s="31">
        <f>AD8/SUM(K8:INDEX(K8:M8,MOD($A$2,3)))-1</f>
        <v>4.4556513463459515</v>
      </c>
      <c r="AO8" s="22">
        <f>'Agency North'!AP8+'Agency South'!AP8</f>
        <v>2961.2905000000001</v>
      </c>
      <c r="AP8" s="22">
        <f>'Agency North'!AQ8+'Agency South'!AQ8</f>
        <v>6837.1260000000002</v>
      </c>
      <c r="AQ8" s="22">
        <f>'Agency North'!AR8+'Agency South'!AR8</f>
        <v>10339.25</v>
      </c>
      <c r="AR8" s="22">
        <f>'Agency North'!AS8+'Agency South'!AS8</f>
        <v>8147.5694999999996</v>
      </c>
      <c r="AS8" s="22">
        <f>'Agency North'!AT8+'Agency South'!AT8</f>
        <v>5308.4400000000005</v>
      </c>
      <c r="AT8" s="22">
        <f>'Agency North'!AU8+'Agency South'!AU8</f>
        <v>6344.87</v>
      </c>
      <c r="AU8" s="22">
        <f>'Agency North'!AV8+'Agency South'!AV8</f>
        <v>4497.0609999999979</v>
      </c>
      <c r="BA8" s="110">
        <f>SUM(AO8:INDEX(AO8:AQ8,IF($A$2&lt;3,$A$2,3)))</f>
        <v>20137.666499999999</v>
      </c>
      <c r="BB8" s="110">
        <f>SUM(AR8:INDEX(AR8:AT8,IF(AND($A$2&gt;3,A6&lt;7),$A$2-3,0)))</f>
        <v>19800.879499999999</v>
      </c>
      <c r="BC8" s="110">
        <f>SUM(AU8:INDEX(AU8:AW8,IF(AND($A$2&gt;6,$A$2&lt;10),$A$2-6,0)))</f>
        <v>4497.0609999999979</v>
      </c>
      <c r="BD8" s="110">
        <f>SUM(AX8:INDEX(AX8:AZ8,IF($A$2&gt;9,$A$2-9,0)))</f>
        <v>0</v>
      </c>
      <c r="BE8" s="110">
        <f>SUM($AO8:INDEX(AO8:AZ8,$A$2))</f>
        <v>44435.607000000004</v>
      </c>
      <c r="BF8" s="122">
        <f t="shared" si="13"/>
        <v>1.4918633162062125</v>
      </c>
      <c r="BG8" s="111">
        <f t="shared" si="14"/>
        <v>3.9141333849330682</v>
      </c>
      <c r="BH8" s="111">
        <f t="shared" si="15"/>
        <v>1.8305966230301511</v>
      </c>
      <c r="BI8" s="111">
        <f t="shared" si="16"/>
        <v>1.4552580942291897</v>
      </c>
      <c r="BJ8" s="111">
        <f t="shared" si="17"/>
        <v>1.7797497493033971</v>
      </c>
      <c r="BK8" s="111">
        <f t="shared" si="18"/>
        <v>2.3616586814044136</v>
      </c>
      <c r="BL8" s="111">
        <f t="shared" si="19"/>
        <v>1.7093748645860487</v>
      </c>
      <c r="BM8" s="111">
        <f t="shared" si="20"/>
        <v>0</v>
      </c>
      <c r="BN8" s="111">
        <f t="shared" si="21"/>
        <v>0</v>
      </c>
      <c r="BO8" s="111">
        <f t="shared" si="22"/>
        <v>0</v>
      </c>
      <c r="BP8" s="111">
        <f t="shared" si="23"/>
        <v>0</v>
      </c>
      <c r="BQ8" s="111">
        <f t="shared" si="24"/>
        <v>0</v>
      </c>
      <c r="BR8" s="111">
        <f>BA8/SUM(N8:INDEX(N8:P8,IF($A$2&lt;3,$A$2,3)))</f>
        <v>2.1469272354671682</v>
      </c>
      <c r="BS8" s="111">
        <f>BB8/SUM(Q8:INDEX(Q8:S8,IF($A$2&lt;7,$A$2-3,3)))</f>
        <v>1.7572640560680779</v>
      </c>
      <c r="BT8" s="111">
        <f>BC8/SUM(T8:INDEX(T8:V8,IF($A$2&lt;7,$A$2-3,IF($A$2&lt;10,$A$2-6,IF($A$2&lt;13,$A$2-9,-1) ))))</f>
        <v>1.7093748645860487</v>
      </c>
      <c r="BU8" s="111">
        <f t="shared" si="3"/>
        <v>0</v>
      </c>
      <c r="BV8" s="111">
        <f t="shared" si="25"/>
        <v>1.908860799188955</v>
      </c>
    </row>
    <row r="9" spans="1:74" outlineLevel="1" x14ac:dyDescent="0.25">
      <c r="A9" t="s">
        <v>1</v>
      </c>
      <c r="B9" s="6">
        <f>'Agency North'!C9+'Agency South'!C9</f>
        <v>914.47900000000004</v>
      </c>
      <c r="C9" s="6">
        <f>'Agency North'!D9+'Agency South'!D9</f>
        <v>1213.105</v>
      </c>
      <c r="D9" s="6">
        <f>'Agency North'!E9+'Agency South'!E9</f>
        <v>1431.7315000000001</v>
      </c>
      <c r="E9" s="6">
        <f>'Agency North'!F9+'Agency South'!F9</f>
        <v>3355.0014999999999</v>
      </c>
      <c r="F9" s="6">
        <f>'Agency North'!G9+'Agency South'!G9</f>
        <v>2541.7690000000002</v>
      </c>
      <c r="G9" s="6">
        <f>'Agency North'!H9+'Agency South'!H9</f>
        <v>5312.2894999999999</v>
      </c>
      <c r="H9" s="6">
        <f>'Agency North'!I9+'Agency South'!I9</f>
        <v>4173.518</v>
      </c>
      <c r="I9" s="6">
        <f>'Agency North'!J9+'Agency South'!J9</f>
        <v>2275.2130000000002</v>
      </c>
      <c r="J9" s="6">
        <f>'Agency North'!K9+'Agency South'!K9</f>
        <v>5555.9755000000005</v>
      </c>
      <c r="K9" s="6">
        <f>'Agency North'!L9+'Agency South'!L9</f>
        <v>4704.2089999999998</v>
      </c>
      <c r="L9" s="6">
        <f>'Agency North'!M9+'Agency South'!M9</f>
        <v>7974.4080000000104</v>
      </c>
      <c r="M9" s="6">
        <f>'Agency North'!N9+'Agency South'!N9</f>
        <v>8764.4260000000104</v>
      </c>
      <c r="N9" s="6">
        <f>'Agency North'!O9+'Agency South'!O9</f>
        <v>1616.8400000000001</v>
      </c>
      <c r="O9" s="6">
        <f>'Agency North'!P9+'Agency South'!P9</f>
        <v>2068.085</v>
      </c>
      <c r="P9" s="6">
        <f>'Agency North'!Q9+'Agency South'!Q9</f>
        <v>5000.5460000000003</v>
      </c>
      <c r="Q9" s="6">
        <f>'Agency North'!R9+'Agency South'!R9</f>
        <v>3447.4809999999998</v>
      </c>
      <c r="R9" s="6">
        <f>'Agency North'!S9+'Agency South'!S9</f>
        <v>4656.9429999999993</v>
      </c>
      <c r="S9" s="6">
        <f>'Agency North'!T9+'Agency South'!T9</f>
        <v>5839.1910000000007</v>
      </c>
      <c r="T9" s="6">
        <f>'Agency North'!U9+'Agency South'!U9</f>
        <v>4157.2150000000001</v>
      </c>
      <c r="U9" s="6">
        <f>'Agency North'!V9+'Agency South'!V9</f>
        <v>3667.2645000000002</v>
      </c>
      <c r="V9" s="6">
        <f>'Agency North'!W9+'Agency South'!W9</f>
        <v>4619.116</v>
      </c>
      <c r="W9" s="6">
        <f>'Agency North'!X9+'Agency South'!X9</f>
        <v>3624.163</v>
      </c>
      <c r="X9" s="6">
        <f>'Agency North'!Y9+'Agency South'!Y9</f>
        <v>6912.0489999999991</v>
      </c>
      <c r="Y9" s="6">
        <f>'Agency North'!Z9+'Agency South'!Z9</f>
        <v>13800.907000000021</v>
      </c>
      <c r="Z9" s="22">
        <f>SUM(N9:INDEX(N9:Y9,$A$2))</f>
        <v>26786.301000000003</v>
      </c>
      <c r="AA9" s="22">
        <f t="shared" si="4"/>
        <v>8685.4710000000014</v>
      </c>
      <c r="AB9" s="22">
        <f t="shared" si="5"/>
        <v>13943.615</v>
      </c>
      <c r="AC9" s="22">
        <f t="shared" si="6"/>
        <v>12443.595499999999</v>
      </c>
      <c r="AD9" s="22">
        <f t="shared" si="7"/>
        <v>24337.119000000021</v>
      </c>
      <c r="AE9" s="22">
        <f>SUM(B9                                                                                : INDEX(B9:M9,$A$2))</f>
        <v>18941.893499999998</v>
      </c>
      <c r="AF9" s="22">
        <f t="shared" si="8"/>
        <v>3559.3154999999997</v>
      </c>
      <c r="AG9" s="22">
        <f t="shared" si="9"/>
        <v>11209.060000000001</v>
      </c>
      <c r="AH9" s="22">
        <f t="shared" si="10"/>
        <v>12004.7065</v>
      </c>
      <c r="AI9" s="22">
        <f t="shared" si="11"/>
        <v>21443.04300000002</v>
      </c>
      <c r="AJ9" s="31">
        <f t="shared" si="12"/>
        <v>0.41413006043983969</v>
      </c>
      <c r="AK9" s="31">
        <f t="shared" si="0"/>
        <v>1.4402082366679778</v>
      </c>
      <c r="AL9" s="31">
        <f t="shared" si="1"/>
        <v>0.24395935073949082</v>
      </c>
      <c r="AM9" s="31">
        <f t="shared" si="1"/>
        <v>3.655974429695541E-2</v>
      </c>
      <c r="AN9" s="31">
        <f>AD9/SUM(K9:INDEX(K9:M9,MOD($A$2,3)))-1</f>
        <v>4.1734774113990305</v>
      </c>
      <c r="AO9" s="22">
        <f>'Agency North'!AP9+'Agency South'!AP9</f>
        <v>992.26800000000003</v>
      </c>
      <c r="AP9" s="22">
        <f>'Agency North'!AQ9+'Agency South'!AQ9</f>
        <v>1700.1190000000001</v>
      </c>
      <c r="AQ9" s="22">
        <f>'Agency North'!AR9+'Agency South'!AR9</f>
        <v>3432.09</v>
      </c>
      <c r="AR9" s="22">
        <f>'Agency North'!AS9+'Agency South'!AS9</f>
        <v>4899.13</v>
      </c>
      <c r="AS9" s="22">
        <f>'Agency North'!AT9+'Agency South'!AT9</f>
        <v>11450.16</v>
      </c>
      <c r="AT9" s="22">
        <f>'Agency North'!AU9+'Agency South'!AU9</f>
        <v>6582.3899999999994</v>
      </c>
      <c r="AU9" s="22">
        <f>'Agency North'!AV9+'Agency South'!AV9</f>
        <v>5777.6380000000008</v>
      </c>
      <c r="BA9" s="110">
        <f>SUM(AO9:INDEX(AO9:AQ9,IF($A$2&lt;3,$A$2,3)))</f>
        <v>6124.4770000000008</v>
      </c>
      <c r="BB9" s="110">
        <f>SUM(AR9:INDEX(AR9:AT9,IF(AND($A$2&gt;3,A7&lt;7),$A$2-3,0)))</f>
        <v>22931.68</v>
      </c>
      <c r="BC9" s="110">
        <f>SUM(AU9:INDEX(AU9:AW9,IF(AND($A$2&gt;6,$A$2&lt;10),$A$2-6,0)))</f>
        <v>5777.6380000000008</v>
      </c>
      <c r="BD9" s="110">
        <f>SUM(AX9:INDEX(AX9:AZ9,IF($A$2&gt;9,$A$2-9,0)))</f>
        <v>0</v>
      </c>
      <c r="BE9" s="110">
        <f>SUM($AO9:INDEX(AO9:AZ9,$A$2))</f>
        <v>34833.794999999998</v>
      </c>
      <c r="BF9" s="122">
        <f t="shared" si="13"/>
        <v>0.61370822097424604</v>
      </c>
      <c r="BG9" s="111">
        <f t="shared" si="14"/>
        <v>0.82207404434537268</v>
      </c>
      <c r="BH9" s="111">
        <f t="shared" si="15"/>
        <v>0.68634305133879381</v>
      </c>
      <c r="BI9" s="111">
        <f t="shared" si="16"/>
        <v>1.421075272060963</v>
      </c>
      <c r="BJ9" s="111">
        <f t="shared" si="17"/>
        <v>2.4587288270438359</v>
      </c>
      <c r="BK9" s="111">
        <f t="shared" si="18"/>
        <v>1.1272777341929727</v>
      </c>
      <c r="BL9" s="111">
        <f t="shared" si="19"/>
        <v>1.3897857099043471</v>
      </c>
      <c r="BM9" s="111">
        <f t="shared" si="20"/>
        <v>0</v>
      </c>
      <c r="BN9" s="111">
        <f t="shared" si="21"/>
        <v>0</v>
      </c>
      <c r="BO9" s="111">
        <f t="shared" si="22"/>
        <v>0</v>
      </c>
      <c r="BP9" s="111">
        <f t="shared" si="23"/>
        <v>0</v>
      </c>
      <c r="BQ9" s="111">
        <f t="shared" si="24"/>
        <v>0</v>
      </c>
      <c r="BR9" s="111">
        <f>BA9/SUM(N9:INDEX(N9:P9,IF($A$2&lt;3,$A$2,3)))</f>
        <v>0.70514045812829262</v>
      </c>
      <c r="BS9" s="111">
        <f>BB9/SUM(Q9:INDEX(Q9:S9,IF($A$2&lt;7,$A$2-3,3)))</f>
        <v>1.6446007724682588</v>
      </c>
      <c r="BT9" s="111">
        <f>BC9/SUM(T9:INDEX(T9:V9,IF($A$2&lt;7,$A$2-3,IF($A$2&lt;10,$A$2-6,IF($A$2&lt;13,$A$2-9,-1) ))))</f>
        <v>1.3897857099043471</v>
      </c>
      <c r="BU9" s="111">
        <f t="shared" si="3"/>
        <v>0</v>
      </c>
      <c r="BV9" s="111">
        <f t="shared" si="25"/>
        <v>1.3004331953112898</v>
      </c>
    </row>
    <row r="10" spans="1:74" outlineLevel="1" x14ac:dyDescent="0.25">
      <c r="A10" t="s">
        <v>2</v>
      </c>
      <c r="B10" s="6">
        <f>'Agency North'!C10+'Agency South'!C10</f>
        <v>370.36799999999999</v>
      </c>
      <c r="C10" s="6">
        <f>'Agency North'!D10+'Agency South'!D10</f>
        <v>383.92399999999998</v>
      </c>
      <c r="D10" s="6">
        <f>'Agency North'!E10+'Agency South'!E10</f>
        <v>652.58399999999995</v>
      </c>
      <c r="E10" s="6">
        <f>'Agency North'!F10+'Agency South'!F10</f>
        <v>435.28000000000003</v>
      </c>
      <c r="F10" s="6">
        <f>'Agency North'!G10+'Agency South'!G10</f>
        <v>488.78949999999998</v>
      </c>
      <c r="G10" s="6">
        <f>'Agency North'!H10+'Agency South'!H10</f>
        <v>1118.5895</v>
      </c>
      <c r="H10" s="6">
        <f>'Agency North'!I10+'Agency South'!I10</f>
        <v>1025.4450000000002</v>
      </c>
      <c r="I10" s="6">
        <f>'Agency North'!J10+'Agency South'!J10</f>
        <v>1095.4749999999999</v>
      </c>
      <c r="J10" s="6">
        <f>'Agency North'!K10+'Agency South'!K10</f>
        <v>5113.8140000000003</v>
      </c>
      <c r="K10" s="6">
        <f>'Agency North'!L10+'Agency South'!L10</f>
        <v>-761.30449999999996</v>
      </c>
      <c r="L10" s="6">
        <f>'Agency North'!M10+'Agency South'!M10</f>
        <v>4491.8275000000003</v>
      </c>
      <c r="M10" s="6">
        <f>'Agency North'!N10+'Agency South'!N10</f>
        <v>6641.0084999999899</v>
      </c>
      <c r="N10" s="6">
        <f>'Agency North'!O10+'Agency South'!O10</f>
        <v>1390.241</v>
      </c>
      <c r="O10" s="6">
        <f>'Agency North'!P10+'Agency South'!P10</f>
        <v>2245.1</v>
      </c>
      <c r="P10" s="6">
        <f>'Agency North'!Q10+'Agency South'!Q10</f>
        <v>3288.703</v>
      </c>
      <c r="Q10" s="6">
        <f>'Agency North'!R10+'Agency South'!R10</f>
        <v>1626.6079999999999</v>
      </c>
      <c r="R10" s="6">
        <f>'Agency North'!S10+'Agency South'!S10</f>
        <v>2680.299</v>
      </c>
      <c r="S10" s="6">
        <f>'Agency North'!T10+'Agency South'!T10</f>
        <v>4180.3064999999997</v>
      </c>
      <c r="T10" s="6">
        <f>'Agency North'!U10+'Agency South'!U10</f>
        <v>2403.6120000000001</v>
      </c>
      <c r="U10" s="6">
        <f>'Agency North'!V10+'Agency South'!V10</f>
        <v>3551.4490000000005</v>
      </c>
      <c r="V10" s="6">
        <f>'Agency North'!W10+'Agency South'!W10</f>
        <v>4639.3344999999999</v>
      </c>
      <c r="W10" s="6">
        <f>'Agency North'!X10+'Agency South'!X10</f>
        <v>4941.2674999999999</v>
      </c>
      <c r="X10" s="6">
        <f>'Agency North'!Y10+'Agency South'!Y10</f>
        <v>4847.0514999999996</v>
      </c>
      <c r="Y10" s="6">
        <f>'Agency North'!Z10+'Agency South'!Z10</f>
        <v>12830.06100000002</v>
      </c>
      <c r="Z10" s="22">
        <f>SUM(N10:INDEX(N10:Y10,$A$2))</f>
        <v>17814.869500000001</v>
      </c>
      <c r="AA10" s="22">
        <f t="shared" si="4"/>
        <v>6924.0439999999999</v>
      </c>
      <c r="AB10" s="22">
        <f t="shared" si="5"/>
        <v>8487.2134999999998</v>
      </c>
      <c r="AC10" s="22">
        <f t="shared" si="6"/>
        <v>10594.395500000001</v>
      </c>
      <c r="AD10" s="22">
        <f t="shared" si="7"/>
        <v>22618.380000000019</v>
      </c>
      <c r="AE10" s="22">
        <f>SUM(B10                                                                                : INDEX(B10:M10,$A$2))</f>
        <v>4474.9799999999996</v>
      </c>
      <c r="AF10" s="22">
        <f t="shared" si="8"/>
        <v>1406.8759999999997</v>
      </c>
      <c r="AG10" s="22">
        <f t="shared" si="9"/>
        <v>2042.6590000000001</v>
      </c>
      <c r="AH10" s="22">
        <f t="shared" si="10"/>
        <v>7234.7340000000004</v>
      </c>
      <c r="AI10" s="22">
        <f t="shared" si="11"/>
        <v>10371.53149999999</v>
      </c>
      <c r="AJ10" s="31">
        <f t="shared" si="12"/>
        <v>2.9809942167339303</v>
      </c>
      <c r="AK10" s="31">
        <f t="shared" si="0"/>
        <v>3.9215737563225197</v>
      </c>
      <c r="AL10" s="31">
        <f t="shared" si="1"/>
        <v>3.1549830392640175</v>
      </c>
      <c r="AM10" s="31">
        <f t="shared" si="1"/>
        <v>0.46437940911165487</v>
      </c>
      <c r="AN10" s="31">
        <f>AD10/SUM(K10:INDEX(K10:M10,MOD($A$2,3)))-1</f>
        <v>-30.710030611929945</v>
      </c>
      <c r="AO10" s="22">
        <f>'Agency North'!AP10+'Agency South'!AP10</f>
        <v>2906.8535000000002</v>
      </c>
      <c r="AP10" s="22">
        <f>'Agency North'!AQ10+'Agency South'!AQ10</f>
        <v>2951.9944999999998</v>
      </c>
      <c r="AQ10" s="22">
        <f>'Agency North'!AR10+'Agency South'!AR10</f>
        <v>4007.6600000000003</v>
      </c>
      <c r="AR10" s="22">
        <f>'Agency North'!AS10+'Agency South'!AS10</f>
        <v>4081.616</v>
      </c>
      <c r="AS10" s="22">
        <f>'Agency North'!AT10+'Agency South'!AT10</f>
        <v>3960.66</v>
      </c>
      <c r="AT10" s="22">
        <f>'Agency North'!AU10+'Agency South'!AU10</f>
        <v>4094.92</v>
      </c>
      <c r="AU10" s="22">
        <f>'Agency North'!AV10+'Agency South'!AV10</f>
        <v>4158.6224999999977</v>
      </c>
      <c r="BA10" s="110">
        <f>SUM(AO10:INDEX(AO10:AQ10,IF($A$2&lt;3,$A$2,3)))</f>
        <v>9866.5079999999998</v>
      </c>
      <c r="BB10" s="110">
        <f>SUM(AR10:INDEX(AR10:AT10,IF(AND($A$2&gt;3,A8&lt;7),$A$2-3,0)))</f>
        <v>12137.196</v>
      </c>
      <c r="BC10" s="110">
        <f>SUM(AU10:INDEX(AU10:AW10,IF(AND($A$2&gt;6,$A$2&lt;10),$A$2-6,0)))</f>
        <v>4158.6224999999977</v>
      </c>
      <c r="BD10" s="110">
        <f>SUM(AX10:INDEX(AX10:AZ10,IF($A$2&gt;9,$A$2-9,0)))</f>
        <v>0</v>
      </c>
      <c r="BE10" s="110">
        <f>SUM($AO10:INDEX(AO10:AZ10,$A$2))</f>
        <v>26162.326499999996</v>
      </c>
      <c r="BF10" s="122">
        <f t="shared" si="13"/>
        <v>2.0908989880171855</v>
      </c>
      <c r="BG10" s="111">
        <f t="shared" si="14"/>
        <v>1.314861030689056</v>
      </c>
      <c r="BH10" s="111">
        <f t="shared" si="15"/>
        <v>1.2186141466711955</v>
      </c>
      <c r="BI10" s="111">
        <f t="shared" si="16"/>
        <v>2.5092806625812734</v>
      </c>
      <c r="BJ10" s="111">
        <f t="shared" si="17"/>
        <v>1.4776933468989839</v>
      </c>
      <c r="BK10" s="111">
        <f t="shared" si="18"/>
        <v>0.97957410539155454</v>
      </c>
      <c r="BL10" s="111">
        <f t="shared" si="19"/>
        <v>1.730155490986065</v>
      </c>
      <c r="BM10" s="111">
        <f t="shared" si="20"/>
        <v>0</v>
      </c>
      <c r="BN10" s="111">
        <f t="shared" si="21"/>
        <v>0</v>
      </c>
      <c r="BO10" s="111">
        <f t="shared" si="22"/>
        <v>0</v>
      </c>
      <c r="BP10" s="111">
        <f t="shared" si="23"/>
        <v>0</v>
      </c>
      <c r="BQ10" s="111">
        <f t="shared" si="24"/>
        <v>0</v>
      </c>
      <c r="BR10" s="111">
        <f>BA10/SUM(N10:INDEX(N10:P10,IF($A$2&lt;3,$A$2,3)))</f>
        <v>1.4249632151384364</v>
      </c>
      <c r="BS10" s="111">
        <f>BB10/SUM(Q10:INDEX(Q10:S10,IF($A$2&lt;7,$A$2-3,3)))</f>
        <v>1.4300566375524781</v>
      </c>
      <c r="BT10" s="111">
        <f>BC10/SUM(T10:INDEX(T10:V10,IF($A$2&lt;7,$A$2-3,IF($A$2&lt;10,$A$2-6,IF($A$2&lt;13,$A$2-9,-1) ))))</f>
        <v>1.730155490986065</v>
      </c>
      <c r="BU10" s="111">
        <f t="shared" si="3"/>
        <v>0</v>
      </c>
      <c r="BV10" s="111">
        <f t="shared" si="25"/>
        <v>1.4685668340146973</v>
      </c>
    </row>
    <row r="11" spans="1:74" outlineLevel="1" x14ac:dyDescent="0.25">
      <c r="A11" s="135" t="s">
        <v>136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31"/>
      <c r="AK11" s="31"/>
      <c r="AL11" s="31"/>
      <c r="AM11" s="31"/>
      <c r="AN11" s="31"/>
      <c r="AO11" s="22"/>
      <c r="AP11" s="22">
        <f>'Agency North'!AQ11+'Agency South'!AQ11</f>
        <v>1616.0350000000001</v>
      </c>
      <c r="AQ11" s="22">
        <f>'Agency North'!AR11+'Agency South'!AR11</f>
        <v>1409.23</v>
      </c>
      <c r="AR11" s="22">
        <f>'Agency North'!AS11+'Agency South'!AS11</f>
        <v>3009.7334999999998</v>
      </c>
      <c r="AS11" s="22">
        <f>'Agency North'!AT11+'Agency South'!AT11</f>
        <v>1377.6</v>
      </c>
      <c r="AT11" s="22">
        <f>'Agency North'!AU11+'Agency South'!AU11</f>
        <v>909.17</v>
      </c>
      <c r="AU11" s="22">
        <f>'Agency North'!AV11+'Agency South'!AV11</f>
        <v>1140.2179999999998</v>
      </c>
      <c r="BA11" s="110">
        <f>SUM(AO11:INDEX(AO11:AQ11,IF($A$2&lt;3,$A$2,3)))</f>
        <v>3025.2650000000003</v>
      </c>
      <c r="BB11" s="110">
        <f>SUM(AR11:INDEX(AR11:AT11,IF(AND($A$2&gt;3,A9&lt;7),$A$2-3,0)))</f>
        <v>5296.5034999999998</v>
      </c>
      <c r="BC11" s="110"/>
      <c r="BD11" s="110"/>
      <c r="BE11" s="110">
        <f>SUM($AO11:INDEX(AO11:AZ11,$A$2))</f>
        <v>9461.9864999999991</v>
      </c>
      <c r="BF11" s="122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</row>
    <row r="12" spans="1:74" s="17" customFormat="1" x14ac:dyDescent="0.25">
      <c r="A12" s="1" t="s">
        <v>3</v>
      </c>
      <c r="B12" s="7">
        <f>SUM(B4:B10)</f>
        <v>10417.638999999999</v>
      </c>
      <c r="C12" s="7">
        <f t="shared" ref="C12" si="26">SUM(C4:C10)</f>
        <v>9049.0069999999978</v>
      </c>
      <c r="D12" s="7">
        <f t="shared" ref="D12" si="27">SUM(D4:D10)</f>
        <v>19003.816999999999</v>
      </c>
      <c r="E12" s="7">
        <f t="shared" ref="E12" si="28">SUM(E4:E10)</f>
        <v>23838.465999999997</v>
      </c>
      <c r="F12" s="7">
        <f t="shared" ref="F12" si="29">SUM(F4:F10)</f>
        <v>18586.255000000001</v>
      </c>
      <c r="G12" s="7">
        <f t="shared" ref="G12" si="30">SUM(G4:G10)</f>
        <v>27305.806999999993</v>
      </c>
      <c r="H12" s="7">
        <f t="shared" ref="H12" si="31">SUM(H4:H10)</f>
        <v>29199.373999999996</v>
      </c>
      <c r="I12" s="7">
        <f t="shared" ref="I12" si="32">SUM(I4:I10)</f>
        <v>16805.392</v>
      </c>
      <c r="J12" s="7">
        <f t="shared" ref="J12" si="33">SUM(J4:J10)</f>
        <v>38876.936999999991</v>
      </c>
      <c r="K12" s="7">
        <f>SUM(K4:K10)</f>
        <v>25749.087999999992</v>
      </c>
      <c r="L12" s="7">
        <f t="shared" ref="L12" si="34">SUM(L4:L10)</f>
        <v>42738.083000000042</v>
      </c>
      <c r="M12" s="7">
        <f t="shared" ref="M12" si="35">SUM(M4:M10)</f>
        <v>58359.96899999999</v>
      </c>
      <c r="N12" s="7">
        <f t="shared" ref="N12" si="36">SUM(N4:N10)</f>
        <v>12838.284999999998</v>
      </c>
      <c r="O12" s="7">
        <f t="shared" ref="O12" si="37">SUM(O4:O10)</f>
        <v>13773.312999999971</v>
      </c>
      <c r="P12" s="7">
        <f t="shared" ref="P12" si="38">SUM(P4:P10)</f>
        <v>34185.045999999995</v>
      </c>
      <c r="Q12" s="7">
        <f t="shared" ref="Q12" si="39">SUM(Q4:Q10)</f>
        <v>30847.053000000011</v>
      </c>
      <c r="R12" s="7">
        <f t="shared" ref="R12" si="40">SUM(R4:R10)</f>
        <v>28153.600999999995</v>
      </c>
      <c r="S12" s="7">
        <f t="shared" ref="S12" si="41">SUM(S4:S10)</f>
        <v>42170.820000000072</v>
      </c>
      <c r="T12" s="34">
        <f t="shared" ref="T12" si="42">SUM(T4:T10)</f>
        <v>30013.258000000013</v>
      </c>
      <c r="U12" s="7">
        <f t="shared" ref="U12" si="43">SUM(U4:U10)</f>
        <v>31855.821000000029</v>
      </c>
      <c r="V12" s="7">
        <f t="shared" ref="V12" si="44">SUM(V4:V10)</f>
        <v>49057.181000000062</v>
      </c>
      <c r="W12" s="7">
        <f t="shared" ref="W12" si="45">SUM(W4:W10)</f>
        <v>40118.116000000016</v>
      </c>
      <c r="X12" s="7">
        <f t="shared" ref="X12" si="46">SUM(X4:X10)</f>
        <v>51027.211000000083</v>
      </c>
      <c r="Y12" s="7">
        <f t="shared" ref="Y12:AD12" si="47">SUM(Y4:Y10)</f>
        <v>96296.744000000326</v>
      </c>
      <c r="Z12" s="7">
        <f t="shared" si="47"/>
        <v>191981.37600000005</v>
      </c>
      <c r="AA12" s="7">
        <f t="shared" si="47"/>
        <v>60796.643999999964</v>
      </c>
      <c r="AB12" s="7">
        <f t="shared" si="47"/>
        <v>101171.47400000009</v>
      </c>
      <c r="AC12" s="7">
        <f t="shared" si="47"/>
        <v>110926.2600000001</v>
      </c>
      <c r="AD12" s="7">
        <f t="shared" si="47"/>
        <v>187442.0710000004</v>
      </c>
      <c r="AE12" s="7">
        <f>SUM(AE4:AE10)</f>
        <v>137400.36499999999</v>
      </c>
      <c r="AF12" s="7">
        <f t="shared" ref="AF12:AI12" si="48">SUM(AF4:AF10)</f>
        <v>38470.462999999996</v>
      </c>
      <c r="AG12" s="7">
        <f t="shared" si="48"/>
        <v>69730.527999999991</v>
      </c>
      <c r="AH12" s="7">
        <f t="shared" si="48"/>
        <v>84881.70299999998</v>
      </c>
      <c r="AI12" s="7">
        <f t="shared" si="48"/>
        <v>126847.14000000001</v>
      </c>
      <c r="AJ12" s="32">
        <f>(Z12+Z13*0.1)/(AE12+AE13*0.1)-1</f>
        <v>0.393832476553029</v>
      </c>
      <c r="AK12" s="32">
        <f t="shared" si="0"/>
        <v>0.58034604366471942</v>
      </c>
      <c r="AL12" s="32">
        <f t="shared" si="1"/>
        <v>0.45089212575588267</v>
      </c>
      <c r="AM12" s="31">
        <f t="shared" si="1"/>
        <v>0.30683358226212931</v>
      </c>
      <c r="AN12" s="31">
        <f>AD12/SUM(K12:INDEX(K12:M12,MOD($A$2,3)))-1</f>
        <v>6.2795615518499321</v>
      </c>
      <c r="AO12" s="119">
        <f t="shared" ref="AO12" si="49">SUM(AO4:AO10)</f>
        <v>25630.201000000001</v>
      </c>
      <c r="AP12" s="119">
        <f t="shared" ref="AP12:AU12" si="50">SUM(AP4:AP11)</f>
        <v>40963.500000000036</v>
      </c>
      <c r="AQ12" s="119">
        <f t="shared" si="50"/>
        <v>57343.9</v>
      </c>
      <c r="AR12" s="119">
        <f t="shared" si="50"/>
        <v>51205.222000000038</v>
      </c>
      <c r="AS12" s="119">
        <f t="shared" si="50"/>
        <v>53142.409999999996</v>
      </c>
      <c r="AT12" s="119">
        <f t="shared" si="50"/>
        <v>58123.48</v>
      </c>
      <c r="AU12" s="119">
        <f t="shared" si="50"/>
        <v>45475.164000000063</v>
      </c>
      <c r="AV12" s="37"/>
      <c r="AW12" s="37"/>
      <c r="AX12" s="37"/>
      <c r="AY12" s="37"/>
      <c r="AZ12" s="37"/>
      <c r="BA12" s="116">
        <f>SUM(AO12:INDEX(AO12:AQ12,IF($A$2&lt;3,$A$2,3)))</f>
        <v>123937.60100000002</v>
      </c>
      <c r="BB12" s="116">
        <f>SUM(AR12:INDEX(AR12:AT12,IF(AND($A$2&gt;3,A9&lt;7),$A$2-3,0)))</f>
        <v>162471.11200000005</v>
      </c>
      <c r="BC12" s="116">
        <f>SUM(AU12:INDEX(AU12:AW12,IF(AND($A$2&gt;6,$A$2&lt;10),$A$2-6,0)))</f>
        <v>45475.164000000063</v>
      </c>
      <c r="BD12" s="116">
        <f>SUM(AX12:INDEX(AX12:AZ12,IF($A$2&gt;9,$A$2-9,0)))</f>
        <v>0</v>
      </c>
      <c r="BE12" s="116">
        <f>SUM($AO12:INDEX(AO12:AZ12,$A$2))</f>
        <v>331883.87700000009</v>
      </c>
      <c r="BF12" s="123">
        <f t="shared" si="13"/>
        <v>1.9963882247512035</v>
      </c>
      <c r="BG12" s="118">
        <f t="shared" si="14"/>
        <v>2.9741210411757959</v>
      </c>
      <c r="BH12" s="118">
        <f t="shared" si="15"/>
        <v>1.6774556921760471</v>
      </c>
      <c r="BI12" s="118">
        <f t="shared" si="16"/>
        <v>1.6599712782935867</v>
      </c>
      <c r="BJ12" s="118">
        <f t="shared" si="17"/>
        <v>1.8875883763501515</v>
      </c>
      <c r="BK12" s="118">
        <f t="shared" si="18"/>
        <v>1.3782866920776002</v>
      </c>
      <c r="BL12" s="118">
        <f t="shared" si="19"/>
        <v>1.515169196226549</v>
      </c>
      <c r="BM12" s="118">
        <f t="shared" si="20"/>
        <v>0</v>
      </c>
      <c r="BN12" s="118">
        <f t="shared" si="21"/>
        <v>0</v>
      </c>
      <c r="BO12" s="118">
        <f t="shared" si="22"/>
        <v>0</v>
      </c>
      <c r="BP12" s="118">
        <f t="shared" si="23"/>
        <v>0</v>
      </c>
      <c r="BQ12" s="118">
        <f t="shared" si="24"/>
        <v>0</v>
      </c>
      <c r="BR12" s="118">
        <f>BA12/SUM(N12:INDEX(N12:P12,IF($A$2&lt;3,$A$2,3)))</f>
        <v>2.0385599080107135</v>
      </c>
      <c r="BS12" s="111">
        <f>BB12/SUM(Q12:INDEX(Q12:S12,IF($A$2&lt;7,$A$2-3,3)))</f>
        <v>1.605898437340153</v>
      </c>
      <c r="BT12" s="111">
        <f>BC12/SUM(T12:INDEX(T12:V12,IF($A$2&lt;7,$A$2-3,IF($A$2&lt;10,$A$2-6,IF($A$2&lt;13,$A$2-9,-1) ))))</f>
        <v>1.515169196226549</v>
      </c>
      <c r="BU12" s="118">
        <f t="shared" si="3"/>
        <v>0</v>
      </c>
      <c r="BV12" s="118">
        <f t="shared" si="25"/>
        <v>1.7287295461409757</v>
      </c>
    </row>
    <row r="13" spans="1:74" x14ac:dyDescent="0.25">
      <c r="A13" s="68" t="s">
        <v>63</v>
      </c>
      <c r="B13" s="69">
        <f>'Agency North'!C13+'Agency South'!C13</f>
        <v>0</v>
      </c>
      <c r="C13" s="69">
        <f>'Agency North'!D13+'Agency South'!D13</f>
        <v>0</v>
      </c>
      <c r="D13" s="69">
        <f>'Agency North'!E13+'Agency South'!E13</f>
        <v>892.67700000000013</v>
      </c>
      <c r="E13" s="69">
        <f>'Agency North'!F13+'Agency South'!F13</f>
        <v>1006.6420000000001</v>
      </c>
      <c r="F13" s="69">
        <f>'Agency North'!G13+'Agency South'!G13</f>
        <v>212.9</v>
      </c>
      <c r="G13" s="69">
        <f>'Agency North'!H13+'Agency South'!H13</f>
        <v>18522.962</v>
      </c>
      <c r="H13" s="69">
        <f>'Agency North'!I13+'Agency South'!I13</f>
        <v>5557.143</v>
      </c>
      <c r="I13" s="69">
        <f>'Agency North'!J13+'Agency South'!J13</f>
        <v>6146.3476000000001</v>
      </c>
      <c r="J13" s="69">
        <f>'Agency North'!K13+'Agency South'!K13</f>
        <v>10945.637999999999</v>
      </c>
      <c r="K13" s="69">
        <f>'Agency North'!L13+'Agency South'!L13</f>
        <v>4640.6184000000003</v>
      </c>
      <c r="L13" s="69">
        <f>'Agency North'!M13+'Agency South'!M13</f>
        <v>3677.877</v>
      </c>
      <c r="M13" s="69">
        <f>'Agency North'!N13+'Agency South'!N13</f>
        <v>4544.2690000000002</v>
      </c>
      <c r="N13" s="69">
        <f>'Agency North'!O13+'Agency South'!O13</f>
        <v>5839.7939999999999</v>
      </c>
      <c r="O13" s="69">
        <f>'Agency North'!P13+'Agency South'!P13</f>
        <v>2104.6480000000001</v>
      </c>
      <c r="P13" s="69">
        <f>'Agency North'!Q13+'Agency South'!Q13</f>
        <v>1784.8430000000001</v>
      </c>
      <c r="Q13" s="69">
        <f>'Agency North'!R13+'Agency South'!R13</f>
        <v>1826.8620000000001</v>
      </c>
      <c r="R13" s="69">
        <f>'Agency North'!S13+'Agency South'!S13</f>
        <v>9448.509</v>
      </c>
      <c r="S13" s="69">
        <f>'Agency North'!T13+'Agency South'!T13</f>
        <v>4460.9354000000003</v>
      </c>
      <c r="T13" s="69">
        <f>'Agency North'!U13+'Agency South'!U13</f>
        <v>6359.2707</v>
      </c>
      <c r="U13" s="69">
        <f>'Agency North'!V13+'Agency South'!V13</f>
        <v>5053.2380000000003</v>
      </c>
      <c r="V13" s="69">
        <f>'Agency North'!W13+'Agency South'!W13</f>
        <v>5068.1279999999997</v>
      </c>
      <c r="W13" s="69">
        <f>'Agency North'!X13+'Agency South'!X13</f>
        <v>8016.0464999999995</v>
      </c>
      <c r="X13" s="69">
        <f>'Agency North'!Y13+'Agency South'!Y13</f>
        <v>18397.211599999999</v>
      </c>
      <c r="Y13" s="69">
        <f>'Agency North'!Z13+'Agency South'!Z13</f>
        <v>7254.5613999999996</v>
      </c>
      <c r="Z13" s="22">
        <f>SUM(N13:INDEX(N13:Y13,$A$2))</f>
        <v>31824.862100000006</v>
      </c>
      <c r="AA13" s="22">
        <f t="shared" ref="AA13" si="51">SUM(N13:P13)</f>
        <v>9729.2849999999999</v>
      </c>
      <c r="AB13" s="22">
        <f t="shared" ref="AB13" si="52">SUM(Q13:S13)</f>
        <v>15736.306399999999</v>
      </c>
      <c r="AC13" s="22">
        <f t="shared" ref="AC13" si="53">SUM(T13:V13)</f>
        <v>16480.636699999999</v>
      </c>
      <c r="AD13" s="22">
        <f t="shared" ref="AD13" si="54">SUM(W13:Y13)</f>
        <v>33667.819499999998</v>
      </c>
      <c r="AE13" s="22">
        <f>SUM(B13                                                                                : INDEX(B13:M13,$A$2))</f>
        <v>26192.324000000001</v>
      </c>
      <c r="AF13" s="22">
        <f t="shared" ref="AF13" si="55">SUM(B13:D13)</f>
        <v>892.67700000000013</v>
      </c>
      <c r="AG13" s="22">
        <f t="shared" ref="AG13" si="56">SUM(E13:G13)</f>
        <v>19742.504000000001</v>
      </c>
      <c r="AH13" s="22">
        <f>SUM(H13:INDEX(H13:J13,MOD($A$2,3)))</f>
        <v>5557.143</v>
      </c>
      <c r="AI13" s="22">
        <f t="shared" ref="AI13" si="57">SUM(K13:M13)</f>
        <v>12862.7644</v>
      </c>
      <c r="AJ13" s="31">
        <f t="shared" ref="AJ13:AJ14" si="58">Z13/AE13-1</f>
        <v>0.21504537359876896</v>
      </c>
      <c r="AK13" s="31">
        <f t="shared" ref="AK13" si="59">AA13/AF13-1</f>
        <v>9.8989981818731732</v>
      </c>
      <c r="AL13" s="31">
        <f t="shared" ref="AL13" si="60">AB13/AG13-1</f>
        <v>-0.20292246616741227</v>
      </c>
      <c r="AM13" s="31">
        <f t="shared" si="1"/>
        <v>1.965667196255342</v>
      </c>
      <c r="AN13" s="31">
        <f>AD13/SUM(K13:INDEX(K13:M13,MOD($A$2,3)))-1</f>
        <v>6.2550286616973283</v>
      </c>
      <c r="AO13" s="69">
        <f>'Agency North'!AP13+'Agency South'!AP13</f>
        <v>10576.017400000001</v>
      </c>
      <c r="AP13" s="69">
        <f>'Agency North'!AQ13+'Agency South'!AQ13</f>
        <v>7495.1930000000002</v>
      </c>
      <c r="AQ13" s="69">
        <f>'Agency North'!AR13+'Agency South'!AR13</f>
        <v>11609.67</v>
      </c>
      <c r="AR13" s="69">
        <f>'Agency North'!AS13+'Agency South'!AS13</f>
        <v>2523.703</v>
      </c>
      <c r="AS13" s="69">
        <f>'Agency North'!AT13+'Agency South'!AT13</f>
        <v>12704.179999999998</v>
      </c>
      <c r="AT13" s="69">
        <f>'Agency North'!AU13+'Agency South'!AU13</f>
        <v>13230.939999999999</v>
      </c>
      <c r="AU13" s="69">
        <f>'Agency North'!AV13+'Agency South'!AV13</f>
        <v>4260.2525999999998</v>
      </c>
      <c r="BA13" s="110">
        <f>SUM(AO13:INDEX(AO13:AQ13,IF($A$2&lt;3,$A$2,3)))</f>
        <v>29680.880400000002</v>
      </c>
      <c r="BB13" s="110">
        <f>SUM(AR13:INDEX(AR13:AT13,IF(AND($A$2&gt;3,A10&lt;7),$A$2-3,0)))</f>
        <v>28458.822999999997</v>
      </c>
      <c r="BC13" s="110">
        <f>SUM(AU13:INDEX(AU13:AW13,IF(AND($A$2&gt;6,$A$2&lt;10),$A$2-6,0)))</f>
        <v>4260.2525999999998</v>
      </c>
      <c r="BD13" s="110">
        <f>SUM(AX13:INDEX(AX13:AZ13,IF($A$2&gt;9,$A$2-9,0)))</f>
        <v>0</v>
      </c>
      <c r="BE13" s="110">
        <f>SUM($AO13:INDEX(AO13:AZ13,$A$2))</f>
        <v>62399.955999999998</v>
      </c>
      <c r="BF13" s="122">
        <f t="shared" si="13"/>
        <v>1.8110257656348838</v>
      </c>
      <c r="BG13" s="111">
        <f t="shared" si="14"/>
        <v>3.5612572743755724</v>
      </c>
      <c r="BH13" s="111">
        <f t="shared" si="15"/>
        <v>6.5045889190253705</v>
      </c>
      <c r="BI13" s="111">
        <f t="shared" si="16"/>
        <v>1.381441510086695</v>
      </c>
      <c r="BJ13" s="111">
        <f t="shared" si="17"/>
        <v>1.3445698151951804</v>
      </c>
      <c r="BK13" s="111">
        <f t="shared" si="18"/>
        <v>2.9659564225027779</v>
      </c>
      <c r="BL13" s="111">
        <f t="shared" si="19"/>
        <v>0.66992785823695156</v>
      </c>
      <c r="BM13" s="111">
        <f t="shared" si="20"/>
        <v>0</v>
      </c>
      <c r="BN13" s="111">
        <f t="shared" si="21"/>
        <v>0</v>
      </c>
      <c r="BO13" s="111">
        <f t="shared" si="22"/>
        <v>0</v>
      </c>
      <c r="BP13" s="111">
        <f t="shared" si="23"/>
        <v>0</v>
      </c>
      <c r="BQ13" s="111">
        <f t="shared" si="24"/>
        <v>0</v>
      </c>
      <c r="BR13" s="111">
        <f>BA13/SUM(N13:INDEX(N13:P13,IF($A$2&lt;3,$A$2,3)))</f>
        <v>3.0506743712410525</v>
      </c>
      <c r="BS13" s="111">
        <f>BB13/SUM(Q13:INDEX(Q13:S13,IF($A$2&lt;7,$A$2-3,3)))</f>
        <v>1.808481754015669</v>
      </c>
      <c r="BT13" s="111">
        <f>BC13/SUM(T13:INDEX(T13:V13,IF($A$2&lt;7,$A$2-3,IF($A$2&lt;10,$A$2-6,IF($A$2&lt;13,$A$2-9,-1) ))))</f>
        <v>0.66992785823695156</v>
      </c>
      <c r="BU13" s="111">
        <f t="shared" si="3"/>
        <v>0</v>
      </c>
      <c r="BV13" s="111">
        <f t="shared" si="25"/>
        <v>1.9607298156996567</v>
      </c>
    </row>
    <row r="14" spans="1:74" x14ac:dyDescent="0.25">
      <c r="B14" s="6">
        <f t="shared" ref="B14:I14" si="61">B12+B13*0.1</f>
        <v>10417.638999999999</v>
      </c>
      <c r="C14" s="6">
        <f t="shared" si="61"/>
        <v>9049.0069999999978</v>
      </c>
      <c r="D14" s="6">
        <f t="shared" si="61"/>
        <v>19093.084699999999</v>
      </c>
      <c r="E14" s="6">
        <f t="shared" si="61"/>
        <v>23939.130199999996</v>
      </c>
      <c r="F14" s="6">
        <f t="shared" si="61"/>
        <v>18607.545000000002</v>
      </c>
      <c r="G14" s="6">
        <f t="shared" si="61"/>
        <v>29158.103199999994</v>
      </c>
      <c r="H14" s="6">
        <f t="shared" si="61"/>
        <v>29755.088299999996</v>
      </c>
      <c r="I14" s="6">
        <f t="shared" si="61"/>
        <v>17420.026760000001</v>
      </c>
      <c r="J14" s="6">
        <f>J12+J13*0.1</f>
        <v>39971.500799999994</v>
      </c>
      <c r="K14" s="6">
        <f>K12+K13*0.1</f>
        <v>26213.149839999991</v>
      </c>
      <c r="L14" s="6">
        <f t="shared" ref="L14:U14" si="62">L12+L13*0.1</f>
        <v>43105.870700000043</v>
      </c>
      <c r="M14" s="6">
        <f t="shared" si="62"/>
        <v>58814.395899999989</v>
      </c>
      <c r="N14" s="6">
        <f t="shared" si="62"/>
        <v>13422.264399999998</v>
      </c>
      <c r="O14" s="6">
        <f t="shared" si="62"/>
        <v>13983.777799999971</v>
      </c>
      <c r="P14" s="6">
        <f t="shared" si="62"/>
        <v>34363.530299999991</v>
      </c>
      <c r="Q14" s="6">
        <f t="shared" si="62"/>
        <v>31029.739200000011</v>
      </c>
      <c r="R14" s="6">
        <f t="shared" si="62"/>
        <v>29098.451899999996</v>
      </c>
      <c r="S14" s="6">
        <f t="shared" si="62"/>
        <v>42616.913540000074</v>
      </c>
      <c r="T14" s="6">
        <f t="shared" si="62"/>
        <v>30649.185070000014</v>
      </c>
      <c r="U14" s="6">
        <f t="shared" si="62"/>
        <v>32361.144800000027</v>
      </c>
      <c r="V14" s="6">
        <f>V12+V13*0.1</f>
        <v>49563.993800000062</v>
      </c>
      <c r="W14" s="6">
        <f>W12+W13*0.1</f>
        <v>40919.720650000017</v>
      </c>
      <c r="X14" s="6">
        <f>X12+X13*0.1</f>
        <v>52866.932160000084</v>
      </c>
      <c r="Y14" s="6">
        <f>Y12+Y13*0.1</f>
        <v>97022.200140000321</v>
      </c>
      <c r="Z14" s="6">
        <f t="shared" ref="Z14" si="63">Z12+Z13*0.1</f>
        <v>195163.86221000005</v>
      </c>
      <c r="AA14" s="6">
        <f t="shared" ref="AA14:AB14" si="64">AA12+AA13*0.1</f>
        <v>61769.572499999966</v>
      </c>
      <c r="AB14" s="6">
        <f t="shared" si="64"/>
        <v>102745.10464000009</v>
      </c>
      <c r="AC14" s="6">
        <f>AC12+AC13*0.1</f>
        <v>112574.3236700001</v>
      </c>
      <c r="AD14" s="6">
        <f>AD12+AD13*0.1</f>
        <v>190808.85295000041</v>
      </c>
      <c r="AE14" s="6">
        <f>AE12+AE13*0.1</f>
        <v>140019.5974</v>
      </c>
      <c r="AF14" s="6">
        <f t="shared" ref="AF14:AI14" si="65">AF12+AF13*0.1</f>
        <v>38559.730699999993</v>
      </c>
      <c r="AG14" s="6">
        <f t="shared" si="65"/>
        <v>71704.778399999996</v>
      </c>
      <c r="AH14" s="6">
        <f t="shared" si="65"/>
        <v>85437.417299999986</v>
      </c>
      <c r="AI14" s="6">
        <f t="shared" si="65"/>
        <v>128133.41644000002</v>
      </c>
      <c r="AJ14" s="31">
        <f t="shared" si="58"/>
        <v>0.393832476553029</v>
      </c>
      <c r="AO14" s="6">
        <f>AO12+AO13*0.1</f>
        <v>26687.802739999999</v>
      </c>
      <c r="AP14" s="6">
        <f>AP12+AP13*0.1</f>
        <v>41713.019300000036</v>
      </c>
      <c r="AQ14" s="6">
        <f>AQ12+AQ13*0.1</f>
        <v>58504.866999999998</v>
      </c>
      <c r="AR14" s="69">
        <f>'Agency North'!AS14+'Agency South'!AS14</f>
        <v>51457.592300000048</v>
      </c>
      <c r="AS14" s="69">
        <f>'Agency North'!AT14+'Agency South'!AT14</f>
        <v>54412.827999999994</v>
      </c>
      <c r="AT14" s="69">
        <f>'Agency North'!AU14+'Agency South'!AU14</f>
        <v>59446.574000000001</v>
      </c>
      <c r="AU14" s="69">
        <f>'Agency North'!AV14+'Agency South'!AV14</f>
        <v>45901.189260000072</v>
      </c>
      <c r="BA14" s="110">
        <f>SUM(AO14:INDEX(AO14:AQ14,IF($A$2&lt;3,$A$2,3)))</f>
        <v>126905.68904000003</v>
      </c>
      <c r="BB14" s="110">
        <f>SUM(AR14:INDEX(AR14:AT14,IF(AND($A$2&gt;3,A12&lt;7),$A$2-3,0)))</f>
        <v>165316.99430000005</v>
      </c>
      <c r="BC14" s="110">
        <f>SUM(AU14:INDEX(AU14:AW14,IF(AND($A$2&gt;6,$A$2&lt;10),$A$2-6,0)))</f>
        <v>45901.189260000072</v>
      </c>
      <c r="BD14" s="110">
        <f>SUM(AX14:INDEX(AX14:AZ14,IF($A$2&gt;9,$A$2-9,0)))</f>
        <v>0</v>
      </c>
      <c r="BE14" s="110">
        <f>SUM($AO14:INDEX(AO14:AZ14,$A$2))</f>
        <v>338123.87260000018</v>
      </c>
      <c r="BF14" s="122">
        <f t="shared" si="13"/>
        <v>1.9883234262618164</v>
      </c>
      <c r="BG14" s="111">
        <f t="shared" si="14"/>
        <v>2.9829578170213864</v>
      </c>
      <c r="BH14" s="111">
        <f t="shared" si="15"/>
        <v>1.7025278395217738</v>
      </c>
      <c r="BI14" s="111">
        <f t="shared" si="16"/>
        <v>1.6583314467560859</v>
      </c>
      <c r="BJ14" s="111">
        <f t="shared" si="17"/>
        <v>1.8699561126824071</v>
      </c>
      <c r="BK14" s="111">
        <f t="shared" si="18"/>
        <v>1.3949056621428877</v>
      </c>
      <c r="BL14" s="111">
        <f t="shared" si="19"/>
        <v>1.4976316386607291</v>
      </c>
      <c r="BM14" s="111">
        <f t="shared" si="20"/>
        <v>0</v>
      </c>
      <c r="BN14" s="111">
        <f t="shared" si="21"/>
        <v>0</v>
      </c>
      <c r="BO14" s="111">
        <f t="shared" si="22"/>
        <v>0</v>
      </c>
      <c r="BP14" s="111">
        <f t="shared" si="23"/>
        <v>0</v>
      </c>
      <c r="BQ14" s="111">
        <f t="shared" si="24"/>
        <v>0</v>
      </c>
      <c r="BR14" s="111">
        <f>BA14/SUM(N14:INDEX(N14:P14,IF($A$2&lt;3,$A$2,3)))</f>
        <v>2.0545016567825543</v>
      </c>
      <c r="BS14" s="111">
        <f>BB14/SUM(Q14:INDEX(Q14:S14,IF($A$2&lt;7,$A$2-3,3)))</f>
        <v>1.6090011770316486</v>
      </c>
      <c r="BT14" s="111">
        <f>BC14/SUM(T14:INDEX(T14:V14,IF($A$2&lt;7,$A$2-3,IF($A$2&lt;10,$A$2-6,IF($A$2&lt;13,$A$2-9,-1) ))))</f>
        <v>1.4976316386607291</v>
      </c>
      <c r="BU14" s="111"/>
      <c r="BV14" s="111">
        <f>BE14/Z14</f>
        <v>1.7325127140401251</v>
      </c>
    </row>
    <row r="15" spans="1:74" s="17" customFormat="1" x14ac:dyDescent="0.25">
      <c r="A15" s="2" t="s">
        <v>9</v>
      </c>
      <c r="B15" s="3">
        <f t="shared" ref="B15:Y15" si="66">B3</f>
        <v>42005</v>
      </c>
      <c r="C15" s="3">
        <f t="shared" si="66"/>
        <v>42036</v>
      </c>
      <c r="D15" s="3">
        <f t="shared" si="66"/>
        <v>42064</v>
      </c>
      <c r="E15" s="3">
        <f t="shared" si="66"/>
        <v>42095</v>
      </c>
      <c r="F15" s="3">
        <f t="shared" si="66"/>
        <v>42125</v>
      </c>
      <c r="G15" s="3">
        <f t="shared" si="66"/>
        <v>42156</v>
      </c>
      <c r="H15" s="3">
        <f t="shared" si="66"/>
        <v>42186</v>
      </c>
      <c r="I15" s="3">
        <f t="shared" si="66"/>
        <v>42217</v>
      </c>
      <c r="J15" s="3">
        <f t="shared" si="66"/>
        <v>42248</v>
      </c>
      <c r="K15" s="3">
        <f t="shared" si="66"/>
        <v>42278</v>
      </c>
      <c r="L15" s="3">
        <f t="shared" si="66"/>
        <v>42309</v>
      </c>
      <c r="M15" s="3">
        <f t="shared" si="66"/>
        <v>42339</v>
      </c>
      <c r="N15" s="3">
        <f t="shared" si="66"/>
        <v>42370</v>
      </c>
      <c r="O15" s="3">
        <f t="shared" si="66"/>
        <v>42401</v>
      </c>
      <c r="P15" s="3">
        <f t="shared" si="66"/>
        <v>42430</v>
      </c>
      <c r="Q15" s="3">
        <f t="shared" si="66"/>
        <v>42461</v>
      </c>
      <c r="R15" s="3">
        <f t="shared" si="66"/>
        <v>42491</v>
      </c>
      <c r="S15" s="3">
        <f t="shared" si="66"/>
        <v>42522</v>
      </c>
      <c r="T15" s="3">
        <f t="shared" si="66"/>
        <v>42552</v>
      </c>
      <c r="U15" s="3">
        <f t="shared" si="66"/>
        <v>42583</v>
      </c>
      <c r="V15" s="3">
        <f t="shared" si="66"/>
        <v>42614</v>
      </c>
      <c r="W15" s="3">
        <f t="shared" si="66"/>
        <v>42644</v>
      </c>
      <c r="X15" s="3">
        <f t="shared" si="66"/>
        <v>42675</v>
      </c>
      <c r="Y15" s="3">
        <f t="shared" si="66"/>
        <v>42705</v>
      </c>
      <c r="Z15" s="29" t="str">
        <f>Z3</f>
        <v>YTD 7/16</v>
      </c>
      <c r="AA15" s="29" t="s">
        <v>19</v>
      </c>
      <c r="AB15" s="29" t="s">
        <v>20</v>
      </c>
      <c r="AC15" s="29" t="s">
        <v>21</v>
      </c>
      <c r="AD15" s="29" t="s">
        <v>22</v>
      </c>
      <c r="AE15" s="26" t="str">
        <f t="shared" ref="AE15:AI15" si="67">AE3</f>
        <v>YTD 7/15</v>
      </c>
      <c r="AF15" s="26" t="str">
        <f t="shared" si="67"/>
        <v>Q1 '15</v>
      </c>
      <c r="AG15" s="26" t="str">
        <f t="shared" si="67"/>
        <v>Q2 '15</v>
      </c>
      <c r="AH15" s="26" t="str">
        <f t="shared" si="67"/>
        <v>Q3 '15</v>
      </c>
      <c r="AI15" s="26" t="str">
        <f t="shared" si="67"/>
        <v>Q4 '15</v>
      </c>
      <c r="AJ15" s="30" t="s">
        <v>27</v>
      </c>
      <c r="AK15" s="30" t="s">
        <v>29</v>
      </c>
      <c r="AL15" s="30" t="s">
        <v>30</v>
      </c>
      <c r="AM15" s="30" t="s">
        <v>31</v>
      </c>
      <c r="AN15" s="30" t="s">
        <v>32</v>
      </c>
      <c r="AO15" s="108">
        <v>42736</v>
      </c>
      <c r="AP15" s="108">
        <v>42767</v>
      </c>
      <c r="AQ15" s="108">
        <v>42795</v>
      </c>
      <c r="AR15" s="108">
        <v>42826</v>
      </c>
      <c r="AS15" s="108">
        <v>42856</v>
      </c>
      <c r="AT15" s="108">
        <v>42887</v>
      </c>
      <c r="AU15" s="108">
        <v>42917</v>
      </c>
      <c r="AV15" s="108">
        <v>42948</v>
      </c>
      <c r="AW15" s="108">
        <v>42979</v>
      </c>
      <c r="AX15" s="108">
        <v>43009</v>
      </c>
      <c r="AY15" s="108">
        <v>43040</v>
      </c>
      <c r="AZ15" s="108">
        <v>43070</v>
      </c>
      <c r="BA15" s="29" t="s">
        <v>123</v>
      </c>
      <c r="BB15" s="29" t="s">
        <v>124</v>
      </c>
      <c r="BC15" s="29" t="s">
        <v>125</v>
      </c>
      <c r="BD15" s="29" t="s">
        <v>126</v>
      </c>
      <c r="BE15" s="29" t="str">
        <f>"YTD " &amp; A14 &amp;"/17"</f>
        <v>YTD /17</v>
      </c>
      <c r="BF15" s="121">
        <v>42736</v>
      </c>
      <c r="BG15" s="108">
        <v>42767</v>
      </c>
      <c r="BH15" s="108">
        <v>42795</v>
      </c>
      <c r="BI15" s="108">
        <v>42826</v>
      </c>
      <c r="BJ15" s="108">
        <v>42856</v>
      </c>
      <c r="BK15" s="108">
        <v>42887</v>
      </c>
      <c r="BL15" s="108">
        <v>42917</v>
      </c>
      <c r="BM15" s="108">
        <v>42948</v>
      </c>
      <c r="BN15" s="108">
        <v>42979</v>
      </c>
      <c r="BO15" s="108">
        <v>43009</v>
      </c>
      <c r="BP15" s="108">
        <v>43040</v>
      </c>
      <c r="BQ15" s="108">
        <v>43070</v>
      </c>
      <c r="BR15" s="29" t="s">
        <v>127</v>
      </c>
      <c r="BS15" s="29" t="s">
        <v>128</v>
      </c>
      <c r="BT15" s="29" t="s">
        <v>96</v>
      </c>
      <c r="BU15" s="29" t="s">
        <v>129</v>
      </c>
      <c r="BV15" s="112" t="str">
        <f>BV2</f>
        <v>YoY</v>
      </c>
    </row>
    <row r="16" spans="1:74" outlineLevel="1" x14ac:dyDescent="0.25">
      <c r="A16" t="s">
        <v>4</v>
      </c>
      <c r="B16" s="6">
        <f>'Agency North'!C18+'Agency South'!C18</f>
        <v>52</v>
      </c>
      <c r="C16" s="6">
        <f>'Agency North'!D18+'Agency South'!D18</f>
        <v>57</v>
      </c>
      <c r="D16" s="6">
        <f>'Agency North'!E18+'Agency South'!E18</f>
        <v>63</v>
      </c>
      <c r="E16" s="6">
        <f>'Agency North'!F18+'Agency South'!F18</f>
        <v>70</v>
      </c>
      <c r="F16" s="6">
        <f>'Agency North'!G18+'Agency South'!G18</f>
        <v>71</v>
      </c>
      <c r="G16" s="6">
        <f>'Agency North'!H18+'Agency South'!H18</f>
        <v>71</v>
      </c>
      <c r="H16" s="6">
        <f>'Agency North'!I18+'Agency South'!I18</f>
        <v>76</v>
      </c>
      <c r="I16" s="6">
        <f>'Agency North'!J18+'Agency South'!J18</f>
        <v>76</v>
      </c>
      <c r="J16" s="6">
        <f>'Agency North'!K18+'Agency South'!K18</f>
        <v>77</v>
      </c>
      <c r="K16" s="6">
        <f>'Agency North'!L18+'Agency South'!L18</f>
        <v>77</v>
      </c>
      <c r="L16" s="6">
        <f>'Agency North'!M18+'Agency South'!M18</f>
        <v>73</v>
      </c>
      <c r="M16" s="6">
        <f>'Agency North'!N18+'Agency South'!N18</f>
        <v>76</v>
      </c>
      <c r="N16" s="6">
        <f>'Agency North'!O18+'Agency South'!O18</f>
        <v>117</v>
      </c>
      <c r="O16" s="6">
        <f>'Agency North'!P18+'Agency South'!P18</f>
        <v>116</v>
      </c>
      <c r="P16" s="6">
        <f>'Agency North'!Q18+'Agency South'!Q18</f>
        <v>118</v>
      </c>
      <c r="Q16" s="6">
        <f>'Agency North'!R18+'Agency South'!R18</f>
        <v>117</v>
      </c>
      <c r="R16" s="6">
        <f>'Agency North'!S18+'Agency South'!S18</f>
        <v>112</v>
      </c>
      <c r="S16" s="6">
        <f>'Agency North'!T18+'Agency South'!T18</f>
        <v>107</v>
      </c>
      <c r="T16" s="6">
        <f>'Agency North'!U18+'Agency South'!U18</f>
        <v>99</v>
      </c>
      <c r="U16" s="6">
        <f>'Agency North'!V18+'Agency South'!V18</f>
        <v>96</v>
      </c>
      <c r="V16" s="6">
        <f>'Agency North'!W18+'Agency South'!W18</f>
        <v>94</v>
      </c>
      <c r="W16" s="6">
        <f>'Agency North'!X18+'Agency South'!X18</f>
        <v>93</v>
      </c>
      <c r="X16" s="6">
        <f>'Agency North'!Y18+'Agency South'!Y18</f>
        <v>90</v>
      </c>
      <c r="Y16" s="6">
        <f>'Agency North'!Z18+'Agency South'!Z18</f>
        <v>83</v>
      </c>
      <c r="Z16" s="22">
        <f>INDEX($N16:$Y16,$A$2)</f>
        <v>99</v>
      </c>
      <c r="AA16" s="22">
        <f t="shared" ref="AA16" si="68">P16</f>
        <v>118</v>
      </c>
      <c r="AB16" s="22">
        <f t="shared" ref="AB16" si="69">S16</f>
        <v>107</v>
      </c>
      <c r="AC16" s="22">
        <f>V16</f>
        <v>94</v>
      </c>
      <c r="AD16" s="22">
        <f>X16</f>
        <v>90</v>
      </c>
      <c r="AE16" s="22">
        <f>INDEX($B16:$M16,$A$2)</f>
        <v>76</v>
      </c>
      <c r="AF16" s="22">
        <f t="shared" ref="AF16:AF24" si="70">D16</f>
        <v>63</v>
      </c>
      <c r="AG16" s="22">
        <f t="shared" ref="AG16:AG24" si="71">G16</f>
        <v>71</v>
      </c>
      <c r="AH16" s="22">
        <f t="shared" ref="AH16:AH24" si="72">J16</f>
        <v>77</v>
      </c>
      <c r="AI16" s="22">
        <f t="shared" ref="AI16:AI24" si="73">M16</f>
        <v>76</v>
      </c>
      <c r="AJ16" s="31">
        <f>Z16/AE16-1</f>
        <v>0.30263157894736836</v>
      </c>
      <c r="AK16" s="31">
        <f t="shared" ref="AK16:AK24" si="74">AA16/AF16-1</f>
        <v>0.87301587301587302</v>
      </c>
      <c r="AL16" s="31">
        <f t="shared" ref="AL16:AM24" si="75">AB16/AG16-1</f>
        <v>0.50704225352112675</v>
      </c>
      <c r="AM16" s="31">
        <f t="shared" si="75"/>
        <v>0.22077922077922074</v>
      </c>
      <c r="AN16" s="31">
        <f t="shared" ref="AN16:AN24" si="76">AD16/AI16-1</f>
        <v>0.18421052631578938</v>
      </c>
      <c r="AO16" s="6">
        <f>'Agency North'!AP18+'Agency South'!AP18</f>
        <v>145</v>
      </c>
      <c r="AP16" s="6">
        <f>'Agency North'!AQ18+'Agency South'!AQ18</f>
        <v>143</v>
      </c>
      <c r="AQ16" s="6">
        <f>'Agency North'!AR18+'Agency South'!AR18</f>
        <v>143</v>
      </c>
      <c r="AR16" s="6">
        <f>'Agency North'!AS18+'Agency South'!AS18</f>
        <v>136</v>
      </c>
      <c r="AS16" s="6">
        <f>'Agency North'!AT18+'Agency South'!AT18</f>
        <v>131</v>
      </c>
      <c r="AT16" s="6">
        <f>'Agency North'!AU18+'Agency South'!AU18</f>
        <v>128</v>
      </c>
      <c r="AU16" s="6">
        <f>'Agency North'!AV18+'Agency South'!AV18</f>
        <v>123</v>
      </c>
      <c r="BA16" s="22">
        <f>INDEX(AO16:AQ16,IF($A$2&lt;3,$A$2,3))</f>
        <v>143</v>
      </c>
      <c r="BB16" s="22">
        <f>INDEX(AR16:AT16,IF($A$2&lt;7,$A$2-3,3))</f>
        <v>128</v>
      </c>
      <c r="BC16" s="22">
        <f>INDEX(AS16:AU16,IF($A$2&lt;7,$A$2-3,3))</f>
        <v>123</v>
      </c>
      <c r="BE16" s="22">
        <f>INDEX(AO16:AZ16,$A$2)</f>
        <v>123</v>
      </c>
      <c r="BF16" s="122">
        <f t="shared" ref="BF16:BI16" si="77">AO16/N16</f>
        <v>1.2393162393162394</v>
      </c>
      <c r="BG16" s="31">
        <f t="shared" si="77"/>
        <v>1.2327586206896552</v>
      </c>
      <c r="BH16" s="31">
        <f t="shared" si="77"/>
        <v>1.2118644067796611</v>
      </c>
      <c r="BI16" s="31">
        <f t="shared" si="77"/>
        <v>1.1623931623931625</v>
      </c>
      <c r="BJ16" s="31">
        <f>AS16/R16</f>
        <v>1.1696428571428572</v>
      </c>
      <c r="BK16" s="31">
        <f>AT16/S16</f>
        <v>1.1962616822429906</v>
      </c>
      <c r="BL16" s="31">
        <f>AU16/T16</f>
        <v>1.2424242424242424</v>
      </c>
      <c r="BR16" s="111">
        <f>BA16/INDEX(N16:P16,IF($A$2&lt;3,$A$2,3))</f>
        <v>1.2118644067796611</v>
      </c>
      <c r="BS16" s="111">
        <f>BB16/INDEX(Q16:S16,IF($A$2&lt;7,$A$2-3,3))</f>
        <v>1.1962616822429906</v>
      </c>
      <c r="BT16" s="111">
        <f>BC16/INDEX(R16:T16,IF($A$2&lt;7,$A$2-3,3))</f>
        <v>1.2424242424242424</v>
      </c>
      <c r="BV16" s="111">
        <f t="shared" ref="BV16" si="78">BE16/Z16</f>
        <v>1.2424242424242424</v>
      </c>
    </row>
    <row r="17" spans="1:74" outlineLevel="1" x14ac:dyDescent="0.25">
      <c r="A17" t="s">
        <v>5</v>
      </c>
      <c r="B17" s="6">
        <f>'Agency North'!C19+'Agency South'!C19</f>
        <v>434</v>
      </c>
      <c r="C17" s="6">
        <f>'Agency North'!D19+'Agency South'!D19</f>
        <v>211</v>
      </c>
      <c r="D17" s="6">
        <f>'Agency North'!E19+'Agency South'!E19</f>
        <v>452</v>
      </c>
      <c r="E17" s="6">
        <f>'Agency North'!F19+'Agency South'!F19</f>
        <v>580</v>
      </c>
      <c r="F17" s="6">
        <f>'Agency North'!G19+'Agency South'!G19</f>
        <v>470</v>
      </c>
      <c r="G17" s="6">
        <f>'Agency North'!H19+'Agency South'!H19</f>
        <v>502</v>
      </c>
      <c r="H17" s="6">
        <f>'Agency North'!I19+'Agency South'!I19</f>
        <v>498</v>
      </c>
      <c r="I17" s="6">
        <f>'Agency North'!J19+'Agency South'!J19</f>
        <v>488</v>
      </c>
      <c r="J17" s="6">
        <f>'Agency North'!K19+'Agency South'!K19</f>
        <v>574</v>
      </c>
      <c r="K17" s="6">
        <f>'Agency North'!L19+'Agency South'!L19</f>
        <v>464</v>
      </c>
      <c r="L17" s="6">
        <f>'Agency North'!M19+'Agency South'!M19</f>
        <v>805</v>
      </c>
      <c r="M17" s="6">
        <f>'Agency North'!N19+'Agency South'!N19</f>
        <v>592</v>
      </c>
      <c r="N17" s="6">
        <f>'Agency North'!O19+'Agency South'!O19</f>
        <v>205</v>
      </c>
      <c r="O17" s="6">
        <f>'Agency North'!P19+'Agency South'!P19</f>
        <v>196</v>
      </c>
      <c r="P17" s="6">
        <f>'Agency North'!Q19+'Agency South'!Q19</f>
        <v>683</v>
      </c>
      <c r="Q17" s="6">
        <f>'Agency North'!R19+'Agency South'!R19</f>
        <v>545</v>
      </c>
      <c r="R17" s="6">
        <f>'Agency North'!S19+'Agency South'!S19</f>
        <v>748</v>
      </c>
      <c r="S17" s="6">
        <f>'Agency North'!T19+'Agency South'!T19</f>
        <v>1300</v>
      </c>
      <c r="T17" s="6">
        <f>'Agency North'!U19+'Agency South'!U19</f>
        <v>926</v>
      </c>
      <c r="U17" s="6">
        <f>'Agency North'!V19+'Agency South'!V19</f>
        <v>1052</v>
      </c>
      <c r="V17" s="6">
        <f>'Agency North'!W19+'Agency South'!W19</f>
        <v>1267</v>
      </c>
      <c r="W17" s="6">
        <f>'Agency North'!X19+'Agency South'!X19</f>
        <v>1186</v>
      </c>
      <c r="X17" s="6">
        <f>'Agency North'!Y19+'Agency South'!Y19</f>
        <v>1312</v>
      </c>
      <c r="Y17" s="6">
        <f>'Agency North'!Z19+'Agency South'!Z19</f>
        <v>1497</v>
      </c>
      <c r="Z17" s="22">
        <f t="shared" ref="Z17:Z24" si="79">INDEX($N17:$Y17,$A$2)</f>
        <v>926</v>
      </c>
      <c r="AA17" s="22">
        <f>P17</f>
        <v>683</v>
      </c>
      <c r="AB17" s="22">
        <f>S17</f>
        <v>1300</v>
      </c>
      <c r="AC17" s="22">
        <f t="shared" ref="AC17:AC22" si="80">V17</f>
        <v>1267</v>
      </c>
      <c r="AD17" s="22">
        <f t="shared" ref="AD17:AD24" si="81">X17</f>
        <v>1312</v>
      </c>
      <c r="AE17" s="22">
        <f t="shared" ref="AE17:AE24" si="82">INDEX($B17:$M17,$A$2)</f>
        <v>498</v>
      </c>
      <c r="AF17" s="22">
        <f t="shared" si="70"/>
        <v>452</v>
      </c>
      <c r="AG17" s="22">
        <f t="shared" si="71"/>
        <v>502</v>
      </c>
      <c r="AH17" s="22">
        <f t="shared" si="72"/>
        <v>574</v>
      </c>
      <c r="AI17" s="22">
        <f t="shared" si="73"/>
        <v>592</v>
      </c>
      <c r="AJ17" s="31">
        <f t="shared" ref="AJ17:AJ24" si="83">Z17/AE17-1</f>
        <v>0.85943775100401609</v>
      </c>
      <c r="AK17" s="31">
        <f t="shared" si="74"/>
        <v>0.51106194690265494</v>
      </c>
      <c r="AL17" s="31">
        <f t="shared" si="75"/>
        <v>1.5896414342629481</v>
      </c>
      <c r="AM17" s="31">
        <f t="shared" si="75"/>
        <v>1.2073170731707319</v>
      </c>
      <c r="AN17" s="31">
        <f t="shared" si="76"/>
        <v>1.2162162162162162</v>
      </c>
      <c r="AO17" s="6">
        <f>'Agency North'!AP19+'Agency South'!AP19</f>
        <v>509</v>
      </c>
      <c r="AP17" s="6">
        <f>'Agency North'!AQ19+'Agency South'!AQ19</f>
        <v>1045</v>
      </c>
      <c r="AQ17" s="6">
        <f>'Agency North'!AR19+'Agency South'!AR19</f>
        <v>1201</v>
      </c>
      <c r="AR17" s="6">
        <f>'Agency North'!AS19+'Agency South'!AS19</f>
        <v>939</v>
      </c>
      <c r="AS17" s="6">
        <f>'Agency North'!AT19+'Agency South'!AT19</f>
        <v>934</v>
      </c>
      <c r="AT17" s="6">
        <f>'Agency North'!AU19+'Agency South'!AU19</f>
        <v>1717</v>
      </c>
      <c r="AU17" s="6">
        <f>'Agency North'!AV19+'Agency South'!AV19</f>
        <v>1163</v>
      </c>
      <c r="BA17" s="22">
        <f t="shared" ref="BA17:BA24" si="84">INDEX(AO17:AQ17,IF($A$2&lt;3,$A$2,3))</f>
        <v>1201</v>
      </c>
      <c r="BB17" s="22">
        <f t="shared" ref="BB17:BB23" si="85">INDEX(AR17:AT17,IF($A$2&lt;7,$A$2-3,3))</f>
        <v>1717</v>
      </c>
      <c r="BC17" s="22">
        <f t="shared" ref="BC17:BC24" si="86">INDEX(AS17:AU17,IF($A$2&lt;7,$A$2-3,3))</f>
        <v>1163</v>
      </c>
      <c r="BE17" s="22">
        <f t="shared" ref="BE17:BE25" si="87">INDEX(AO17:AZ17,$A$2)</f>
        <v>1163</v>
      </c>
      <c r="BF17" s="122">
        <f t="shared" ref="BF17:BL24" si="88">AO17/N17</f>
        <v>2.4829268292682927</v>
      </c>
      <c r="BG17" s="31">
        <f t="shared" si="88"/>
        <v>5.3316326530612246</v>
      </c>
      <c r="BH17" s="31">
        <f t="shared" si="88"/>
        <v>1.7584187408491947</v>
      </c>
      <c r="BI17" s="31">
        <f t="shared" si="88"/>
        <v>1.7229357798165137</v>
      </c>
      <c r="BJ17" s="31">
        <f t="shared" si="88"/>
        <v>1.2486631016042782</v>
      </c>
      <c r="BK17" s="31">
        <f t="shared" si="88"/>
        <v>1.3207692307692307</v>
      </c>
      <c r="BL17" s="31">
        <f t="shared" si="88"/>
        <v>1.255939524838013</v>
      </c>
      <c r="BR17" s="111">
        <f t="shared" ref="BR17:BR24" si="89">BA17/INDEX(N17:P17,IF($A$2&lt;3,$A$2,3))</f>
        <v>1.7584187408491947</v>
      </c>
      <c r="BS17" s="111">
        <f t="shared" ref="BS17:BS24" si="90">BB17/INDEX(Q17:S17,IF($A$2&lt;7,$A$2-3,3))</f>
        <v>1.3207692307692307</v>
      </c>
      <c r="BT17" s="111">
        <f t="shared" ref="BT17:BT24" si="91">BC17/INDEX(R17:T17,IF($A$2&lt;7,$A$2-3,3))</f>
        <v>1.255939524838013</v>
      </c>
      <c r="BV17" s="111">
        <f t="shared" ref="BV17:BV22" si="92">BE17/Z17</f>
        <v>1.255939524838013</v>
      </c>
    </row>
    <row r="18" spans="1:74" outlineLevel="1" x14ac:dyDescent="0.25">
      <c r="A18" t="s">
        <v>6</v>
      </c>
      <c r="B18" s="6">
        <f>'Agency North'!C20+'Agency South'!C20</f>
        <v>407</v>
      </c>
      <c r="C18" s="6">
        <f>'Agency North'!D20+'Agency South'!D20</f>
        <v>432</v>
      </c>
      <c r="D18" s="6">
        <f>'Agency North'!E20+'Agency South'!E20</f>
        <v>208</v>
      </c>
      <c r="E18" s="6">
        <f>'Agency North'!F20+'Agency South'!F20</f>
        <v>449</v>
      </c>
      <c r="F18" s="6">
        <f>'Agency North'!G20+'Agency South'!G20</f>
        <v>563</v>
      </c>
      <c r="G18" s="6">
        <f>'Agency North'!H20+'Agency South'!H20</f>
        <v>442</v>
      </c>
      <c r="H18" s="6">
        <f>'Agency North'!I20+'Agency South'!I20</f>
        <v>483</v>
      </c>
      <c r="I18" s="6">
        <f>'Agency North'!J20+'Agency South'!J20</f>
        <v>490</v>
      </c>
      <c r="J18" s="6">
        <f>'Agency North'!K20+'Agency South'!K20</f>
        <v>472</v>
      </c>
      <c r="K18" s="6">
        <f>'Agency North'!L20+'Agency South'!L20</f>
        <v>567</v>
      </c>
      <c r="L18" s="6">
        <f>'Agency North'!M20+'Agency South'!M20</f>
        <v>452</v>
      </c>
      <c r="M18" s="6">
        <f>'Agency North'!N20+'Agency South'!N20</f>
        <v>773</v>
      </c>
      <c r="N18" s="6">
        <f>'Agency North'!O20+'Agency South'!O20</f>
        <v>590</v>
      </c>
      <c r="O18" s="6">
        <f>'Agency North'!P20+'Agency South'!P20</f>
        <v>205</v>
      </c>
      <c r="P18" s="6">
        <f>'Agency North'!Q20+'Agency South'!Q20</f>
        <v>192</v>
      </c>
      <c r="Q18" s="6">
        <f>'Agency North'!R20+'Agency South'!R20</f>
        <v>676</v>
      </c>
      <c r="R18" s="6">
        <f>'Agency North'!S20+'Agency South'!S20</f>
        <v>544</v>
      </c>
      <c r="S18" s="6">
        <f>'Agency North'!T20+'Agency South'!T20</f>
        <v>737</v>
      </c>
      <c r="T18" s="6">
        <f>'Agency North'!U20+'Agency South'!U20</f>
        <v>1290</v>
      </c>
      <c r="U18" s="6">
        <f>'Agency North'!V20+'Agency South'!V20</f>
        <v>914</v>
      </c>
      <c r="V18" s="6">
        <f>'Agency North'!W20+'Agency South'!W20</f>
        <v>1042</v>
      </c>
      <c r="W18" s="6">
        <f>'Agency North'!X20+'Agency South'!X20</f>
        <v>1263</v>
      </c>
      <c r="X18" s="6">
        <f>'Agency North'!Y20+'Agency South'!Y20</f>
        <v>1177</v>
      </c>
      <c r="Y18" s="6">
        <f>'Agency North'!Z20+'Agency South'!Z20</f>
        <v>1291</v>
      </c>
      <c r="Z18" s="22">
        <f t="shared" si="79"/>
        <v>1290</v>
      </c>
      <c r="AA18" s="22">
        <f t="shared" ref="AA18:AA24" si="93">P18</f>
        <v>192</v>
      </c>
      <c r="AB18" s="22">
        <f t="shared" ref="AB18:AB24" si="94">S18</f>
        <v>737</v>
      </c>
      <c r="AC18" s="22">
        <f t="shared" si="80"/>
        <v>1042</v>
      </c>
      <c r="AD18" s="22">
        <f t="shared" si="81"/>
        <v>1177</v>
      </c>
      <c r="AE18" s="22">
        <f t="shared" si="82"/>
        <v>483</v>
      </c>
      <c r="AF18" s="22">
        <f t="shared" si="70"/>
        <v>208</v>
      </c>
      <c r="AG18" s="22">
        <f t="shared" si="71"/>
        <v>442</v>
      </c>
      <c r="AH18" s="22">
        <f t="shared" si="72"/>
        <v>472</v>
      </c>
      <c r="AI18" s="22">
        <f t="shared" si="73"/>
        <v>773</v>
      </c>
      <c r="AJ18" s="31">
        <f t="shared" si="83"/>
        <v>1.670807453416149</v>
      </c>
      <c r="AK18" s="31">
        <f t="shared" si="74"/>
        <v>-7.6923076923076872E-2</v>
      </c>
      <c r="AL18" s="31">
        <f t="shared" si="75"/>
        <v>0.66742081447963808</v>
      </c>
      <c r="AM18" s="31">
        <f t="shared" si="75"/>
        <v>1.2076271186440679</v>
      </c>
      <c r="AN18" s="31">
        <f t="shared" si="76"/>
        <v>0.5226390685640363</v>
      </c>
      <c r="AO18" s="6">
        <f>'Agency North'!AP20+'Agency South'!AP20</f>
        <v>1495</v>
      </c>
      <c r="AP18" s="6">
        <f>'Agency North'!AQ20+'Agency South'!AQ20</f>
        <v>508</v>
      </c>
      <c r="AQ18" s="6">
        <f>'Agency North'!AR20+'Agency South'!AR20</f>
        <v>1040</v>
      </c>
      <c r="AR18" s="6">
        <f>'Agency North'!AS20+'Agency South'!AS20</f>
        <v>1182</v>
      </c>
      <c r="AS18" s="6">
        <f>'Agency North'!AT20+'Agency South'!AT20</f>
        <v>936</v>
      </c>
      <c r="AT18" s="6">
        <f>'Agency North'!AU20+'Agency South'!AU20</f>
        <v>887</v>
      </c>
      <c r="AU18" s="6">
        <f>'Agency North'!AV20+'Agency South'!AV20</f>
        <v>1705</v>
      </c>
      <c r="BA18" s="22">
        <f t="shared" si="84"/>
        <v>1040</v>
      </c>
      <c r="BB18" s="22">
        <f t="shared" si="85"/>
        <v>887</v>
      </c>
      <c r="BC18" s="22">
        <f t="shared" si="86"/>
        <v>1705</v>
      </c>
      <c r="BE18" s="22">
        <f t="shared" si="87"/>
        <v>1705</v>
      </c>
      <c r="BF18" s="122">
        <f t="shared" si="88"/>
        <v>2.5338983050847457</v>
      </c>
      <c r="BG18" s="31">
        <f t="shared" si="88"/>
        <v>2.4780487804878049</v>
      </c>
      <c r="BH18" s="31">
        <f t="shared" si="88"/>
        <v>5.416666666666667</v>
      </c>
      <c r="BI18" s="31">
        <f t="shared" si="88"/>
        <v>1.7485207100591715</v>
      </c>
      <c r="BJ18" s="31">
        <f t="shared" si="88"/>
        <v>1.7205882352941178</v>
      </c>
      <c r="BK18" s="31">
        <f t="shared" si="88"/>
        <v>1.2035278154681139</v>
      </c>
      <c r="BL18" s="31">
        <f t="shared" si="88"/>
        <v>1.3217054263565891</v>
      </c>
      <c r="BR18" s="111">
        <f t="shared" si="89"/>
        <v>5.416666666666667</v>
      </c>
      <c r="BS18" s="111">
        <f t="shared" si="90"/>
        <v>1.2035278154681139</v>
      </c>
      <c r="BT18" s="111">
        <f t="shared" si="91"/>
        <v>1.3217054263565891</v>
      </c>
      <c r="BV18" s="111">
        <f t="shared" si="92"/>
        <v>1.3217054263565891</v>
      </c>
    </row>
    <row r="19" spans="1:74" outlineLevel="1" x14ac:dyDescent="0.25">
      <c r="A19" t="s">
        <v>7</v>
      </c>
      <c r="B19" s="6">
        <f>'Agency North'!C21+'Agency South'!C21</f>
        <v>567</v>
      </c>
      <c r="C19" s="6">
        <f>'Agency North'!D21+'Agency South'!D21</f>
        <v>770</v>
      </c>
      <c r="D19" s="6">
        <f>'Agency North'!E21+'Agency South'!E21</f>
        <v>803</v>
      </c>
      <c r="E19" s="6">
        <f>'Agency North'!F21+'Agency South'!F21</f>
        <v>613</v>
      </c>
      <c r="F19" s="6">
        <f>'Agency North'!G21+'Agency South'!G21</f>
        <v>533</v>
      </c>
      <c r="G19" s="6">
        <f>'Agency North'!H21+'Agency South'!H21</f>
        <v>807</v>
      </c>
      <c r="H19" s="6">
        <f>'Agency North'!I21+'Agency South'!I21</f>
        <v>830</v>
      </c>
      <c r="I19" s="6">
        <f>'Agency North'!J21+'Agency South'!J21</f>
        <v>827</v>
      </c>
      <c r="J19" s="6">
        <f>'Agency North'!K21+'Agency South'!K21</f>
        <v>836</v>
      </c>
      <c r="K19" s="6">
        <f>'Agency North'!L21+'Agency South'!L21</f>
        <v>848</v>
      </c>
      <c r="L19" s="6">
        <f>'Agency North'!M21+'Agency South'!M21</f>
        <v>907</v>
      </c>
      <c r="M19" s="6">
        <f>'Agency North'!N21+'Agency South'!N21</f>
        <v>838</v>
      </c>
      <c r="N19" s="6">
        <f>'Agency North'!O21+'Agency South'!O21</f>
        <v>1091</v>
      </c>
      <c r="O19" s="6">
        <f>'Agency North'!P21+'Agency South'!P21</f>
        <v>1241</v>
      </c>
      <c r="P19" s="6">
        <f>'Agency North'!Q21+'Agency South'!Q21</f>
        <v>707</v>
      </c>
      <c r="Q19" s="6">
        <f>'Agency North'!R21+'Agency South'!R21</f>
        <v>370</v>
      </c>
      <c r="R19" s="6">
        <f>'Agency North'!S21+'Agency South'!S21</f>
        <v>812</v>
      </c>
      <c r="S19" s="6">
        <f>'Agency North'!T21+'Agency South'!T21</f>
        <v>1126</v>
      </c>
      <c r="T19" s="6">
        <f>'Agency North'!U21+'Agency South'!U21</f>
        <v>1221</v>
      </c>
      <c r="U19" s="6">
        <f>'Agency North'!V21+'Agency South'!V21</f>
        <v>1902</v>
      </c>
      <c r="V19" s="6">
        <f>'Agency North'!W21+'Agency South'!W21</f>
        <v>2032</v>
      </c>
      <c r="W19" s="6">
        <f>'Agency North'!X21+'Agency South'!X21</f>
        <v>1852</v>
      </c>
      <c r="X19" s="6">
        <f>'Agency North'!Y21+'Agency South'!Y21</f>
        <v>2178</v>
      </c>
      <c r="Y19" s="6">
        <f>'Agency North'!Z21+'Agency South'!Z21</f>
        <v>2293</v>
      </c>
      <c r="Z19" s="22">
        <f t="shared" si="79"/>
        <v>1221</v>
      </c>
      <c r="AA19" s="22">
        <f t="shared" si="93"/>
        <v>707</v>
      </c>
      <c r="AB19" s="22">
        <f t="shared" si="94"/>
        <v>1126</v>
      </c>
      <c r="AC19" s="22">
        <f t="shared" si="80"/>
        <v>2032</v>
      </c>
      <c r="AD19" s="22">
        <f t="shared" si="81"/>
        <v>2178</v>
      </c>
      <c r="AE19" s="22">
        <f t="shared" si="82"/>
        <v>830</v>
      </c>
      <c r="AF19" s="22">
        <f t="shared" si="70"/>
        <v>803</v>
      </c>
      <c r="AG19" s="22">
        <f t="shared" si="71"/>
        <v>807</v>
      </c>
      <c r="AH19" s="22">
        <f t="shared" si="72"/>
        <v>836</v>
      </c>
      <c r="AI19" s="22">
        <f t="shared" si="73"/>
        <v>838</v>
      </c>
      <c r="AJ19" s="31">
        <f t="shared" si="83"/>
        <v>0.47108433734939759</v>
      </c>
      <c r="AK19" s="31">
        <f t="shared" si="74"/>
        <v>-0.11955168119551685</v>
      </c>
      <c r="AL19" s="31">
        <f t="shared" si="75"/>
        <v>0.39529120198265177</v>
      </c>
      <c r="AM19" s="31">
        <f t="shared" si="75"/>
        <v>1.4306220095693778</v>
      </c>
      <c r="AN19" s="31">
        <f t="shared" si="76"/>
        <v>1.5990453460620526</v>
      </c>
      <c r="AO19" s="6">
        <f>'Agency North'!AP21+'Agency South'!AP21</f>
        <v>2385</v>
      </c>
      <c r="AP19" s="6">
        <f>'Agency North'!AQ21+'Agency South'!AQ21</f>
        <v>2739</v>
      </c>
      <c r="AQ19" s="6">
        <f>'Agency North'!AR21+'Agency South'!AR21</f>
        <v>1933</v>
      </c>
      <c r="AR19" s="6">
        <f>'Agency North'!AS21+'Agency South'!AS21</f>
        <v>1458</v>
      </c>
      <c r="AS19" s="6">
        <f>'Agency North'!AT21+'Agency South'!AT21</f>
        <v>2183</v>
      </c>
      <c r="AT19" s="6">
        <f>'Agency North'!AU21+'Agency South'!AU21</f>
        <v>2027</v>
      </c>
      <c r="AU19" s="6">
        <f>'Agency North'!AV21+'Agency South'!AV21</f>
        <v>1708</v>
      </c>
      <c r="BA19" s="22">
        <f t="shared" si="84"/>
        <v>1933</v>
      </c>
      <c r="BB19" s="22">
        <f t="shared" si="85"/>
        <v>2027</v>
      </c>
      <c r="BC19" s="22">
        <f t="shared" si="86"/>
        <v>1708</v>
      </c>
      <c r="BE19" s="22">
        <f t="shared" si="87"/>
        <v>1708</v>
      </c>
      <c r="BF19" s="122">
        <f t="shared" si="88"/>
        <v>2.1860678276810264</v>
      </c>
      <c r="BG19" s="31">
        <f t="shared" si="88"/>
        <v>2.2070910556003223</v>
      </c>
      <c r="BH19" s="31">
        <f t="shared" si="88"/>
        <v>2.7340876944837342</v>
      </c>
      <c r="BI19" s="31">
        <f t="shared" si="88"/>
        <v>3.9405405405405407</v>
      </c>
      <c r="BJ19" s="31">
        <f t="shared" si="88"/>
        <v>2.6884236453201971</v>
      </c>
      <c r="BK19" s="31">
        <f t="shared" si="88"/>
        <v>1.8001776198934281</v>
      </c>
      <c r="BL19" s="31">
        <f t="shared" si="88"/>
        <v>1.3988533988533989</v>
      </c>
      <c r="BR19" s="111">
        <f t="shared" si="89"/>
        <v>2.7340876944837342</v>
      </c>
      <c r="BS19" s="111">
        <f t="shared" si="90"/>
        <v>1.8001776198934281</v>
      </c>
      <c r="BT19" s="111">
        <f t="shared" si="91"/>
        <v>1.3988533988533989</v>
      </c>
      <c r="BV19" s="111">
        <f t="shared" si="92"/>
        <v>1.3988533988533989</v>
      </c>
    </row>
    <row r="20" spans="1:74" outlineLevel="1" x14ac:dyDescent="0.25">
      <c r="A20" t="s">
        <v>8</v>
      </c>
      <c r="B20" s="6">
        <f>'Agency North'!C22+'Agency South'!C22</f>
        <v>507</v>
      </c>
      <c r="C20" s="6">
        <f>'Agency North'!D22+'Agency South'!D22</f>
        <v>511</v>
      </c>
      <c r="D20" s="6">
        <f>'Agency North'!E22+'Agency South'!E22</f>
        <v>588</v>
      </c>
      <c r="E20" s="6">
        <f>'Agency North'!F22+'Agency South'!F22</f>
        <v>659</v>
      </c>
      <c r="F20" s="6">
        <f>'Agency North'!G22+'Agency South'!G22</f>
        <v>668</v>
      </c>
      <c r="G20" s="6">
        <f>'Agency North'!H22+'Agency South'!H22</f>
        <v>496</v>
      </c>
      <c r="H20" s="6">
        <f>'Agency North'!I22+'Agency South'!I22</f>
        <v>488</v>
      </c>
      <c r="I20" s="6">
        <f>'Agency North'!J22+'Agency South'!J22</f>
        <v>633</v>
      </c>
      <c r="J20" s="6">
        <f>'Agency North'!K22+'Agency South'!K22</f>
        <v>711</v>
      </c>
      <c r="K20" s="6">
        <f>'Agency North'!L22+'Agency South'!L22</f>
        <v>782</v>
      </c>
      <c r="L20" s="6">
        <f>'Agency North'!M22+'Agency South'!M22</f>
        <v>724</v>
      </c>
      <c r="M20" s="6">
        <f>'Agency North'!N22+'Agency South'!N22</f>
        <v>735</v>
      </c>
      <c r="N20" s="6">
        <f>'Agency North'!O22+'Agency South'!O22</f>
        <v>894</v>
      </c>
      <c r="O20" s="6">
        <f>'Agency North'!P22+'Agency South'!P22</f>
        <v>899</v>
      </c>
      <c r="P20" s="6">
        <f>'Agency North'!Q22+'Agency South'!Q22</f>
        <v>1134</v>
      </c>
      <c r="Q20" s="6">
        <f>'Agency North'!R22+'Agency South'!R22</f>
        <v>1093</v>
      </c>
      <c r="R20" s="6">
        <f>'Agency North'!S22+'Agency South'!S22</f>
        <v>941</v>
      </c>
      <c r="S20" s="6">
        <f>'Agency North'!T22+'Agency South'!T22</f>
        <v>569</v>
      </c>
      <c r="T20" s="6">
        <f>'Agency North'!U22+'Agency South'!U22</f>
        <v>730</v>
      </c>
      <c r="U20" s="6">
        <f>'Agency North'!V22+'Agency South'!V22</f>
        <v>972</v>
      </c>
      <c r="V20" s="6">
        <f>'Agency North'!W22+'Agency South'!W22</f>
        <v>1281</v>
      </c>
      <c r="W20" s="6">
        <f>'Agency North'!X22+'Agency South'!X22</f>
        <v>1832</v>
      </c>
      <c r="X20" s="6">
        <f>'Agency North'!Y22+'Agency South'!Y22</f>
        <v>1963</v>
      </c>
      <c r="Y20" s="6">
        <f>'Agency North'!Z22+'Agency South'!Z22</f>
        <v>2123</v>
      </c>
      <c r="Z20" s="22">
        <f t="shared" si="79"/>
        <v>730</v>
      </c>
      <c r="AA20" s="22">
        <f t="shared" si="93"/>
        <v>1134</v>
      </c>
      <c r="AB20" s="22">
        <f t="shared" si="94"/>
        <v>569</v>
      </c>
      <c r="AC20" s="22">
        <f t="shared" si="80"/>
        <v>1281</v>
      </c>
      <c r="AD20" s="22">
        <f t="shared" si="81"/>
        <v>1963</v>
      </c>
      <c r="AE20" s="22">
        <f t="shared" si="82"/>
        <v>488</v>
      </c>
      <c r="AF20" s="22">
        <f t="shared" si="70"/>
        <v>588</v>
      </c>
      <c r="AG20" s="22">
        <f t="shared" si="71"/>
        <v>496</v>
      </c>
      <c r="AH20" s="22">
        <f t="shared" si="72"/>
        <v>711</v>
      </c>
      <c r="AI20" s="22">
        <f t="shared" si="73"/>
        <v>735</v>
      </c>
      <c r="AJ20" s="31">
        <f t="shared" si="83"/>
        <v>0.49590163934426235</v>
      </c>
      <c r="AK20" s="31">
        <f t="shared" si="74"/>
        <v>0.9285714285714286</v>
      </c>
      <c r="AL20" s="31">
        <f t="shared" si="75"/>
        <v>0.14717741935483875</v>
      </c>
      <c r="AM20" s="31">
        <f t="shared" si="75"/>
        <v>0.80168776371308015</v>
      </c>
      <c r="AN20" s="31">
        <f t="shared" si="76"/>
        <v>1.6707482993197278</v>
      </c>
      <c r="AO20" s="6">
        <f>'Agency North'!AP22+'Agency South'!AP22</f>
        <v>2341</v>
      </c>
      <c r="AP20" s="6">
        <f>'Agency North'!AQ22+'Agency South'!AQ22</f>
        <v>1464</v>
      </c>
      <c r="AQ20" s="6">
        <f>'Agency North'!AR22+'Agency South'!AR22</f>
        <v>1619</v>
      </c>
      <c r="AR20" s="6">
        <f>'Agency North'!AS22+'Agency South'!AS22</f>
        <v>1502</v>
      </c>
      <c r="AS20" s="6">
        <f>'Agency North'!AT22+'Agency South'!AT22</f>
        <v>1112</v>
      </c>
      <c r="AT20" s="6">
        <f>'Agency North'!AU22+'Agency South'!AU22</f>
        <v>985</v>
      </c>
      <c r="AU20" s="6">
        <f>'Agency North'!AV22+'Agency South'!AV22</f>
        <v>842</v>
      </c>
      <c r="BA20" s="22">
        <f t="shared" si="84"/>
        <v>1619</v>
      </c>
      <c r="BB20" s="22">
        <f t="shared" si="85"/>
        <v>985</v>
      </c>
      <c r="BC20" s="22">
        <f t="shared" si="86"/>
        <v>842</v>
      </c>
      <c r="BE20" s="22">
        <f t="shared" si="87"/>
        <v>842</v>
      </c>
      <c r="BF20" s="122">
        <f t="shared" si="88"/>
        <v>2.6185682326621924</v>
      </c>
      <c r="BG20" s="31">
        <f t="shared" si="88"/>
        <v>1.6284760845383759</v>
      </c>
      <c r="BH20" s="31">
        <f t="shared" si="88"/>
        <v>1.4276895943562611</v>
      </c>
      <c r="BI20" s="31">
        <f t="shared" si="88"/>
        <v>1.37419945105215</v>
      </c>
      <c r="BJ20" s="31">
        <f t="shared" si="88"/>
        <v>1.1817215727948991</v>
      </c>
      <c r="BK20" s="31">
        <f t="shared" si="88"/>
        <v>1.7311072056239016</v>
      </c>
      <c r="BL20" s="31">
        <f t="shared" si="88"/>
        <v>1.1534246575342466</v>
      </c>
      <c r="BR20" s="111">
        <f t="shared" si="89"/>
        <v>1.4276895943562611</v>
      </c>
      <c r="BS20" s="111">
        <f t="shared" si="90"/>
        <v>1.7311072056239016</v>
      </c>
      <c r="BT20" s="111">
        <f t="shared" si="91"/>
        <v>1.1534246575342466</v>
      </c>
      <c r="BV20" s="111">
        <f t="shared" si="92"/>
        <v>1.1534246575342466</v>
      </c>
    </row>
    <row r="21" spans="1:74" outlineLevel="1" x14ac:dyDescent="0.25">
      <c r="A21" t="s">
        <v>1</v>
      </c>
      <c r="B21" s="6">
        <f>'Agency North'!C23+'Agency South'!C23</f>
        <v>367</v>
      </c>
      <c r="C21" s="6">
        <f>'Agency North'!D23+'Agency South'!D23</f>
        <v>437</v>
      </c>
      <c r="D21" s="6">
        <f>'Agency North'!E23+'Agency South'!E23</f>
        <v>524</v>
      </c>
      <c r="E21" s="6">
        <f>'Agency North'!F23+'Agency South'!F23</f>
        <v>596</v>
      </c>
      <c r="F21" s="6">
        <f>'Agency North'!G23+'Agency South'!G23</f>
        <v>548</v>
      </c>
      <c r="G21" s="6">
        <f>'Agency North'!H23+'Agency South'!H23</f>
        <v>547</v>
      </c>
      <c r="H21" s="6">
        <f>'Agency North'!I23+'Agency South'!I23</f>
        <v>522</v>
      </c>
      <c r="I21" s="6">
        <f>'Agency North'!J23+'Agency South'!J23</f>
        <v>556</v>
      </c>
      <c r="J21" s="6">
        <f>'Agency North'!K23+'Agency South'!K23</f>
        <v>511</v>
      </c>
      <c r="K21" s="6">
        <f>'Agency North'!L23+'Agency South'!L23</f>
        <v>604</v>
      </c>
      <c r="L21" s="6">
        <f>'Agency North'!M23+'Agency South'!M23</f>
        <v>711</v>
      </c>
      <c r="M21" s="6">
        <f>'Agency North'!N23+'Agency South'!N23</f>
        <v>717</v>
      </c>
      <c r="N21" s="6">
        <f>'Agency North'!O23+'Agency South'!O23</f>
        <v>797</v>
      </c>
      <c r="O21" s="6">
        <f>'Agency North'!P23+'Agency South'!P23</f>
        <v>874</v>
      </c>
      <c r="P21" s="6">
        <f>'Agency North'!Q23+'Agency South'!Q23</f>
        <v>944</v>
      </c>
      <c r="Q21" s="6">
        <f>'Agency North'!R23+'Agency South'!R23</f>
        <v>1082</v>
      </c>
      <c r="R21" s="6">
        <f>'Agency North'!S23+'Agency South'!S23</f>
        <v>1029</v>
      </c>
      <c r="S21" s="6">
        <f>'Agency North'!T23+'Agency South'!T23</f>
        <v>1202</v>
      </c>
      <c r="T21" s="6">
        <f>'Agency North'!U23+'Agency South'!U23</f>
        <v>1213</v>
      </c>
      <c r="U21" s="6">
        <f>'Agency North'!V23+'Agency South'!V23</f>
        <v>1093</v>
      </c>
      <c r="V21" s="6">
        <f>'Agency North'!W23+'Agency South'!W23</f>
        <v>967</v>
      </c>
      <c r="W21" s="6">
        <f>'Agency North'!X23+'Agency South'!X23</f>
        <v>1026</v>
      </c>
      <c r="X21" s="6">
        <f>'Agency North'!Y23+'Agency South'!Y23</f>
        <v>1134</v>
      </c>
      <c r="Y21" s="6">
        <f>'Agency North'!Z23+'Agency South'!Z23</f>
        <v>1205</v>
      </c>
      <c r="Z21" s="22">
        <f t="shared" si="79"/>
        <v>1213</v>
      </c>
      <c r="AA21" s="22">
        <f t="shared" si="93"/>
        <v>944</v>
      </c>
      <c r="AB21" s="22">
        <f t="shared" si="94"/>
        <v>1202</v>
      </c>
      <c r="AC21" s="22">
        <f t="shared" si="80"/>
        <v>967</v>
      </c>
      <c r="AD21" s="22">
        <f t="shared" si="81"/>
        <v>1134</v>
      </c>
      <c r="AE21" s="22">
        <f t="shared" si="82"/>
        <v>522</v>
      </c>
      <c r="AF21" s="22">
        <f t="shared" si="70"/>
        <v>524</v>
      </c>
      <c r="AG21" s="22">
        <f t="shared" si="71"/>
        <v>547</v>
      </c>
      <c r="AH21" s="22">
        <f>J21</f>
        <v>511</v>
      </c>
      <c r="AI21" s="22">
        <f t="shared" si="73"/>
        <v>717</v>
      </c>
      <c r="AJ21" s="31">
        <f t="shared" si="83"/>
        <v>1.3237547892720305</v>
      </c>
      <c r="AK21" s="31">
        <f t="shared" si="74"/>
        <v>0.8015267175572518</v>
      </c>
      <c r="AL21" s="31">
        <f t="shared" si="75"/>
        <v>1.197440585009141</v>
      </c>
      <c r="AM21" s="31">
        <f t="shared" si="75"/>
        <v>0.89236790606653615</v>
      </c>
      <c r="AN21" s="31">
        <f t="shared" si="76"/>
        <v>0.58158995815899583</v>
      </c>
      <c r="AO21" s="6">
        <f>'Agency North'!AP23+'Agency South'!AP23</f>
        <v>1657</v>
      </c>
      <c r="AP21" s="6">
        <f>'Agency North'!AQ23+'Agency South'!AQ23</f>
        <v>936</v>
      </c>
      <c r="AQ21" s="6">
        <f>'Agency North'!AR23+'Agency South'!AR23</f>
        <v>1044</v>
      </c>
      <c r="AR21" s="6">
        <f>'Agency North'!AS23+'Agency South'!AS23</f>
        <v>1061</v>
      </c>
      <c r="AS21" s="6">
        <f>'Agency North'!AT23+'Agency South'!AT23</f>
        <v>1286</v>
      </c>
      <c r="AT21" s="6">
        <f>'Agency North'!AU23+'Agency South'!AU23</f>
        <v>1429</v>
      </c>
      <c r="AU21" s="6">
        <f>'Agency North'!AV23+'Agency South'!AV23</f>
        <v>1393</v>
      </c>
      <c r="BA21" s="22">
        <f t="shared" si="84"/>
        <v>1044</v>
      </c>
      <c r="BB21" s="22">
        <f t="shared" si="85"/>
        <v>1429</v>
      </c>
      <c r="BC21" s="22">
        <f t="shared" si="86"/>
        <v>1393</v>
      </c>
      <c r="BE21" s="22">
        <f t="shared" si="87"/>
        <v>1393</v>
      </c>
      <c r="BF21" s="122">
        <f t="shared" si="88"/>
        <v>2.0790464240903388</v>
      </c>
      <c r="BG21" s="31">
        <f t="shared" si="88"/>
        <v>1.0709382151029749</v>
      </c>
      <c r="BH21" s="31">
        <f t="shared" si="88"/>
        <v>1.1059322033898304</v>
      </c>
      <c r="BI21" s="31">
        <f t="shared" si="88"/>
        <v>0.98059149722735672</v>
      </c>
      <c r="BJ21" s="31">
        <f t="shared" si="88"/>
        <v>1.249757045675413</v>
      </c>
      <c r="BK21" s="31">
        <f t="shared" si="88"/>
        <v>1.1888519134775375</v>
      </c>
      <c r="BL21" s="31">
        <f t="shared" si="88"/>
        <v>1.1483924154987635</v>
      </c>
      <c r="BR21" s="111">
        <f t="shared" si="89"/>
        <v>1.1059322033898304</v>
      </c>
      <c r="BS21" s="111">
        <f t="shared" si="90"/>
        <v>1.1888519134775375</v>
      </c>
      <c r="BT21" s="111">
        <f t="shared" si="91"/>
        <v>1.1483924154987635</v>
      </c>
      <c r="BV21" s="111">
        <f t="shared" si="92"/>
        <v>1.1483924154987635</v>
      </c>
    </row>
    <row r="22" spans="1:74" outlineLevel="1" x14ac:dyDescent="0.25">
      <c r="A22" t="s">
        <v>2</v>
      </c>
      <c r="B22" s="6">
        <f>'Agency North'!C24+'Agency South'!C24</f>
        <v>162</v>
      </c>
      <c r="C22" s="6">
        <f>'Agency North'!D24+'Agency South'!D24</f>
        <v>168</v>
      </c>
      <c r="D22" s="6">
        <f>'Agency North'!E24+'Agency South'!E24</f>
        <v>167</v>
      </c>
      <c r="E22" s="6">
        <f>'Agency North'!F24+'Agency South'!F24</f>
        <v>166</v>
      </c>
      <c r="F22" s="6">
        <f>'Agency North'!G24+'Agency South'!G24</f>
        <v>193</v>
      </c>
      <c r="G22" s="6">
        <f>'Agency North'!H24+'Agency South'!H24</f>
        <v>236</v>
      </c>
      <c r="H22" s="6">
        <f>'Agency North'!I24+'Agency South'!I24</f>
        <v>230</v>
      </c>
      <c r="I22" s="6">
        <f>'Agency North'!J24+'Agency South'!J24</f>
        <v>245</v>
      </c>
      <c r="J22" s="6">
        <f>'Agency North'!K24+'Agency South'!K24</f>
        <v>280</v>
      </c>
      <c r="K22" s="6">
        <f>'Agency North'!L24+'Agency South'!L24</f>
        <v>308</v>
      </c>
      <c r="L22" s="6">
        <f>'Agency North'!M24+'Agency South'!M24</f>
        <v>328</v>
      </c>
      <c r="M22" s="6">
        <f>'Agency North'!N24+'Agency South'!N24</f>
        <v>386</v>
      </c>
      <c r="N22" s="6">
        <f>'Agency North'!O24+'Agency South'!O24</f>
        <v>462</v>
      </c>
      <c r="O22" s="6">
        <f>'Agency North'!P24+'Agency South'!P24</f>
        <v>536</v>
      </c>
      <c r="P22" s="6">
        <f>'Agency North'!Q24+'Agency South'!Q24</f>
        <v>548</v>
      </c>
      <c r="Q22" s="6">
        <f>'Agency North'!R24+'Agency South'!R24</f>
        <v>622</v>
      </c>
      <c r="R22" s="6">
        <f>'Agency North'!S24+'Agency South'!S24</f>
        <v>744</v>
      </c>
      <c r="S22" s="6">
        <f>'Agency North'!T24+'Agency South'!T24</f>
        <v>778</v>
      </c>
      <c r="T22" s="6">
        <f>'Agency North'!U24+'Agency South'!U24</f>
        <v>856</v>
      </c>
      <c r="U22" s="6">
        <f>'Agency North'!V24+'Agency South'!V24</f>
        <v>941</v>
      </c>
      <c r="V22" s="6">
        <f>'Agency North'!W24+'Agency South'!W24</f>
        <v>1023</v>
      </c>
      <c r="W22" s="6">
        <f>'Agency North'!X24+'Agency South'!X24</f>
        <v>1156</v>
      </c>
      <c r="X22" s="6">
        <f>'Agency North'!Y24+'Agency South'!Y24</f>
        <v>1197</v>
      </c>
      <c r="Y22" s="6">
        <f>'Agency North'!Z24+'Agency South'!Z24</f>
        <v>1353</v>
      </c>
      <c r="Z22" s="22">
        <f t="shared" si="79"/>
        <v>856</v>
      </c>
      <c r="AA22" s="22">
        <f t="shared" si="93"/>
        <v>548</v>
      </c>
      <c r="AB22" s="22">
        <f t="shared" si="94"/>
        <v>778</v>
      </c>
      <c r="AC22" s="22">
        <f t="shared" si="80"/>
        <v>1023</v>
      </c>
      <c r="AD22" s="22">
        <f t="shared" si="81"/>
        <v>1197</v>
      </c>
      <c r="AE22" s="22">
        <f t="shared" si="82"/>
        <v>230</v>
      </c>
      <c r="AF22" s="22">
        <f t="shared" si="70"/>
        <v>167</v>
      </c>
      <c r="AG22" s="22">
        <f t="shared" si="71"/>
        <v>236</v>
      </c>
      <c r="AH22" s="22">
        <f t="shared" si="72"/>
        <v>280</v>
      </c>
      <c r="AI22" s="22">
        <f t="shared" si="73"/>
        <v>386</v>
      </c>
      <c r="AJ22" s="31">
        <f t="shared" si="83"/>
        <v>2.7217391304347824</v>
      </c>
      <c r="AK22" s="31">
        <f t="shared" si="74"/>
        <v>2.2814371257485031</v>
      </c>
      <c r="AL22" s="31">
        <f t="shared" si="75"/>
        <v>2.2966101694915255</v>
      </c>
      <c r="AM22" s="31">
        <f t="shared" si="75"/>
        <v>2.6535714285714285</v>
      </c>
      <c r="AN22" s="31">
        <f t="shared" si="76"/>
        <v>2.1010362694300517</v>
      </c>
      <c r="AO22" s="6">
        <f>'Agency North'!AP24+'Agency South'!AP24</f>
        <v>1498</v>
      </c>
      <c r="AP22" s="6">
        <f>'Agency North'!AQ24+'Agency South'!AQ24</f>
        <v>841</v>
      </c>
      <c r="AQ22" s="6">
        <f>'Agency North'!AR24+'Agency South'!AR24</f>
        <v>797</v>
      </c>
      <c r="AR22" s="6">
        <f>'Agency North'!AS24+'Agency South'!AS24</f>
        <v>779</v>
      </c>
      <c r="AS22" s="6">
        <f>'Agency North'!AT24+'Agency South'!AT24</f>
        <v>798</v>
      </c>
      <c r="AT22" s="6">
        <f>'Agency North'!AU24+'Agency South'!AU24</f>
        <v>842</v>
      </c>
      <c r="AU22" s="6">
        <f>'Agency North'!AV24+'Agency South'!AV24</f>
        <v>929</v>
      </c>
      <c r="BA22" s="22">
        <f t="shared" si="84"/>
        <v>797</v>
      </c>
      <c r="BB22" s="22">
        <f t="shared" si="85"/>
        <v>842</v>
      </c>
      <c r="BC22" s="22">
        <f t="shared" si="86"/>
        <v>929</v>
      </c>
      <c r="BE22" s="22">
        <f t="shared" si="87"/>
        <v>929</v>
      </c>
      <c r="BF22" s="122">
        <f t="shared" si="88"/>
        <v>3.2424242424242422</v>
      </c>
      <c r="BG22" s="31">
        <f t="shared" si="88"/>
        <v>1.5690298507462686</v>
      </c>
      <c r="BH22" s="31">
        <f t="shared" si="88"/>
        <v>1.4543795620437956</v>
      </c>
      <c r="BI22" s="31">
        <f t="shared" si="88"/>
        <v>1.252411575562701</v>
      </c>
      <c r="BJ22" s="31">
        <f t="shared" si="88"/>
        <v>1.0725806451612903</v>
      </c>
      <c r="BK22" s="31">
        <f t="shared" si="88"/>
        <v>1.0822622107969151</v>
      </c>
      <c r="BL22" s="31">
        <f t="shared" si="88"/>
        <v>1.0852803738317758</v>
      </c>
      <c r="BR22" s="111">
        <f t="shared" si="89"/>
        <v>1.4543795620437956</v>
      </c>
      <c r="BS22" s="111">
        <f t="shared" si="90"/>
        <v>1.0822622107969151</v>
      </c>
      <c r="BT22" s="111">
        <f t="shared" si="91"/>
        <v>1.0852803738317758</v>
      </c>
      <c r="BV22" s="111">
        <f t="shared" si="92"/>
        <v>1.0852803738317758</v>
      </c>
    </row>
    <row r="23" spans="1:74" outlineLevel="1" x14ac:dyDescent="0.25">
      <c r="A23" s="135" t="s">
        <v>136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31"/>
      <c r="AK23" s="31"/>
      <c r="AL23" s="31"/>
      <c r="AM23" s="31"/>
      <c r="AN23" s="31"/>
      <c r="AO23" s="6"/>
      <c r="AP23" s="137">
        <f>'Agency North'!AQ25+'Agency South'!AQ25</f>
        <v>2354</v>
      </c>
      <c r="AQ23" s="137">
        <f>'Agency North'!AR25+'Agency South'!AR25</f>
        <v>2611</v>
      </c>
      <c r="AR23" s="137">
        <f>'Agency North'!AS25+'Agency South'!AS25</f>
        <v>3496</v>
      </c>
      <c r="AS23" s="137">
        <f>'Agency North'!AT25+'Agency South'!AT25</f>
        <v>4041</v>
      </c>
      <c r="AT23" s="137">
        <f>'Agency North'!AU25+'Agency South'!AU25</f>
        <v>4849</v>
      </c>
      <c r="AU23" s="137">
        <f>'Agency North'!AV25+'Agency South'!AV25</f>
        <v>5854</v>
      </c>
      <c r="BA23" s="22">
        <f t="shared" si="84"/>
        <v>2611</v>
      </c>
      <c r="BB23" s="22">
        <f t="shared" si="85"/>
        <v>4849</v>
      </c>
      <c r="BC23" s="22">
        <f t="shared" si="86"/>
        <v>5854</v>
      </c>
      <c r="BE23" s="22">
        <f t="shared" si="87"/>
        <v>5854</v>
      </c>
      <c r="BF23" s="122"/>
      <c r="BG23" s="31"/>
      <c r="BH23" s="31"/>
      <c r="BI23" s="31"/>
      <c r="BJ23" s="31"/>
      <c r="BK23" s="31"/>
      <c r="BL23" s="31"/>
      <c r="BR23" s="111"/>
      <c r="BS23" s="111"/>
      <c r="BT23" s="111"/>
      <c r="BV23" s="111"/>
    </row>
    <row r="24" spans="1:74" s="17" customFormat="1" x14ac:dyDescent="0.25">
      <c r="A24" s="1" t="s">
        <v>137</v>
      </c>
      <c r="B24" s="7">
        <f>SUM(B16:B22)</f>
        <v>2496</v>
      </c>
      <c r="C24" s="7">
        <f t="shared" ref="C24:Y24" si="95">SUM(C16:C22)</f>
        <v>2586</v>
      </c>
      <c r="D24" s="7">
        <f t="shared" si="95"/>
        <v>2805</v>
      </c>
      <c r="E24" s="7">
        <f t="shared" si="95"/>
        <v>3133</v>
      </c>
      <c r="F24" s="7">
        <f t="shared" si="95"/>
        <v>3046</v>
      </c>
      <c r="G24" s="7">
        <f t="shared" si="95"/>
        <v>3101</v>
      </c>
      <c r="H24" s="7">
        <f t="shared" si="95"/>
        <v>3127</v>
      </c>
      <c r="I24" s="7">
        <f t="shared" si="95"/>
        <v>3315</v>
      </c>
      <c r="J24" s="7">
        <f t="shared" si="95"/>
        <v>3461</v>
      </c>
      <c r="K24" s="7">
        <f t="shared" si="95"/>
        <v>3650</v>
      </c>
      <c r="L24" s="7">
        <f t="shared" si="95"/>
        <v>4000</v>
      </c>
      <c r="M24" s="7">
        <f t="shared" si="95"/>
        <v>4117</v>
      </c>
      <c r="N24" s="7">
        <f t="shared" si="95"/>
        <v>4156</v>
      </c>
      <c r="O24" s="7">
        <f t="shared" si="95"/>
        <v>4067</v>
      </c>
      <c r="P24" s="7">
        <f t="shared" si="95"/>
        <v>4326</v>
      </c>
      <c r="Q24" s="7">
        <f t="shared" si="95"/>
        <v>4505</v>
      </c>
      <c r="R24" s="7">
        <f t="shared" si="95"/>
        <v>4930</v>
      </c>
      <c r="S24" s="7">
        <f t="shared" si="95"/>
        <v>5819</v>
      </c>
      <c r="T24" s="7">
        <f t="shared" si="95"/>
        <v>6335</v>
      </c>
      <c r="U24" s="7">
        <f t="shared" si="95"/>
        <v>6970</v>
      </c>
      <c r="V24" s="7">
        <f t="shared" si="95"/>
        <v>7706</v>
      </c>
      <c r="W24" s="7">
        <f t="shared" si="95"/>
        <v>8408</v>
      </c>
      <c r="X24" s="7">
        <f t="shared" si="95"/>
        <v>9051</v>
      </c>
      <c r="Y24" s="7">
        <f t="shared" si="95"/>
        <v>9845</v>
      </c>
      <c r="Z24" s="27">
        <f t="shared" si="79"/>
        <v>6335</v>
      </c>
      <c r="AA24" s="27">
        <f t="shared" si="93"/>
        <v>4326</v>
      </c>
      <c r="AB24" s="27">
        <f t="shared" si="94"/>
        <v>5819</v>
      </c>
      <c r="AC24" s="27">
        <f>SUM(AC16:AC22)</f>
        <v>7706</v>
      </c>
      <c r="AD24" s="22">
        <f t="shared" si="81"/>
        <v>9051</v>
      </c>
      <c r="AE24" s="27">
        <f t="shared" si="82"/>
        <v>3127</v>
      </c>
      <c r="AF24" s="27">
        <f t="shared" si="70"/>
        <v>2805</v>
      </c>
      <c r="AG24" s="27">
        <f t="shared" si="71"/>
        <v>3101</v>
      </c>
      <c r="AH24" s="27">
        <f t="shared" si="72"/>
        <v>3461</v>
      </c>
      <c r="AI24" s="27">
        <f t="shared" si="73"/>
        <v>4117</v>
      </c>
      <c r="AJ24" s="32">
        <f t="shared" si="83"/>
        <v>1.0259034218100416</v>
      </c>
      <c r="AK24" s="32">
        <f t="shared" si="74"/>
        <v>0.54224598930481283</v>
      </c>
      <c r="AL24" s="32">
        <f t="shared" si="75"/>
        <v>0.87649145436955811</v>
      </c>
      <c r="AM24" s="31">
        <f t="shared" si="75"/>
        <v>1.2265241259751516</v>
      </c>
      <c r="AN24" s="31">
        <f t="shared" si="76"/>
        <v>1.198445470002429</v>
      </c>
      <c r="AO24" s="7">
        <f t="shared" ref="AO24:AQ24" si="96">SUM(AO16:AO22)</f>
        <v>10030</v>
      </c>
      <c r="AP24" s="7">
        <f>SUM(AP16:AP22)</f>
        <v>7676</v>
      </c>
      <c r="AQ24" s="7">
        <f t="shared" si="96"/>
        <v>7777</v>
      </c>
      <c r="AR24" s="7">
        <f t="shared" ref="AR24:AS24" si="97">SUM(AR16:AR22)</f>
        <v>7057</v>
      </c>
      <c r="AS24" s="7">
        <f t="shared" si="97"/>
        <v>7380</v>
      </c>
      <c r="AT24" s="7">
        <f t="shared" ref="AT24" si="98">SUM(AT16:AT22)</f>
        <v>8015</v>
      </c>
      <c r="AU24" s="7">
        <f>SUM(AU16:AU22)</f>
        <v>7863</v>
      </c>
      <c r="BA24" s="115">
        <f t="shared" si="84"/>
        <v>7777</v>
      </c>
      <c r="BB24" s="115">
        <f>INDEX(AR24:AT24,IF($A$2&lt;7,$A$2-3,3))</f>
        <v>8015</v>
      </c>
      <c r="BC24" s="22">
        <f t="shared" si="86"/>
        <v>7863</v>
      </c>
      <c r="BD24" s="37"/>
      <c r="BE24" s="115">
        <f t="shared" si="87"/>
        <v>7863</v>
      </c>
      <c r="BF24" s="123">
        <f t="shared" si="88"/>
        <v>2.4133782483156883</v>
      </c>
      <c r="BG24" s="32">
        <f t="shared" si="88"/>
        <v>1.88738627981313</v>
      </c>
      <c r="BH24" s="32">
        <f t="shared" si="88"/>
        <v>1.7977346278317152</v>
      </c>
      <c r="BI24" s="32">
        <f t="shared" si="88"/>
        <v>1.5664816870144285</v>
      </c>
      <c r="BJ24" s="32">
        <f t="shared" si="88"/>
        <v>1.4969574036511155</v>
      </c>
      <c r="BK24" s="32">
        <f t="shared" si="88"/>
        <v>1.3773844303144871</v>
      </c>
      <c r="BL24" s="32">
        <f t="shared" si="88"/>
        <v>1.2411996842936071</v>
      </c>
      <c r="BM24" s="37"/>
      <c r="BN24" s="37"/>
      <c r="BO24" s="37"/>
      <c r="BP24" s="37"/>
      <c r="BQ24" s="37"/>
      <c r="BR24" s="118">
        <f t="shared" si="89"/>
        <v>1.7977346278317152</v>
      </c>
      <c r="BS24" s="118">
        <f t="shared" si="90"/>
        <v>1.3773844303144871</v>
      </c>
      <c r="BT24" s="118">
        <f t="shared" si="91"/>
        <v>1.2411996842936071</v>
      </c>
      <c r="BU24" s="37"/>
      <c r="BV24" s="118">
        <f>BE24/Z24</f>
        <v>1.2411996842936071</v>
      </c>
    </row>
    <row r="25" spans="1:74" x14ac:dyDescent="0.25">
      <c r="A25" t="s">
        <v>186</v>
      </c>
      <c r="M25" s="66"/>
      <c r="P25">
        <f>SUM(N14:P14)/SUM(N24:P24)</f>
        <v>4.9222704996414022</v>
      </c>
      <c r="T25" s="8"/>
      <c r="U25" s="6"/>
      <c r="Y25" s="66"/>
      <c r="Z25" s="6">
        <f>Z24</f>
        <v>6335</v>
      </c>
      <c r="AA25" s="21"/>
      <c r="AE25"/>
      <c r="AO25" s="22">
        <f>SUM(AO16:AO23)</f>
        <v>10030</v>
      </c>
      <c r="AP25" s="22">
        <f>SUM(AP16:AP23)</f>
        <v>10030</v>
      </c>
      <c r="AQ25" s="22">
        <f t="shared" ref="AQ25:AT25" si="99">SUM(AQ16:AQ23)</f>
        <v>10388</v>
      </c>
      <c r="AR25" s="22">
        <f t="shared" si="99"/>
        <v>10553</v>
      </c>
      <c r="AS25" s="22">
        <f t="shared" si="99"/>
        <v>11421</v>
      </c>
      <c r="AT25" s="22">
        <f t="shared" si="99"/>
        <v>12864</v>
      </c>
      <c r="AU25" s="22">
        <f>SUM(AU16:AU23)</f>
        <v>13717</v>
      </c>
      <c r="BE25" s="115">
        <f t="shared" si="87"/>
        <v>13717</v>
      </c>
      <c r="BF25" s="124"/>
      <c r="BV25" s="118">
        <f>BE25/Z25</f>
        <v>2.1652722967640097</v>
      </c>
    </row>
    <row r="26" spans="1:74" x14ac:dyDescent="0.25">
      <c r="Z26"/>
      <c r="AE26"/>
      <c r="AH26" s="39" t="s">
        <v>39</v>
      </c>
      <c r="BF26" s="124"/>
    </row>
    <row r="27" spans="1:74" s="17" customFormat="1" x14ac:dyDescent="0.25">
      <c r="A27" s="2" t="s">
        <v>10</v>
      </c>
      <c r="B27" s="3">
        <f t="shared" ref="B27:Y27" si="100">B3</f>
        <v>42005</v>
      </c>
      <c r="C27" s="3">
        <f t="shared" si="100"/>
        <v>42036</v>
      </c>
      <c r="D27" s="3">
        <f t="shared" si="100"/>
        <v>42064</v>
      </c>
      <c r="E27" s="3">
        <f t="shared" si="100"/>
        <v>42095</v>
      </c>
      <c r="F27" s="3">
        <f t="shared" si="100"/>
        <v>42125</v>
      </c>
      <c r="G27" s="3">
        <f t="shared" si="100"/>
        <v>42156</v>
      </c>
      <c r="H27" s="3">
        <f t="shared" si="100"/>
        <v>42186</v>
      </c>
      <c r="I27" s="3">
        <f t="shared" si="100"/>
        <v>42217</v>
      </c>
      <c r="J27" s="3">
        <f t="shared" si="100"/>
        <v>42248</v>
      </c>
      <c r="K27" s="3">
        <f t="shared" si="100"/>
        <v>42278</v>
      </c>
      <c r="L27" s="3">
        <f t="shared" si="100"/>
        <v>42309</v>
      </c>
      <c r="M27" s="3">
        <f t="shared" si="100"/>
        <v>42339</v>
      </c>
      <c r="N27" s="3">
        <f t="shared" si="100"/>
        <v>42370</v>
      </c>
      <c r="O27" s="3">
        <f t="shared" si="100"/>
        <v>42401</v>
      </c>
      <c r="P27" s="3">
        <f t="shared" si="100"/>
        <v>42430</v>
      </c>
      <c r="Q27" s="3">
        <f t="shared" si="100"/>
        <v>42461</v>
      </c>
      <c r="R27" s="3">
        <f t="shared" si="100"/>
        <v>42491</v>
      </c>
      <c r="S27" s="3">
        <f t="shared" si="100"/>
        <v>42522</v>
      </c>
      <c r="T27" s="3">
        <f t="shared" si="100"/>
        <v>42552</v>
      </c>
      <c r="U27" s="3">
        <f t="shared" si="100"/>
        <v>42583</v>
      </c>
      <c r="V27" s="3">
        <f t="shared" si="100"/>
        <v>42614</v>
      </c>
      <c r="W27" s="3">
        <f t="shared" si="100"/>
        <v>42644</v>
      </c>
      <c r="X27" s="3">
        <f t="shared" si="100"/>
        <v>42675</v>
      </c>
      <c r="Y27" s="3">
        <f t="shared" si="100"/>
        <v>42705</v>
      </c>
      <c r="Z27" s="29" t="str">
        <f>Z15</f>
        <v>YTD 7/16</v>
      </c>
      <c r="AA27" s="29" t="s">
        <v>19</v>
      </c>
      <c r="AB27" s="29" t="s">
        <v>20</v>
      </c>
      <c r="AC27" s="29" t="s">
        <v>21</v>
      </c>
      <c r="AD27" s="29" t="s">
        <v>22</v>
      </c>
      <c r="AE27" s="26" t="str">
        <f t="shared" ref="AE27:AI27" si="101">AE15</f>
        <v>YTD 7/15</v>
      </c>
      <c r="AF27" s="26" t="str">
        <f t="shared" si="101"/>
        <v>Q1 '15</v>
      </c>
      <c r="AG27" s="26" t="str">
        <f t="shared" si="101"/>
        <v>Q2 '15</v>
      </c>
      <c r="AH27" s="26" t="str">
        <f t="shared" si="101"/>
        <v>Q3 '15</v>
      </c>
      <c r="AI27" s="26" t="str">
        <f t="shared" si="101"/>
        <v>Q4 '15</v>
      </c>
      <c r="AJ27" s="30" t="s">
        <v>27</v>
      </c>
      <c r="AK27" s="30" t="s">
        <v>29</v>
      </c>
      <c r="AL27" s="30" t="s">
        <v>30</v>
      </c>
      <c r="AM27" s="30" t="s">
        <v>31</v>
      </c>
      <c r="AN27" s="30" t="s">
        <v>32</v>
      </c>
      <c r="AO27" s="108">
        <v>42736</v>
      </c>
      <c r="AP27" s="108">
        <v>42767</v>
      </c>
      <c r="AQ27" s="108">
        <v>42795</v>
      </c>
      <c r="AR27" s="108">
        <v>42826</v>
      </c>
      <c r="AS27" s="108">
        <v>42856</v>
      </c>
      <c r="AT27" s="108">
        <v>42887</v>
      </c>
      <c r="AU27" s="108">
        <v>42917</v>
      </c>
      <c r="AV27" s="108">
        <v>42948</v>
      </c>
      <c r="AW27" s="108">
        <v>42979</v>
      </c>
      <c r="AX27" s="108">
        <v>43009</v>
      </c>
      <c r="AY27" s="108">
        <v>43040</v>
      </c>
      <c r="AZ27" s="108">
        <v>43070</v>
      </c>
      <c r="BA27" s="29" t="s">
        <v>123</v>
      </c>
      <c r="BB27" s="29" t="s">
        <v>124</v>
      </c>
      <c r="BC27" s="29" t="s">
        <v>125</v>
      </c>
      <c r="BD27" s="29" t="s">
        <v>126</v>
      </c>
      <c r="BE27" s="29" t="str">
        <f>"YTD " &amp; A26 &amp;"/17"</f>
        <v>YTD /17</v>
      </c>
      <c r="BF27" s="121">
        <v>42736</v>
      </c>
      <c r="BG27" s="108">
        <v>42767</v>
      </c>
      <c r="BH27" s="108">
        <v>42795</v>
      </c>
      <c r="BI27" s="108">
        <v>42826</v>
      </c>
      <c r="BJ27" s="108">
        <v>42856</v>
      </c>
      <c r="BK27" s="108">
        <v>42887</v>
      </c>
      <c r="BL27" s="108">
        <v>42917</v>
      </c>
      <c r="BM27" s="108">
        <v>42948</v>
      </c>
      <c r="BN27" s="108">
        <v>42979</v>
      </c>
      <c r="BO27" s="108">
        <v>43009</v>
      </c>
      <c r="BP27" s="108">
        <v>43040</v>
      </c>
      <c r="BQ27" s="108">
        <v>43070</v>
      </c>
      <c r="BR27" s="29" t="s">
        <v>127</v>
      </c>
      <c r="BS27" s="29" t="s">
        <v>128</v>
      </c>
      <c r="BT27" s="29" t="s">
        <v>96</v>
      </c>
      <c r="BU27" s="29" t="s">
        <v>129</v>
      </c>
      <c r="BV27" s="112" t="s">
        <v>130</v>
      </c>
    </row>
    <row r="28" spans="1:74" outlineLevel="1" x14ac:dyDescent="0.25">
      <c r="A28" t="s">
        <v>4</v>
      </c>
      <c r="B28">
        <f>'Agency North'!C30+'Agency South'!C30</f>
        <v>38</v>
      </c>
      <c r="C28">
        <f>'Agency North'!D30+'Agency South'!D30</f>
        <v>30</v>
      </c>
      <c r="D28">
        <f>'Agency North'!E30+'Agency South'!E30</f>
        <v>41</v>
      </c>
      <c r="E28">
        <f>'Agency North'!F30+'Agency South'!F30</f>
        <v>53</v>
      </c>
      <c r="F28">
        <f>'Agency North'!G30+'Agency South'!G30</f>
        <v>59</v>
      </c>
      <c r="G28">
        <f>'Agency North'!H30+'Agency South'!H30</f>
        <v>54</v>
      </c>
      <c r="H28" s="22">
        <f>'Agency North'!I30+'Agency South'!I30</f>
        <v>52</v>
      </c>
      <c r="I28" s="22">
        <f>'Agency North'!J30+'Agency South'!J30</f>
        <v>47</v>
      </c>
      <c r="J28" s="22">
        <f>'Agency North'!K30+'Agency South'!K30</f>
        <v>65</v>
      </c>
      <c r="K28" s="22">
        <f>'Agency North'!L30+'Agency South'!L30</f>
        <v>61</v>
      </c>
      <c r="L28" s="22">
        <f>'Agency North'!M30+'Agency South'!M30</f>
        <v>54</v>
      </c>
      <c r="M28" s="22">
        <f>'Agency North'!N30+'Agency South'!N30</f>
        <v>57</v>
      </c>
      <c r="N28" s="22">
        <f>'Agency North'!O30+'Agency South'!O30</f>
        <v>45</v>
      </c>
      <c r="O28" s="22">
        <f>'Agency North'!P30+'Agency South'!P30</f>
        <v>41</v>
      </c>
      <c r="P28" s="22">
        <f>'Agency North'!Q30+'Agency South'!Q30</f>
        <v>65</v>
      </c>
      <c r="Q28" s="22">
        <f>'Agency North'!R30+'Agency South'!R30</f>
        <v>51</v>
      </c>
      <c r="R28" s="22">
        <f>'Agency North'!S30+'Agency South'!S30</f>
        <v>50</v>
      </c>
      <c r="S28" s="22">
        <f>'Agency North'!T30+'Agency South'!T30</f>
        <v>64</v>
      </c>
      <c r="T28" s="22">
        <f>'Agency North'!U30+'Agency South'!U30</f>
        <v>46</v>
      </c>
      <c r="U28" s="22">
        <f>'Agency North'!V30+'Agency South'!V30</f>
        <v>47</v>
      </c>
      <c r="V28" s="22">
        <f>'Agency North'!W30+'Agency South'!W30</f>
        <v>51</v>
      </c>
      <c r="W28" s="22">
        <f>'Agency North'!X30+'Agency South'!X30</f>
        <v>42</v>
      </c>
      <c r="X28" s="22">
        <f>'Agency North'!Y30+'Agency South'!Y30</f>
        <v>42</v>
      </c>
      <c r="Y28" s="22">
        <f>'Agency North'!Z30+'Agency South'!Z30</f>
        <v>51</v>
      </c>
      <c r="Z28" s="22">
        <f>SUM(N28:INDEX(N28:Y28,$A$2))</f>
        <v>362</v>
      </c>
      <c r="AA28" s="22">
        <f>SUM(N28:P28)</f>
        <v>151</v>
      </c>
      <c r="AB28" s="22">
        <f>SUM(Q28:S28)</f>
        <v>165</v>
      </c>
      <c r="AC28" s="22">
        <f>SUM(T28:V28)</f>
        <v>144</v>
      </c>
      <c r="AD28" s="22">
        <f>SUM(W28:Y28)</f>
        <v>135</v>
      </c>
      <c r="AE28" s="22">
        <f>SUM(B28                                                                                : INDEX(B28:M28,$A$2))</f>
        <v>327</v>
      </c>
      <c r="AF28" s="22">
        <f t="shared" ref="AF28" si="102">SUM(B28:D28)</f>
        <v>109</v>
      </c>
      <c r="AG28" s="22">
        <f t="shared" ref="AG28" si="103">SUM(E28:G28)</f>
        <v>166</v>
      </c>
      <c r="AH28" s="22">
        <f>SUM(H28:J28)</f>
        <v>164</v>
      </c>
      <c r="AI28" s="22">
        <f t="shared" ref="AI28" si="104">SUM(K28:M28)</f>
        <v>172</v>
      </c>
      <c r="AJ28" s="31">
        <f>Z28/AE28-1</f>
        <v>0.10703363914373099</v>
      </c>
      <c r="AK28" s="31">
        <f t="shared" ref="AK28:AK36" si="105">AA28/AF28-1</f>
        <v>0.3853211009174311</v>
      </c>
      <c r="AL28" s="31">
        <f t="shared" ref="AL28:AM36" si="106">AB28/AG28-1</f>
        <v>-6.0240963855421326E-3</v>
      </c>
      <c r="AM28" s="31">
        <f t="shared" si="106"/>
        <v>-0.12195121951219512</v>
      </c>
      <c r="AN28" s="31">
        <f>AD28/SUM(K28:INDEX(K28:M28,MOD($A$2,3)))-1</f>
        <v>1.2131147540983607</v>
      </c>
      <c r="AO28" s="22">
        <f>'Agency North'!AP30+'Agency South'!AP30</f>
        <v>81</v>
      </c>
      <c r="AP28" s="22">
        <f>'Agency North'!AQ30+'Agency South'!AQ30</f>
        <v>100</v>
      </c>
      <c r="AQ28" s="22">
        <f>'Agency North'!AR30+'Agency South'!AR30</f>
        <v>106</v>
      </c>
      <c r="AR28" s="22">
        <f>'Agency North'!AS30+'Agency South'!AS30</f>
        <v>100</v>
      </c>
      <c r="AS28" s="22">
        <f>'Agency North'!AT30+'Agency South'!AT30</f>
        <v>92</v>
      </c>
      <c r="AT28" s="22">
        <f>'Agency North'!AU30+'Agency South'!AU30</f>
        <v>95</v>
      </c>
      <c r="AU28" s="22">
        <f>'Agency North'!AV30+'Agency South'!AV30</f>
        <v>80</v>
      </c>
      <c r="BA28" s="110">
        <f>SUM(AO28:INDEX(AO28:AQ28,IF($A$2&lt;3,$A$2,3)))</f>
        <v>287</v>
      </c>
      <c r="BB28" s="110">
        <f>SUM(AR28:INDEX(AR28:AT28,IF($A$2&lt;7,$A$2-3,3)))</f>
        <v>287</v>
      </c>
      <c r="BC28" s="110">
        <f>SUM(AU28:INDEX(AU28:AW28,IF(AND($A$2&gt;6,$A$2&lt;10),$A$2-6,0)))</f>
        <v>80</v>
      </c>
      <c r="BD28" s="110">
        <f>SUM(AX28:INDEX(AX28:AZ28,IF($A$2&gt;9,$A$2-9,0)))</f>
        <v>0</v>
      </c>
      <c r="BE28" s="110">
        <f>SUM($AO28:INDEX(AO28:AZ28,$A$2))</f>
        <v>654</v>
      </c>
      <c r="BF28" s="122">
        <f t="shared" ref="BF28:BF36" si="107">AO28/N28</f>
        <v>1.8</v>
      </c>
      <c r="BG28" s="111">
        <f t="shared" ref="BG28:BG36" si="108">AP28/O28</f>
        <v>2.4390243902439024</v>
      </c>
      <c r="BH28" s="111">
        <f t="shared" ref="BH28:BH36" si="109">AQ28/P28</f>
        <v>1.6307692307692307</v>
      </c>
      <c r="BI28" s="111">
        <f t="shared" ref="BI28:BI36" si="110">AR28/Q28</f>
        <v>1.9607843137254901</v>
      </c>
      <c r="BJ28" s="111">
        <f t="shared" ref="BJ28:BJ36" si="111">AS28/R28</f>
        <v>1.84</v>
      </c>
      <c r="BK28" s="111">
        <f t="shared" ref="BK28:BK36" si="112">AT28/S28</f>
        <v>1.484375</v>
      </c>
      <c r="BL28" s="111">
        <f t="shared" ref="BL28:BL36" si="113">AU28/T28</f>
        <v>1.7391304347826086</v>
      </c>
      <c r="BM28" s="111">
        <f t="shared" ref="BM28:BM36" si="114">AV28/U28</f>
        <v>0</v>
      </c>
      <c r="BN28" s="111">
        <f t="shared" ref="BN28:BN36" si="115">AW28/V28</f>
        <v>0</v>
      </c>
      <c r="BO28" s="111">
        <f t="shared" ref="BO28:BO36" si="116">AX28/W28</f>
        <v>0</v>
      </c>
      <c r="BP28" s="111">
        <f t="shared" ref="BP28:BP36" si="117">AY28/X28</f>
        <v>0</v>
      </c>
      <c r="BQ28" s="111">
        <f t="shared" ref="BQ28:BQ36" si="118">AZ28/Y28</f>
        <v>0</v>
      </c>
      <c r="BR28" s="111">
        <f>BA28/SUM(N28:INDEX(N28:P28,IF($A$2&lt;3,$A$2,3)))</f>
        <v>1.9006622516556291</v>
      </c>
      <c r="BS28" s="111">
        <f>BB28/SUM(Q28:INDEX(Q28:S28,IF($A$2&lt;7,$A$2-3,3)))</f>
        <v>1.7393939393939395</v>
      </c>
      <c r="BT28" s="111">
        <f>BC28/SUM(T28:INDEX(T28:V28,IF($A$2&lt;7,$A$2-3,IF($A$2&lt;10,$A$2-6,IF($A$2&lt;13,$A$2-9,-1) ))))</f>
        <v>1.7391304347826086</v>
      </c>
      <c r="BU28" s="111">
        <f t="shared" ref="BU28:BU36" si="119">BD28/AD28</f>
        <v>0</v>
      </c>
      <c r="BV28" s="111">
        <f t="shared" ref="BV28:BV36" si="120">BE28/Z28</f>
        <v>1.8066298342541436</v>
      </c>
    </row>
    <row r="29" spans="1:74" outlineLevel="1" x14ac:dyDescent="0.25">
      <c r="A29" t="s">
        <v>5</v>
      </c>
      <c r="B29">
        <f>'Agency North'!C31+'Agency South'!C31</f>
        <v>122</v>
      </c>
      <c r="C29">
        <f>'Agency North'!D31+'Agency South'!D31</f>
        <v>72</v>
      </c>
      <c r="D29">
        <f>'Agency North'!E31+'Agency South'!E31</f>
        <v>140</v>
      </c>
      <c r="E29">
        <f>'Agency North'!F31+'Agency South'!F31</f>
        <v>166</v>
      </c>
      <c r="F29">
        <f>'Agency North'!G31+'Agency South'!G31</f>
        <v>159</v>
      </c>
      <c r="G29">
        <f>'Agency North'!H31+'Agency South'!H31</f>
        <v>205</v>
      </c>
      <c r="H29" s="22">
        <f>'Agency North'!I31+'Agency South'!I31</f>
        <v>242</v>
      </c>
      <c r="I29" s="22">
        <f>'Agency North'!J31+'Agency South'!J31</f>
        <v>175</v>
      </c>
      <c r="J29" s="22">
        <f>'Agency North'!K31+'Agency South'!K31</f>
        <v>269</v>
      </c>
      <c r="K29" s="22">
        <f>'Agency North'!L31+'Agency South'!L31</f>
        <v>202</v>
      </c>
      <c r="L29" s="22">
        <f>'Agency North'!M31+'Agency South'!M31</f>
        <v>376</v>
      </c>
      <c r="M29" s="22">
        <f>'Agency North'!N31+'Agency South'!N31</f>
        <v>276</v>
      </c>
      <c r="N29" s="22">
        <f>'Agency North'!O31+'Agency South'!O31</f>
        <v>59</v>
      </c>
      <c r="O29" s="22">
        <f>'Agency North'!P31+'Agency South'!P31</f>
        <v>63</v>
      </c>
      <c r="P29" s="22">
        <f>'Agency North'!Q31+'Agency South'!Q31</f>
        <v>301</v>
      </c>
      <c r="Q29" s="22">
        <f>'Agency North'!R31+'Agency South'!R31</f>
        <v>244</v>
      </c>
      <c r="R29" s="22">
        <f>'Agency North'!S31+'Agency South'!S31</f>
        <v>299</v>
      </c>
      <c r="S29" s="22">
        <f>'Agency North'!T31+'Agency South'!T31</f>
        <v>576</v>
      </c>
      <c r="T29" s="22">
        <f>'Agency North'!U31+'Agency South'!U31</f>
        <v>359</v>
      </c>
      <c r="U29" s="22">
        <f>'Agency North'!V31+'Agency South'!V31</f>
        <v>409</v>
      </c>
      <c r="V29" s="22">
        <f>'Agency North'!W31+'Agency South'!W31</f>
        <v>554</v>
      </c>
      <c r="W29" s="22">
        <f>'Agency North'!X31+'Agency South'!X31</f>
        <v>434</v>
      </c>
      <c r="X29" s="22">
        <f>'Agency North'!Y31+'Agency South'!Y31</f>
        <v>407</v>
      </c>
      <c r="Y29" s="22">
        <f>'Agency North'!Z31+'Agency South'!Z31</f>
        <v>774</v>
      </c>
      <c r="Z29" s="22">
        <f>SUM(N29:INDEX(N29:Y29,$A$2))</f>
        <v>1901</v>
      </c>
      <c r="AA29" s="22">
        <f t="shared" ref="AA29:AA34" si="121">SUM(N29:P29)</f>
        <v>423</v>
      </c>
      <c r="AB29" s="22">
        <f t="shared" ref="AB29:AB34" si="122">SUM(Q29:S29)</f>
        <v>1119</v>
      </c>
      <c r="AC29" s="22">
        <f t="shared" ref="AC29:AC34" si="123">SUM(T29:V29)</f>
        <v>1322</v>
      </c>
      <c r="AD29" s="22">
        <f t="shared" ref="AD29:AD34" si="124">SUM(W29:Y29)</f>
        <v>1615</v>
      </c>
      <c r="AE29" s="22">
        <f>SUM(B29                                                                                : INDEX(B29:M29,$A$2))</f>
        <v>1106</v>
      </c>
      <c r="AF29" s="22">
        <f t="shared" ref="AF29:AF34" si="125">SUM(B29:D29)</f>
        <v>334</v>
      </c>
      <c r="AG29" s="22">
        <f t="shared" ref="AG29:AG34" si="126">SUM(E29:G29)</f>
        <v>530</v>
      </c>
      <c r="AH29" s="22">
        <f t="shared" ref="AH29:AH34" si="127">SUM(H29:J29)</f>
        <v>686</v>
      </c>
      <c r="AI29" s="22">
        <f t="shared" ref="AI29:AI34" si="128">SUM(K29:M29)</f>
        <v>854</v>
      </c>
      <c r="AJ29" s="31">
        <f t="shared" ref="AJ29:AJ36" si="129">Z29/AE29-1</f>
        <v>0.71880650994575035</v>
      </c>
      <c r="AK29" s="31">
        <f t="shared" si="105"/>
        <v>0.26646706586826352</v>
      </c>
      <c r="AL29" s="31">
        <f t="shared" si="106"/>
        <v>1.111320754716981</v>
      </c>
      <c r="AM29" s="31">
        <f t="shared" si="106"/>
        <v>0.92711370262390669</v>
      </c>
      <c r="AN29" s="31">
        <f>AD29/SUM(K29:INDEX(K29:M29,MOD($A$2,3)))-1</f>
        <v>6.9950495049504955</v>
      </c>
      <c r="AO29" s="22">
        <f>'Agency North'!AP31+'Agency South'!AP31</f>
        <v>160</v>
      </c>
      <c r="AP29" s="22">
        <f>'Agency North'!AQ31+'Agency South'!AQ31</f>
        <v>325</v>
      </c>
      <c r="AQ29" s="22">
        <f>'Agency North'!AR31+'Agency South'!AR31</f>
        <v>591</v>
      </c>
      <c r="AR29" s="22">
        <f>'Agency North'!AS31+'Agency South'!AS31</f>
        <v>460</v>
      </c>
      <c r="AS29" s="22">
        <f>'Agency North'!AT31+'Agency South'!AT31</f>
        <v>429</v>
      </c>
      <c r="AT29" s="22">
        <f>'Agency North'!AU31+'Agency South'!AU31</f>
        <v>914</v>
      </c>
      <c r="AU29" s="22">
        <f>'Agency North'!AV31+'Agency South'!AV31</f>
        <v>515</v>
      </c>
      <c r="BA29" s="110">
        <f>SUM(AO29:INDEX(AO29:AQ29,IF($A$2&lt;3,$A$2,3)))</f>
        <v>1076</v>
      </c>
      <c r="BB29" s="110">
        <f>SUM(AR29:INDEX(AR29:AT29,IF($A$2&lt;7,$A$2-3,3)))</f>
        <v>1803</v>
      </c>
      <c r="BC29" s="110">
        <f>SUM(AU29:INDEX(AU29:AW29,IF(AND($A$2&gt;6,$A$2&lt;10),$A$2-6,0)))</f>
        <v>515</v>
      </c>
      <c r="BD29" s="110">
        <f>SUM(AX29:INDEX(AX29:AZ29,IF($A$2&gt;9,$A$2-9,0)))</f>
        <v>0</v>
      </c>
      <c r="BE29" s="110">
        <f>SUM($AO29:INDEX(AO29:AZ29,$A$2))</f>
        <v>3394</v>
      </c>
      <c r="BF29" s="122">
        <f t="shared" si="107"/>
        <v>2.7118644067796609</v>
      </c>
      <c r="BG29" s="111">
        <f t="shared" si="108"/>
        <v>5.1587301587301591</v>
      </c>
      <c r="BH29" s="111">
        <f t="shared" si="109"/>
        <v>1.9634551495016612</v>
      </c>
      <c r="BI29" s="111">
        <f t="shared" si="110"/>
        <v>1.8852459016393444</v>
      </c>
      <c r="BJ29" s="111">
        <f t="shared" si="111"/>
        <v>1.4347826086956521</v>
      </c>
      <c r="BK29" s="111">
        <f t="shared" si="112"/>
        <v>1.5868055555555556</v>
      </c>
      <c r="BL29" s="111">
        <f t="shared" si="113"/>
        <v>1.4345403899721449</v>
      </c>
      <c r="BM29" s="111">
        <f t="shared" si="114"/>
        <v>0</v>
      </c>
      <c r="BN29" s="111">
        <f t="shared" si="115"/>
        <v>0</v>
      </c>
      <c r="BO29" s="111">
        <f t="shared" si="116"/>
        <v>0</v>
      </c>
      <c r="BP29" s="111">
        <f t="shared" si="117"/>
        <v>0</v>
      </c>
      <c r="BQ29" s="111">
        <f t="shared" si="118"/>
        <v>0</v>
      </c>
      <c r="BR29" s="111">
        <f>BA29/SUM(N29:INDEX(N29:P29,IF($A$2&lt;3,$A$2,3)))</f>
        <v>2.5437352245862885</v>
      </c>
      <c r="BS29" s="111">
        <f>BB29/SUM(Q29:INDEX(Q29:S29,IF($A$2&lt;7,$A$2-3,3)))</f>
        <v>1.6112600536193029</v>
      </c>
      <c r="BT29" s="111">
        <f>BC29/SUM(T29:INDEX(T29:V29,IF($A$2&lt;7,$A$2-3,IF($A$2&lt;10,$A$2-6,IF($A$2&lt;13,$A$2-9,-1) ))))</f>
        <v>1.4345403899721449</v>
      </c>
      <c r="BU29" s="111">
        <f t="shared" si="119"/>
        <v>0</v>
      </c>
      <c r="BV29" s="111">
        <f t="shared" si="120"/>
        <v>1.7853761178327197</v>
      </c>
    </row>
    <row r="30" spans="1:74" outlineLevel="1" x14ac:dyDescent="0.25">
      <c r="A30" t="s">
        <v>6</v>
      </c>
      <c r="B30">
        <f>'Agency North'!C32+'Agency South'!C32</f>
        <v>106</v>
      </c>
      <c r="C30">
        <f>'Agency North'!D32+'Agency South'!D32</f>
        <v>106</v>
      </c>
      <c r="D30">
        <f>'Agency North'!E32+'Agency South'!E32</f>
        <v>71</v>
      </c>
      <c r="E30">
        <f>'Agency North'!F32+'Agency South'!F32</f>
        <v>140</v>
      </c>
      <c r="F30">
        <f>'Agency North'!G32+'Agency South'!G32</f>
        <v>162</v>
      </c>
      <c r="G30">
        <f>'Agency North'!H32+'Agency South'!H32</f>
        <v>149</v>
      </c>
      <c r="H30" s="22">
        <f>'Agency North'!I32+'Agency South'!I32</f>
        <v>168</v>
      </c>
      <c r="I30" s="22">
        <f>'Agency North'!J32+'Agency South'!J32</f>
        <v>132</v>
      </c>
      <c r="J30" s="22">
        <f>'Agency North'!K32+'Agency South'!K32</f>
        <v>174</v>
      </c>
      <c r="K30" s="22">
        <f>'Agency North'!L32+'Agency South'!L32</f>
        <v>203</v>
      </c>
      <c r="L30" s="22">
        <f>'Agency North'!M32+'Agency South'!M32</f>
        <v>121</v>
      </c>
      <c r="M30" s="22">
        <f>'Agency North'!N32+'Agency South'!N32</f>
        <v>320</v>
      </c>
      <c r="N30" s="22">
        <f>'Agency North'!O32+'Agency South'!O32</f>
        <v>104</v>
      </c>
      <c r="O30" s="22">
        <f>'Agency North'!P32+'Agency South'!P32</f>
        <v>56</v>
      </c>
      <c r="P30" s="22">
        <f>'Agency North'!Q32+'Agency South'!Q32</f>
        <v>49</v>
      </c>
      <c r="Q30" s="22">
        <f>'Agency North'!R32+'Agency South'!R32</f>
        <v>169</v>
      </c>
      <c r="R30" s="22">
        <f>'Agency North'!S32+'Agency South'!S32</f>
        <v>162</v>
      </c>
      <c r="S30" s="22">
        <f>'Agency North'!T32+'Agency South'!T32</f>
        <v>232</v>
      </c>
      <c r="T30" s="22">
        <f>'Agency North'!U32+'Agency South'!U32</f>
        <v>300</v>
      </c>
      <c r="U30" s="22">
        <f>'Agency North'!V32+'Agency South'!V32</f>
        <v>228</v>
      </c>
      <c r="V30" s="22">
        <f>'Agency North'!W32+'Agency South'!W32</f>
        <v>310</v>
      </c>
      <c r="W30" s="22">
        <f>'Agency North'!X32+'Agency South'!X32</f>
        <v>301</v>
      </c>
      <c r="X30" s="22">
        <f>'Agency North'!Y32+'Agency South'!Y32</f>
        <v>313</v>
      </c>
      <c r="Y30" s="22">
        <f>'Agency North'!Z32+'Agency South'!Z32</f>
        <v>377</v>
      </c>
      <c r="Z30" s="22">
        <f>SUM(N30:INDEX(N30:Y30,$A$2))</f>
        <v>1072</v>
      </c>
      <c r="AA30" s="22">
        <f t="shared" si="121"/>
        <v>209</v>
      </c>
      <c r="AB30" s="22">
        <f t="shared" si="122"/>
        <v>563</v>
      </c>
      <c r="AC30" s="22">
        <f t="shared" si="123"/>
        <v>838</v>
      </c>
      <c r="AD30" s="22">
        <f t="shared" si="124"/>
        <v>991</v>
      </c>
      <c r="AE30" s="22">
        <f>SUM(B30                                                                                : INDEX(B30:M30,$A$2))</f>
        <v>902</v>
      </c>
      <c r="AF30" s="22">
        <f t="shared" si="125"/>
        <v>283</v>
      </c>
      <c r="AG30" s="22">
        <f t="shared" si="126"/>
        <v>451</v>
      </c>
      <c r="AH30" s="22">
        <f t="shared" si="127"/>
        <v>474</v>
      </c>
      <c r="AI30" s="22">
        <f t="shared" si="128"/>
        <v>644</v>
      </c>
      <c r="AJ30" s="31">
        <f t="shared" si="129"/>
        <v>0.18847006651884701</v>
      </c>
      <c r="AK30" s="31">
        <f t="shared" si="105"/>
        <v>-0.2614840989399293</v>
      </c>
      <c r="AL30" s="31">
        <f t="shared" si="106"/>
        <v>0.24833702882483366</v>
      </c>
      <c r="AM30" s="31">
        <f t="shared" si="106"/>
        <v>0.76793248945147674</v>
      </c>
      <c r="AN30" s="31">
        <f>AD30/SUM(K30:INDEX(K30:M30,MOD($A$2,3)))-1</f>
        <v>3.8817733990147785</v>
      </c>
      <c r="AO30" s="22">
        <f>'Agency North'!AP32+'Agency South'!AP32</f>
        <v>218</v>
      </c>
      <c r="AP30" s="22">
        <f>'Agency North'!AQ32+'Agency South'!AQ32</f>
        <v>117</v>
      </c>
      <c r="AQ30" s="22">
        <f>'Agency North'!AR32+'Agency South'!AR32</f>
        <v>274</v>
      </c>
      <c r="AR30" s="22">
        <f>'Agency North'!AS32+'Agency South'!AS32</f>
        <v>282</v>
      </c>
      <c r="AS30" s="22">
        <f>'Agency North'!AT32+'Agency South'!AT32</f>
        <v>213</v>
      </c>
      <c r="AT30" s="22">
        <f>'Agency North'!AU32+'Agency South'!AU32</f>
        <v>196</v>
      </c>
      <c r="AU30" s="22">
        <f>'Agency North'!AV32+'Agency South'!AV32</f>
        <v>243</v>
      </c>
      <c r="BA30" s="110">
        <f>SUM(AO30:INDEX(AO30:AQ30,IF($A$2&lt;3,$A$2,3)))</f>
        <v>609</v>
      </c>
      <c r="BB30" s="110">
        <f>SUM(AR30:INDEX(AR30:AT30,IF($A$2&lt;7,$A$2-3,3)))</f>
        <v>691</v>
      </c>
      <c r="BC30" s="110">
        <f>SUM(AU30:INDEX(AU30:AW30,IF(AND($A$2&gt;6,$A$2&lt;10),$A$2-6,0)))</f>
        <v>243</v>
      </c>
      <c r="BD30" s="110">
        <f>SUM(AX30:INDEX(AX30:AZ30,IF($A$2&gt;9,$A$2-9,0)))</f>
        <v>0</v>
      </c>
      <c r="BE30" s="110">
        <f>SUM($AO30:INDEX(AO30:AZ30,$A$2))</f>
        <v>1543</v>
      </c>
      <c r="BF30" s="122">
        <f t="shared" si="107"/>
        <v>2.0961538461538463</v>
      </c>
      <c r="BG30" s="111">
        <f t="shared" si="108"/>
        <v>2.0892857142857144</v>
      </c>
      <c r="BH30" s="111">
        <f t="shared" si="109"/>
        <v>5.591836734693878</v>
      </c>
      <c r="BI30" s="111">
        <f t="shared" si="110"/>
        <v>1.668639053254438</v>
      </c>
      <c r="BJ30" s="111">
        <f t="shared" si="111"/>
        <v>1.3148148148148149</v>
      </c>
      <c r="BK30" s="111">
        <f t="shared" si="112"/>
        <v>0.84482758620689657</v>
      </c>
      <c r="BL30" s="111">
        <f t="shared" si="113"/>
        <v>0.81</v>
      </c>
      <c r="BM30" s="111">
        <f t="shared" si="114"/>
        <v>0</v>
      </c>
      <c r="BN30" s="111">
        <f t="shared" si="115"/>
        <v>0</v>
      </c>
      <c r="BO30" s="111">
        <f t="shared" si="116"/>
        <v>0</v>
      </c>
      <c r="BP30" s="111">
        <f t="shared" si="117"/>
        <v>0</v>
      </c>
      <c r="BQ30" s="111">
        <f t="shared" si="118"/>
        <v>0</v>
      </c>
      <c r="BR30" s="111">
        <f>BA30/SUM(N30:INDEX(N30:P30,IF($A$2&lt;3,$A$2,3)))</f>
        <v>2.9138755980861246</v>
      </c>
      <c r="BS30" s="111">
        <f>BB30/SUM(Q30:INDEX(Q30:S30,IF($A$2&lt;7,$A$2-3,3)))</f>
        <v>1.2273534635879217</v>
      </c>
      <c r="BT30" s="111">
        <f>BC30/SUM(T30:INDEX(T30:V30,IF($A$2&lt;7,$A$2-3,IF($A$2&lt;10,$A$2-6,IF($A$2&lt;13,$A$2-9,-1) ))))</f>
        <v>0.81</v>
      </c>
      <c r="BU30" s="111">
        <f t="shared" si="119"/>
        <v>0</v>
      </c>
      <c r="BV30" s="111">
        <f t="shared" si="120"/>
        <v>1.4393656716417911</v>
      </c>
    </row>
    <row r="31" spans="1:74" outlineLevel="1" x14ac:dyDescent="0.25">
      <c r="A31" t="s">
        <v>7</v>
      </c>
      <c r="B31">
        <f>'Agency North'!C33+'Agency South'!C33</f>
        <v>124</v>
      </c>
      <c r="C31">
        <f>'Agency North'!D33+'Agency South'!D33</f>
        <v>116</v>
      </c>
      <c r="D31">
        <f>'Agency North'!E33+'Agency South'!E33</f>
        <v>176</v>
      </c>
      <c r="E31">
        <f>'Agency North'!F33+'Agency South'!F33</f>
        <v>110</v>
      </c>
      <c r="F31">
        <f>'Agency North'!G33+'Agency South'!G33</f>
        <v>136</v>
      </c>
      <c r="G31">
        <f>'Agency North'!H33+'Agency South'!H33</f>
        <v>257</v>
      </c>
      <c r="H31" s="22">
        <f>'Agency North'!I33+'Agency South'!I33</f>
        <v>234</v>
      </c>
      <c r="I31" s="22">
        <f>'Agency North'!J33+'Agency South'!J33</f>
        <v>160</v>
      </c>
      <c r="J31" s="22">
        <f>'Agency North'!K33+'Agency South'!K33</f>
        <v>270</v>
      </c>
      <c r="K31" s="22">
        <f>'Agency North'!L33+'Agency South'!L33</f>
        <v>210</v>
      </c>
      <c r="L31" s="22">
        <f>'Agency North'!M33+'Agency South'!M33</f>
        <v>266</v>
      </c>
      <c r="M31" s="22">
        <f>'Agency North'!N33+'Agency South'!N33</f>
        <v>290</v>
      </c>
      <c r="N31" s="22">
        <f>'Agency North'!O33+'Agency South'!O33</f>
        <v>147</v>
      </c>
      <c r="O31" s="22">
        <f>'Agency North'!P33+'Agency South'!P33</f>
        <v>177</v>
      </c>
      <c r="P31" s="22">
        <f>'Agency North'!Q33+'Agency South'!Q33</f>
        <v>150</v>
      </c>
      <c r="Q31" s="22">
        <f>'Agency North'!R33+'Agency South'!R33</f>
        <v>62</v>
      </c>
      <c r="R31" s="22">
        <f>'Agency North'!S33+'Agency South'!S33</f>
        <v>150</v>
      </c>
      <c r="S31" s="22">
        <f>'Agency North'!T33+'Agency South'!T33</f>
        <v>250</v>
      </c>
      <c r="T31" s="22">
        <f>'Agency North'!U33+'Agency South'!U33</f>
        <v>203</v>
      </c>
      <c r="U31" s="22">
        <f>'Agency North'!V33+'Agency South'!V33</f>
        <v>307</v>
      </c>
      <c r="V31" s="22">
        <f>'Agency North'!W33+'Agency South'!W33</f>
        <v>343</v>
      </c>
      <c r="W31" s="22">
        <f>'Agency North'!X33+'Agency South'!X33</f>
        <v>243</v>
      </c>
      <c r="X31" s="22">
        <f>'Agency North'!Y33+'Agency South'!Y33</f>
        <v>323</v>
      </c>
      <c r="Y31" s="22">
        <f>'Agency North'!Z33+'Agency South'!Z33</f>
        <v>494</v>
      </c>
      <c r="Z31" s="22">
        <f>SUM(N31:INDEX(N31:Y31,$A$2))</f>
        <v>1139</v>
      </c>
      <c r="AA31" s="22">
        <f t="shared" si="121"/>
        <v>474</v>
      </c>
      <c r="AB31" s="22">
        <f t="shared" si="122"/>
        <v>462</v>
      </c>
      <c r="AC31" s="22">
        <f t="shared" si="123"/>
        <v>853</v>
      </c>
      <c r="AD31" s="22">
        <f t="shared" si="124"/>
        <v>1060</v>
      </c>
      <c r="AE31" s="22">
        <f>SUM(B31                                                                                : INDEX(B31:M31,$A$2))</f>
        <v>1153</v>
      </c>
      <c r="AF31" s="22">
        <f t="shared" si="125"/>
        <v>416</v>
      </c>
      <c r="AG31" s="22">
        <f t="shared" si="126"/>
        <v>503</v>
      </c>
      <c r="AH31" s="22">
        <f t="shared" si="127"/>
        <v>664</v>
      </c>
      <c r="AI31" s="22">
        <f t="shared" si="128"/>
        <v>766</v>
      </c>
      <c r="AJ31" s="31">
        <f t="shared" si="129"/>
        <v>-1.2142237640936693E-2</v>
      </c>
      <c r="AK31" s="31">
        <f t="shared" si="105"/>
        <v>0.13942307692307687</v>
      </c>
      <c r="AL31" s="31">
        <f t="shared" si="106"/>
        <v>-8.1510934393638212E-2</v>
      </c>
      <c r="AM31" s="31">
        <f t="shared" si="106"/>
        <v>0.28463855421686746</v>
      </c>
      <c r="AN31" s="31">
        <f>AD31/SUM(K31:INDEX(K31:M31,MOD($A$2,3)))-1</f>
        <v>4.0476190476190474</v>
      </c>
      <c r="AO31" s="22">
        <f>'Agency North'!AP33+'Agency South'!AP33</f>
        <v>238</v>
      </c>
      <c r="AP31" s="22">
        <f>'Agency North'!AQ33+'Agency South'!AQ33</f>
        <v>423</v>
      </c>
      <c r="AQ31" s="22">
        <f>'Agency North'!AR33+'Agency South'!AR33</f>
        <v>281</v>
      </c>
      <c r="AR31" s="22">
        <f>'Agency North'!AS33+'Agency South'!AS33</f>
        <v>224</v>
      </c>
      <c r="AS31" s="22">
        <f>'Agency North'!AT33+'Agency South'!AT33</f>
        <v>263</v>
      </c>
      <c r="AT31" s="22">
        <f>'Agency North'!AU33+'Agency South'!AU33</f>
        <v>233</v>
      </c>
      <c r="AU31" s="22">
        <f>'Agency North'!AV33+'Agency South'!AV33</f>
        <v>194</v>
      </c>
      <c r="BA31" s="110">
        <f>SUM(AO31:INDEX(AO31:AQ31,IF($A$2&lt;3,$A$2,3)))</f>
        <v>942</v>
      </c>
      <c r="BB31" s="110">
        <f>SUM(AR31:INDEX(AR31:AT31,IF($A$2&lt;7,$A$2-3,3)))</f>
        <v>720</v>
      </c>
      <c r="BC31" s="110">
        <f>SUM(AU31:INDEX(AU31:AW31,IF(AND($A$2&gt;6,$A$2&lt;10),$A$2-6,0)))</f>
        <v>194</v>
      </c>
      <c r="BD31" s="110">
        <f>SUM(AX31:INDEX(AX31:AZ31,IF($A$2&gt;9,$A$2-9,0)))</f>
        <v>0</v>
      </c>
      <c r="BE31" s="110">
        <f>SUM($AO31:INDEX(AO31:AZ31,$A$2))</f>
        <v>1856</v>
      </c>
      <c r="BF31" s="122">
        <f t="shared" si="107"/>
        <v>1.6190476190476191</v>
      </c>
      <c r="BG31" s="111">
        <f t="shared" si="108"/>
        <v>2.3898305084745761</v>
      </c>
      <c r="BH31" s="111">
        <f t="shared" si="109"/>
        <v>1.8733333333333333</v>
      </c>
      <c r="BI31" s="111">
        <f t="shared" si="110"/>
        <v>3.6129032258064515</v>
      </c>
      <c r="BJ31" s="111">
        <f t="shared" si="111"/>
        <v>1.7533333333333334</v>
      </c>
      <c r="BK31" s="111">
        <f t="shared" si="112"/>
        <v>0.93200000000000005</v>
      </c>
      <c r="BL31" s="111">
        <f t="shared" si="113"/>
        <v>0.95566502463054193</v>
      </c>
      <c r="BM31" s="111">
        <f t="shared" si="114"/>
        <v>0</v>
      </c>
      <c r="BN31" s="111">
        <f t="shared" si="115"/>
        <v>0</v>
      </c>
      <c r="BO31" s="111">
        <f t="shared" si="116"/>
        <v>0</v>
      </c>
      <c r="BP31" s="111">
        <f t="shared" si="117"/>
        <v>0</v>
      </c>
      <c r="BQ31" s="111">
        <f t="shared" si="118"/>
        <v>0</v>
      </c>
      <c r="BR31" s="111">
        <f>BA31/SUM(N31:INDEX(N31:P31,IF($A$2&lt;3,$A$2,3)))</f>
        <v>1.9873417721518987</v>
      </c>
      <c r="BS31" s="111">
        <f>BB31/SUM(Q31:INDEX(Q31:S31,IF($A$2&lt;7,$A$2-3,3)))</f>
        <v>1.5584415584415585</v>
      </c>
      <c r="BT31" s="111">
        <f>BC31/SUM(T31:INDEX(T31:V31,IF($A$2&lt;7,$A$2-3,IF($A$2&lt;10,$A$2-6,IF($A$2&lt;13,$A$2-9,-1) ))))</f>
        <v>0.95566502463054193</v>
      </c>
      <c r="BU31" s="111">
        <f t="shared" si="119"/>
        <v>0</v>
      </c>
      <c r="BV31" s="111">
        <f t="shared" si="120"/>
        <v>1.6294995610184373</v>
      </c>
    </row>
    <row r="32" spans="1:74" outlineLevel="1" x14ac:dyDescent="0.25">
      <c r="A32" t="s">
        <v>8</v>
      </c>
      <c r="B32">
        <f>'Agency North'!C34+'Agency South'!C34</f>
        <v>81</v>
      </c>
      <c r="C32">
        <f>'Agency North'!D34+'Agency South'!D34</f>
        <v>65</v>
      </c>
      <c r="D32">
        <f>'Agency North'!E34+'Agency South'!E34</f>
        <v>124</v>
      </c>
      <c r="E32">
        <f>'Agency North'!F34+'Agency South'!F34</f>
        <v>142</v>
      </c>
      <c r="F32">
        <f>'Agency North'!G34+'Agency South'!G34</f>
        <v>182</v>
      </c>
      <c r="G32">
        <f>'Agency North'!H34+'Agency South'!H34</f>
        <v>143</v>
      </c>
      <c r="H32" s="22">
        <f>'Agency North'!I34+'Agency South'!I34</f>
        <v>132</v>
      </c>
      <c r="I32" s="22">
        <f>'Agency North'!J34+'Agency South'!J34</f>
        <v>140</v>
      </c>
      <c r="J32" s="22">
        <f>'Agency North'!K34+'Agency South'!K34</f>
        <v>260</v>
      </c>
      <c r="K32" s="22">
        <f>'Agency North'!L34+'Agency South'!L34</f>
        <v>192</v>
      </c>
      <c r="L32" s="22">
        <f>'Agency North'!M34+'Agency South'!M34</f>
        <v>199</v>
      </c>
      <c r="M32" s="22">
        <f>'Agency North'!N34+'Agency South'!N34</f>
        <v>233</v>
      </c>
      <c r="N32" s="22">
        <f>'Agency North'!O34+'Agency South'!O34</f>
        <v>124</v>
      </c>
      <c r="O32" s="22">
        <f>'Agency North'!P34+'Agency South'!P34</f>
        <v>121</v>
      </c>
      <c r="P32" s="22">
        <f>'Agency North'!Q34+'Agency South'!Q34</f>
        <v>256</v>
      </c>
      <c r="Q32" s="22">
        <f>'Agency North'!R34+'Agency South'!R34</f>
        <v>184</v>
      </c>
      <c r="R32" s="22">
        <f>'Agency North'!S34+'Agency South'!S34</f>
        <v>132</v>
      </c>
      <c r="S32" s="22">
        <f>'Agency North'!T34+'Agency South'!T34</f>
        <v>114</v>
      </c>
      <c r="T32" s="22">
        <f>'Agency North'!U34+'Agency South'!U34</f>
        <v>113</v>
      </c>
      <c r="U32" s="22">
        <f>'Agency North'!V34+'Agency South'!V34</f>
        <v>155</v>
      </c>
      <c r="V32" s="22">
        <f>'Agency North'!W34+'Agency South'!W34</f>
        <v>186</v>
      </c>
      <c r="W32" s="22">
        <f>'Agency North'!X34+'Agency South'!X34</f>
        <v>180</v>
      </c>
      <c r="X32" s="22">
        <f>'Agency North'!Y34+'Agency South'!Y34</f>
        <v>156</v>
      </c>
      <c r="Y32" s="22">
        <f>'Agency North'!Z34+'Agency South'!Z34</f>
        <v>321</v>
      </c>
      <c r="Z32" s="22">
        <f>SUM(N32:INDEX(N32:Y32,$A$2))</f>
        <v>1044</v>
      </c>
      <c r="AA32" s="22">
        <f t="shared" si="121"/>
        <v>501</v>
      </c>
      <c r="AB32" s="22">
        <f t="shared" si="122"/>
        <v>430</v>
      </c>
      <c r="AC32" s="22">
        <f t="shared" si="123"/>
        <v>454</v>
      </c>
      <c r="AD32" s="22">
        <f t="shared" si="124"/>
        <v>657</v>
      </c>
      <c r="AE32" s="22">
        <f>SUM(B32                                                                                : INDEX(B32:M32,$A$2))</f>
        <v>869</v>
      </c>
      <c r="AF32" s="22">
        <f t="shared" si="125"/>
        <v>270</v>
      </c>
      <c r="AG32" s="22">
        <f t="shared" si="126"/>
        <v>467</v>
      </c>
      <c r="AH32" s="22">
        <f t="shared" si="127"/>
        <v>532</v>
      </c>
      <c r="AI32" s="22">
        <f t="shared" si="128"/>
        <v>624</v>
      </c>
      <c r="AJ32" s="31">
        <f t="shared" si="129"/>
        <v>0.20138089758342925</v>
      </c>
      <c r="AK32" s="31">
        <f t="shared" si="105"/>
        <v>0.85555555555555562</v>
      </c>
      <c r="AL32" s="31">
        <f t="shared" si="106"/>
        <v>-7.9229122055674561E-2</v>
      </c>
      <c r="AM32" s="31">
        <f t="shared" si="106"/>
        <v>-0.14661654135338342</v>
      </c>
      <c r="AN32" s="31">
        <f>AD32/SUM(K32:INDEX(K32:M32,MOD($A$2,3)))-1</f>
        <v>2.421875</v>
      </c>
      <c r="AO32" s="22">
        <f>'Agency North'!AP34+'Agency South'!AP34</f>
        <v>146</v>
      </c>
      <c r="AP32" s="22">
        <f>'Agency North'!AQ34+'Agency South'!AQ34</f>
        <v>255</v>
      </c>
      <c r="AQ32" s="22">
        <f>'Agency North'!AR34+'Agency South'!AR34</f>
        <v>362</v>
      </c>
      <c r="AR32" s="22">
        <f>'Agency North'!AS34+'Agency South'!AS34</f>
        <v>298</v>
      </c>
      <c r="AS32" s="22">
        <f>'Agency North'!AT34+'Agency South'!AT34</f>
        <v>176</v>
      </c>
      <c r="AT32" s="22">
        <f>'Agency North'!AU34+'Agency South'!AU34</f>
        <v>151</v>
      </c>
      <c r="AU32" s="22">
        <f>'Agency North'!AV34+'Agency South'!AV34</f>
        <v>138</v>
      </c>
      <c r="BA32" s="110">
        <f>SUM(AO32:INDEX(AO32:AQ32,IF($A$2&lt;3,$A$2,3)))</f>
        <v>763</v>
      </c>
      <c r="BB32" s="110">
        <f>SUM(AR32:INDEX(AR32:AT32,IF($A$2&lt;7,$A$2-3,3)))</f>
        <v>625</v>
      </c>
      <c r="BC32" s="110">
        <f>SUM(AU32:INDEX(AU32:AW32,IF(AND($A$2&gt;6,$A$2&lt;10),$A$2-6,0)))</f>
        <v>138</v>
      </c>
      <c r="BD32" s="110">
        <f>SUM(AX32:INDEX(AX32:AZ32,IF($A$2&gt;9,$A$2-9,0)))</f>
        <v>0</v>
      </c>
      <c r="BE32" s="110">
        <f>SUM($AO32:INDEX(AO32:AZ32,$A$2))</f>
        <v>1526</v>
      </c>
      <c r="BF32" s="122">
        <f t="shared" si="107"/>
        <v>1.1774193548387097</v>
      </c>
      <c r="BG32" s="111">
        <f t="shared" si="108"/>
        <v>2.1074380165289255</v>
      </c>
      <c r="BH32" s="111">
        <f t="shared" si="109"/>
        <v>1.4140625</v>
      </c>
      <c r="BI32" s="111">
        <f t="shared" si="110"/>
        <v>1.6195652173913044</v>
      </c>
      <c r="BJ32" s="111">
        <f t="shared" si="111"/>
        <v>1.3333333333333333</v>
      </c>
      <c r="BK32" s="111">
        <f t="shared" si="112"/>
        <v>1.3245614035087718</v>
      </c>
      <c r="BL32" s="111">
        <f t="shared" si="113"/>
        <v>1.2212389380530972</v>
      </c>
      <c r="BM32" s="111">
        <f t="shared" si="114"/>
        <v>0</v>
      </c>
      <c r="BN32" s="111">
        <f t="shared" si="115"/>
        <v>0</v>
      </c>
      <c r="BO32" s="111">
        <f t="shared" si="116"/>
        <v>0</v>
      </c>
      <c r="BP32" s="111">
        <f t="shared" si="117"/>
        <v>0</v>
      </c>
      <c r="BQ32" s="111">
        <f t="shared" si="118"/>
        <v>0</v>
      </c>
      <c r="BR32" s="111">
        <f>BA32/SUM(N32:INDEX(N32:P32,IF($A$2&lt;3,$A$2,3)))</f>
        <v>1.5229540918163673</v>
      </c>
      <c r="BS32" s="111">
        <f>BB32/SUM(Q32:INDEX(Q32:S32,IF($A$2&lt;7,$A$2-3,3)))</f>
        <v>1.4534883720930232</v>
      </c>
      <c r="BT32" s="111">
        <f>BC32/SUM(T32:INDEX(T32:V32,IF($A$2&lt;7,$A$2-3,IF($A$2&lt;10,$A$2-6,IF($A$2&lt;13,$A$2-9,-1) ))))</f>
        <v>1.2212389380530972</v>
      </c>
      <c r="BU32" s="111">
        <f t="shared" si="119"/>
        <v>0</v>
      </c>
      <c r="BV32" s="111">
        <f t="shared" si="120"/>
        <v>1.4616858237547892</v>
      </c>
    </row>
    <row r="33" spans="1:76" outlineLevel="1" x14ac:dyDescent="0.25">
      <c r="A33" t="s">
        <v>1</v>
      </c>
      <c r="B33">
        <f>'Agency North'!C35+'Agency South'!C35</f>
        <v>63</v>
      </c>
      <c r="C33">
        <f>'Agency North'!D35+'Agency South'!D35</f>
        <v>59</v>
      </c>
      <c r="D33">
        <f>'Agency North'!E35+'Agency South'!E35</f>
        <v>70</v>
      </c>
      <c r="E33">
        <f>'Agency North'!F35+'Agency South'!F35</f>
        <v>112</v>
      </c>
      <c r="F33">
        <f>'Agency North'!G35+'Agency South'!G35</f>
        <v>142</v>
      </c>
      <c r="G33">
        <f>'Agency North'!H35+'Agency South'!H35</f>
        <v>150</v>
      </c>
      <c r="H33" s="22">
        <f>'Agency North'!I35+'Agency South'!I35</f>
        <v>146</v>
      </c>
      <c r="I33" s="22">
        <f>'Agency North'!J35+'Agency South'!J35</f>
        <v>126</v>
      </c>
      <c r="J33" s="22">
        <f>'Agency North'!K35+'Agency South'!K35</f>
        <v>213</v>
      </c>
      <c r="K33" s="22">
        <f>'Agency North'!L35+'Agency South'!L35</f>
        <v>185</v>
      </c>
      <c r="L33" s="22">
        <f>'Agency North'!M35+'Agency South'!M35</f>
        <v>224</v>
      </c>
      <c r="M33" s="22">
        <f>'Agency North'!N35+'Agency South'!N35</f>
        <v>252</v>
      </c>
      <c r="N33" s="22">
        <f>'Agency North'!O35+'Agency South'!O35</f>
        <v>99</v>
      </c>
      <c r="O33" s="22">
        <f>'Agency North'!P35+'Agency South'!P35</f>
        <v>110</v>
      </c>
      <c r="P33" s="22">
        <f>'Agency North'!Q35+'Agency South'!Q35</f>
        <v>189</v>
      </c>
      <c r="Q33" s="22">
        <f>'Agency North'!R35+'Agency South'!R35</f>
        <v>184</v>
      </c>
      <c r="R33" s="22">
        <f>'Agency North'!S35+'Agency South'!S35</f>
        <v>186</v>
      </c>
      <c r="S33" s="22">
        <f>'Agency North'!T35+'Agency South'!T35</f>
        <v>236</v>
      </c>
      <c r="T33" s="22">
        <f>'Agency North'!U35+'Agency South'!U35</f>
        <v>167</v>
      </c>
      <c r="U33" s="22">
        <f>'Agency North'!V35+'Agency South'!V35</f>
        <v>137</v>
      </c>
      <c r="V33" s="22">
        <f>'Agency North'!W35+'Agency South'!W35</f>
        <v>138</v>
      </c>
      <c r="W33" s="22">
        <f>'Agency North'!X35+'Agency South'!X35</f>
        <v>112</v>
      </c>
      <c r="X33" s="22">
        <f>'Agency North'!Y35+'Agency South'!Y35</f>
        <v>143</v>
      </c>
      <c r="Y33" s="22">
        <f>'Agency North'!Z35+'Agency South'!Z35</f>
        <v>248</v>
      </c>
      <c r="Z33" s="22">
        <f>SUM(N33:INDEX(N33:Y33,$A$2))</f>
        <v>1171</v>
      </c>
      <c r="AA33" s="22">
        <f t="shared" si="121"/>
        <v>398</v>
      </c>
      <c r="AB33" s="22">
        <f t="shared" si="122"/>
        <v>606</v>
      </c>
      <c r="AC33" s="22">
        <f t="shared" si="123"/>
        <v>442</v>
      </c>
      <c r="AD33" s="22">
        <f t="shared" si="124"/>
        <v>503</v>
      </c>
      <c r="AE33" s="22">
        <f>SUM(B33                                                                                : INDEX(B33:M33,$A$2))</f>
        <v>742</v>
      </c>
      <c r="AF33" s="22">
        <f t="shared" si="125"/>
        <v>192</v>
      </c>
      <c r="AG33" s="22">
        <f t="shared" si="126"/>
        <v>404</v>
      </c>
      <c r="AH33" s="22">
        <f t="shared" si="127"/>
        <v>485</v>
      </c>
      <c r="AI33" s="22">
        <f t="shared" si="128"/>
        <v>661</v>
      </c>
      <c r="AJ33" s="31">
        <f t="shared" si="129"/>
        <v>0.57816711590296488</v>
      </c>
      <c r="AK33" s="31">
        <f t="shared" si="105"/>
        <v>1.0729166666666665</v>
      </c>
      <c r="AL33" s="31">
        <f t="shared" si="106"/>
        <v>0.5</v>
      </c>
      <c r="AM33" s="31">
        <f t="shared" si="106"/>
        <v>-8.8659793814433008E-2</v>
      </c>
      <c r="AN33" s="31">
        <f>AD33/SUM(K33:INDEX(K33:M33,MOD($A$2,3)))-1</f>
        <v>1.7189189189189191</v>
      </c>
      <c r="AO33" s="22">
        <f>'Agency North'!AP35+'Agency South'!AP35</f>
        <v>73</v>
      </c>
      <c r="AP33" s="22">
        <f>'Agency North'!AQ35+'Agency South'!AQ35</f>
        <v>107</v>
      </c>
      <c r="AQ33" s="22">
        <f>'Agency North'!AR35+'Agency South'!AR35</f>
        <v>166</v>
      </c>
      <c r="AR33" s="22">
        <f>'Agency North'!AS35+'Agency South'!AS35</f>
        <v>179</v>
      </c>
      <c r="AS33" s="22">
        <f>'Agency North'!AT35+'Agency South'!AT35</f>
        <v>169</v>
      </c>
      <c r="AT33" s="22">
        <f>'Agency North'!AU35+'Agency South'!AU35</f>
        <v>181</v>
      </c>
      <c r="AU33" s="22">
        <f>'Agency North'!AV35+'Agency South'!AV35</f>
        <v>149</v>
      </c>
      <c r="BA33" s="110">
        <f>SUM(AO33:INDEX(AO33:AQ33,IF($A$2&lt;3,$A$2,3)))</f>
        <v>346</v>
      </c>
      <c r="BB33" s="110">
        <f>SUM(AR33:INDEX(AR33:AT33,IF($A$2&lt;7,$A$2-3,3)))</f>
        <v>529</v>
      </c>
      <c r="BC33" s="110">
        <f>SUM(AU33:INDEX(AU33:AW33,IF(AND($A$2&gt;6,$A$2&lt;10),$A$2-6,0)))</f>
        <v>149</v>
      </c>
      <c r="BD33" s="110">
        <f>SUM(AX33:INDEX(AX33:AZ33,IF($A$2&gt;9,$A$2-9,0)))</f>
        <v>0</v>
      </c>
      <c r="BE33" s="110">
        <f>SUM($AO33:INDEX(AO33:AZ33,$A$2))</f>
        <v>1024</v>
      </c>
      <c r="BF33" s="122">
        <f t="shared" si="107"/>
        <v>0.73737373737373735</v>
      </c>
      <c r="BG33" s="111">
        <f t="shared" si="108"/>
        <v>0.97272727272727277</v>
      </c>
      <c r="BH33" s="111">
        <f t="shared" si="109"/>
        <v>0.87830687830687826</v>
      </c>
      <c r="BI33" s="111">
        <f t="shared" si="110"/>
        <v>0.97282608695652173</v>
      </c>
      <c r="BJ33" s="111">
        <f t="shared" si="111"/>
        <v>0.90860215053763438</v>
      </c>
      <c r="BK33" s="111">
        <f t="shared" si="112"/>
        <v>0.76694915254237284</v>
      </c>
      <c r="BL33" s="111">
        <f t="shared" si="113"/>
        <v>0.89221556886227549</v>
      </c>
      <c r="BM33" s="111">
        <f t="shared" si="114"/>
        <v>0</v>
      </c>
      <c r="BN33" s="111">
        <f t="shared" si="115"/>
        <v>0</v>
      </c>
      <c r="BO33" s="111">
        <f t="shared" si="116"/>
        <v>0</v>
      </c>
      <c r="BP33" s="111">
        <f t="shared" si="117"/>
        <v>0</v>
      </c>
      <c r="BQ33" s="111">
        <f t="shared" si="118"/>
        <v>0</v>
      </c>
      <c r="BR33" s="111">
        <f>BA33/SUM(N33:INDEX(N33:P33,IF($A$2&lt;3,$A$2,3)))</f>
        <v>0.8693467336683417</v>
      </c>
      <c r="BS33" s="111">
        <f>BB33/SUM(Q33:INDEX(Q33:S33,IF($A$2&lt;7,$A$2-3,3)))</f>
        <v>0.8729372937293729</v>
      </c>
      <c r="BT33" s="111">
        <f>BC33/SUM(T33:INDEX(T33:V33,IF($A$2&lt;7,$A$2-3,IF($A$2&lt;10,$A$2-6,IF($A$2&lt;13,$A$2-9,-1) ))))</f>
        <v>0.89221556886227549</v>
      </c>
      <c r="BU33" s="111">
        <f t="shared" si="119"/>
        <v>0</v>
      </c>
      <c r="BV33" s="111">
        <f t="shared" si="120"/>
        <v>0.874466268146883</v>
      </c>
    </row>
    <row r="34" spans="1:76" outlineLevel="1" x14ac:dyDescent="0.25">
      <c r="A34" t="s">
        <v>2</v>
      </c>
      <c r="B34">
        <f>'Agency North'!C36+'Agency South'!C36</f>
        <v>23</v>
      </c>
      <c r="C34">
        <f>'Agency North'!D36+'Agency South'!D36</f>
        <v>17</v>
      </c>
      <c r="D34">
        <f>'Agency North'!E36+'Agency South'!E36</f>
        <v>20</v>
      </c>
      <c r="E34">
        <f>'Agency North'!F36+'Agency South'!F36</f>
        <v>21</v>
      </c>
      <c r="F34">
        <f>'Agency North'!G36+'Agency South'!G36</f>
        <v>41</v>
      </c>
      <c r="G34">
        <f>'Agency North'!H36+'Agency South'!H36</f>
        <v>40</v>
      </c>
      <c r="H34" s="22">
        <f>'Agency North'!I36+'Agency South'!I36</f>
        <v>44</v>
      </c>
      <c r="I34" s="22">
        <f>'Agency North'!J36+'Agency South'!J36</f>
        <v>52</v>
      </c>
      <c r="J34" s="22">
        <f>'Agency North'!K36+'Agency South'!K36</f>
        <v>113</v>
      </c>
      <c r="K34" s="22">
        <f>'Agency North'!L36+'Agency South'!L36</f>
        <v>77</v>
      </c>
      <c r="L34" s="22">
        <f>'Agency North'!M36+'Agency South'!M36</f>
        <v>125</v>
      </c>
      <c r="M34" s="22">
        <f>'Agency North'!N36+'Agency South'!N36</f>
        <v>140</v>
      </c>
      <c r="N34" s="22">
        <f>'Agency North'!O36+'Agency South'!O36</f>
        <v>57</v>
      </c>
      <c r="O34" s="22">
        <f>'Agency North'!P36+'Agency South'!P36</f>
        <v>52</v>
      </c>
      <c r="P34" s="22">
        <f>'Agency North'!Q36+'Agency South'!Q36</f>
        <v>106</v>
      </c>
      <c r="Q34" s="22">
        <f>'Agency North'!R36+'Agency South'!R36</f>
        <v>85</v>
      </c>
      <c r="R34" s="22">
        <f>'Agency North'!S36+'Agency South'!S36</f>
        <v>109</v>
      </c>
      <c r="S34" s="22">
        <f>'Agency North'!T36+'Agency South'!T36</f>
        <v>175</v>
      </c>
      <c r="T34" s="22">
        <f>'Agency North'!U36+'Agency South'!U36</f>
        <v>122</v>
      </c>
      <c r="U34" s="22">
        <f>'Agency North'!V36+'Agency South'!V36</f>
        <v>137</v>
      </c>
      <c r="V34" s="22">
        <f>'Agency North'!W36+'Agency South'!W36</f>
        <v>152</v>
      </c>
      <c r="W34" s="22">
        <f>'Agency North'!X36+'Agency South'!X36</f>
        <v>154</v>
      </c>
      <c r="X34" s="22">
        <f>'Agency North'!Y36+'Agency South'!Y36</f>
        <v>155</v>
      </c>
      <c r="Y34" s="22">
        <f>'Agency North'!Z36+'Agency South'!Z36</f>
        <v>255</v>
      </c>
      <c r="Z34" s="22">
        <f>SUM(N34:INDEX(N34:Y34,$A$2))</f>
        <v>706</v>
      </c>
      <c r="AA34" s="22">
        <f t="shared" si="121"/>
        <v>215</v>
      </c>
      <c r="AB34" s="22">
        <f t="shared" si="122"/>
        <v>369</v>
      </c>
      <c r="AC34" s="22">
        <f t="shared" si="123"/>
        <v>411</v>
      </c>
      <c r="AD34" s="22">
        <f t="shared" si="124"/>
        <v>564</v>
      </c>
      <c r="AE34" s="22">
        <f>SUM(B34                                                                                : INDEX(B34:M34,$A$2))</f>
        <v>206</v>
      </c>
      <c r="AF34" s="22">
        <f t="shared" si="125"/>
        <v>60</v>
      </c>
      <c r="AG34" s="22">
        <f t="shared" si="126"/>
        <v>102</v>
      </c>
      <c r="AH34" s="22">
        <f t="shared" si="127"/>
        <v>209</v>
      </c>
      <c r="AI34" s="22">
        <f t="shared" si="128"/>
        <v>342</v>
      </c>
      <c r="AJ34" s="31">
        <f t="shared" si="129"/>
        <v>2.4271844660194173</v>
      </c>
      <c r="AK34" s="31">
        <f t="shared" si="105"/>
        <v>2.5833333333333335</v>
      </c>
      <c r="AL34" s="31">
        <f t="shared" si="106"/>
        <v>2.6176470588235294</v>
      </c>
      <c r="AM34" s="31">
        <f t="shared" si="106"/>
        <v>0.96650717703349276</v>
      </c>
      <c r="AN34" s="31">
        <f>AD34/SUM(K34:INDEX(K34:M34,MOD($A$2,3)))-1</f>
        <v>6.3246753246753249</v>
      </c>
      <c r="AO34" s="22">
        <f>'Agency North'!AP36+'Agency South'!AP36</f>
        <v>105</v>
      </c>
      <c r="AP34" s="22">
        <f>'Agency North'!AQ36+'Agency South'!AQ36</f>
        <v>115</v>
      </c>
      <c r="AQ34" s="22">
        <f>'Agency North'!AR36+'Agency South'!AR36</f>
        <v>135</v>
      </c>
      <c r="AR34" s="22">
        <f>'Agency North'!AS36+'Agency South'!AS36</f>
        <v>140</v>
      </c>
      <c r="AS34" s="22">
        <f>'Agency North'!AT36+'Agency South'!AT36</f>
        <v>125</v>
      </c>
      <c r="AT34" s="22">
        <f>'Agency North'!AU36+'Agency South'!AU36</f>
        <v>118</v>
      </c>
      <c r="AU34" s="22">
        <f>'Agency North'!AV36+'Agency South'!AV36</f>
        <v>112</v>
      </c>
      <c r="BA34" s="110">
        <f>SUM(AO34:INDEX(AO34:AQ34,IF($A$2&lt;3,$A$2,3)))</f>
        <v>355</v>
      </c>
      <c r="BB34" s="110">
        <f>SUM(AR34:INDEX(AR34:AT34,IF($A$2&lt;7,$A$2-3,3)))</f>
        <v>383</v>
      </c>
      <c r="BC34" s="110">
        <f>SUM(AU34:INDEX(AU34:AW34,IF(AND($A$2&gt;6,$A$2&lt;10),$A$2-6,0)))</f>
        <v>112</v>
      </c>
      <c r="BD34" s="110">
        <f>SUM(AX34:INDEX(AX34:AZ34,IF($A$2&gt;9,$A$2-9,0)))</f>
        <v>0</v>
      </c>
      <c r="BE34" s="110">
        <f>SUM($AO34:INDEX(AO34:AZ34,$A$2))</f>
        <v>850</v>
      </c>
      <c r="BF34" s="122">
        <f t="shared" si="107"/>
        <v>1.8421052631578947</v>
      </c>
      <c r="BG34" s="111">
        <f t="shared" si="108"/>
        <v>2.2115384615384617</v>
      </c>
      <c r="BH34" s="111">
        <f t="shared" si="109"/>
        <v>1.2735849056603774</v>
      </c>
      <c r="BI34" s="111">
        <f t="shared" si="110"/>
        <v>1.6470588235294117</v>
      </c>
      <c r="BJ34" s="111">
        <f t="shared" si="111"/>
        <v>1.1467889908256881</v>
      </c>
      <c r="BK34" s="111">
        <f t="shared" si="112"/>
        <v>0.67428571428571427</v>
      </c>
      <c r="BL34" s="111">
        <f t="shared" si="113"/>
        <v>0.91803278688524592</v>
      </c>
      <c r="BM34" s="111">
        <f t="shared" si="114"/>
        <v>0</v>
      </c>
      <c r="BN34" s="111">
        <f t="shared" si="115"/>
        <v>0</v>
      </c>
      <c r="BO34" s="111">
        <f t="shared" si="116"/>
        <v>0</v>
      </c>
      <c r="BP34" s="111">
        <f t="shared" si="117"/>
        <v>0</v>
      </c>
      <c r="BQ34" s="111">
        <f t="shared" si="118"/>
        <v>0</v>
      </c>
      <c r="BR34" s="111">
        <f>BA34/SUM(N34:INDEX(N34:P34,IF($A$2&lt;3,$A$2,3)))</f>
        <v>1.6511627906976745</v>
      </c>
      <c r="BS34" s="111">
        <f>BB34/SUM(Q34:INDEX(Q34:S34,IF($A$2&lt;7,$A$2-3,3)))</f>
        <v>1.037940379403794</v>
      </c>
      <c r="BT34" s="111">
        <f>BC34/SUM(T34:INDEX(T34:V34,IF($A$2&lt;7,$A$2-3,IF($A$2&lt;10,$A$2-6,IF($A$2&lt;13,$A$2-9,-1) ))))</f>
        <v>0.91803278688524592</v>
      </c>
      <c r="BU34" s="111">
        <f t="shared" si="119"/>
        <v>0</v>
      </c>
      <c r="BV34" s="111">
        <f t="shared" si="120"/>
        <v>1.2039660056657224</v>
      </c>
    </row>
    <row r="35" spans="1:76" outlineLevel="1" x14ac:dyDescent="0.25">
      <c r="A35" s="135" t="s">
        <v>136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31"/>
      <c r="AK35" s="31"/>
      <c r="AL35" s="31"/>
      <c r="AM35" s="31"/>
      <c r="AN35" s="31"/>
      <c r="AO35" s="22"/>
      <c r="AP35" s="22">
        <f>'Agency North'!AQ37+'Agency South'!AQ37</f>
        <v>98</v>
      </c>
      <c r="AQ35" s="22">
        <f>'Agency North'!AR37+'Agency South'!AR37</f>
        <v>76</v>
      </c>
      <c r="AR35" s="22">
        <f>'Agency North'!AS37+'Agency South'!AS37</f>
        <v>150</v>
      </c>
      <c r="AS35" s="22">
        <f>'Agency North'!AT37+'Agency South'!AT37</f>
        <v>67</v>
      </c>
      <c r="AT35" s="22">
        <f>'Agency North'!AU37+'Agency South'!AU37</f>
        <v>57</v>
      </c>
      <c r="AU35" s="22">
        <f>'Agency North'!AV37+'Agency South'!AV37</f>
        <v>52</v>
      </c>
      <c r="BA35" s="110">
        <f>SUM(AO35:INDEX(AO35:AQ35,IF($A$2&lt;3,$A$2,3)))</f>
        <v>174</v>
      </c>
      <c r="BB35" s="110">
        <f>SUM(AR35:INDEX(AR35:AT35,IF($A$2&lt;7,$A$2-3,3)))</f>
        <v>274</v>
      </c>
      <c r="BC35" s="110">
        <f>SUM(AU35:INDEX(AU35:AW35,IF(AND($A$2&gt;6,$A$2&lt;10),$A$2-6,0)))</f>
        <v>52</v>
      </c>
      <c r="BD35" s="110"/>
      <c r="BE35" s="110">
        <f>SUM($AO35:INDEX(AO35:AZ35,$A$2))</f>
        <v>500</v>
      </c>
      <c r="BF35" s="122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</row>
    <row r="36" spans="1:76" s="17" customFormat="1" x14ac:dyDescent="0.25">
      <c r="A36" s="1" t="s">
        <v>137</v>
      </c>
      <c r="B36" s="1">
        <f>SUM(B28:B34)</f>
        <v>557</v>
      </c>
      <c r="C36" s="1">
        <f t="shared" ref="C36" si="130">SUM(C28:C34)</f>
        <v>465</v>
      </c>
      <c r="D36" s="1">
        <f t="shared" ref="D36" si="131">SUM(D28:D34)</f>
        <v>642</v>
      </c>
      <c r="E36" s="1">
        <f t="shared" ref="E36" si="132">SUM(E28:E34)</f>
        <v>744</v>
      </c>
      <c r="F36" s="1">
        <f t="shared" ref="F36" si="133">SUM(F28:F34)</f>
        <v>881</v>
      </c>
      <c r="G36" s="1">
        <f t="shared" ref="G36" si="134">SUM(G28:G34)</f>
        <v>998</v>
      </c>
      <c r="H36" s="7">
        <f t="shared" ref="H36" si="135">SUM(H28:H34)</f>
        <v>1018</v>
      </c>
      <c r="I36" s="7">
        <f t="shared" ref="I36" si="136">SUM(I28:I34)</f>
        <v>832</v>
      </c>
      <c r="J36" s="7">
        <f t="shared" ref="J36" si="137">SUM(J28:J34)</f>
        <v>1364</v>
      </c>
      <c r="K36" s="7">
        <f t="shared" ref="K36" si="138">SUM(K28:K34)</f>
        <v>1130</v>
      </c>
      <c r="L36" s="7">
        <f t="shared" ref="L36" si="139">SUM(L28:L34)</f>
        <v>1365</v>
      </c>
      <c r="M36" s="7">
        <f t="shared" ref="M36" si="140">SUM(M28:M34)</f>
        <v>1568</v>
      </c>
      <c r="N36" s="7">
        <f t="shared" ref="N36" si="141">SUM(N28:N34)</f>
        <v>635</v>
      </c>
      <c r="O36" s="7">
        <f t="shared" ref="O36" si="142">SUM(O28:O34)</f>
        <v>620</v>
      </c>
      <c r="P36" s="7">
        <f t="shared" ref="P36" si="143">SUM(P28:P34)</f>
        <v>1116</v>
      </c>
      <c r="Q36" s="7">
        <f t="shared" ref="Q36" si="144">SUM(Q28:Q34)</f>
        <v>979</v>
      </c>
      <c r="R36" s="7">
        <f t="shared" ref="R36" si="145">SUM(R28:R34)</f>
        <v>1088</v>
      </c>
      <c r="S36" s="7">
        <f t="shared" ref="S36" si="146">SUM(S28:S34)</f>
        <v>1647</v>
      </c>
      <c r="T36" s="7">
        <f t="shared" ref="T36" si="147">SUM(T28:T34)</f>
        <v>1310</v>
      </c>
      <c r="U36" s="7">
        <f t="shared" ref="U36" si="148">SUM(U28:U34)</f>
        <v>1420</v>
      </c>
      <c r="V36" s="7">
        <f t="shared" ref="V36" si="149">SUM(V28:V34)</f>
        <v>1734</v>
      </c>
      <c r="W36" s="7">
        <f t="shared" ref="W36" si="150">SUM(W28:W34)</f>
        <v>1466</v>
      </c>
      <c r="X36" s="7">
        <f t="shared" ref="X36" si="151">SUM(X28:X34)</f>
        <v>1539</v>
      </c>
      <c r="Y36" s="7">
        <f t="shared" ref="Y36:AI36" si="152">SUM(Y28:Y34)</f>
        <v>2520</v>
      </c>
      <c r="Z36" s="7">
        <f>SUM(N36:INDEX(N36:Y36,$A$2))</f>
        <v>7395</v>
      </c>
      <c r="AA36" s="7">
        <f t="shared" si="152"/>
        <v>2371</v>
      </c>
      <c r="AB36" s="7">
        <f t="shared" si="152"/>
        <v>3714</v>
      </c>
      <c r="AC36" s="7">
        <f t="shared" si="152"/>
        <v>4464</v>
      </c>
      <c r="AD36" s="7">
        <f t="shared" si="152"/>
        <v>5525</v>
      </c>
      <c r="AE36" s="7">
        <f t="shared" si="152"/>
        <v>5305</v>
      </c>
      <c r="AF36" s="7">
        <f t="shared" si="152"/>
        <v>1664</v>
      </c>
      <c r="AG36" s="7">
        <f t="shared" si="152"/>
        <v>2623</v>
      </c>
      <c r="AH36" s="7">
        <f t="shared" si="152"/>
        <v>3214</v>
      </c>
      <c r="AI36" s="7">
        <f t="shared" si="152"/>
        <v>4063</v>
      </c>
      <c r="AJ36" s="32">
        <f t="shared" si="129"/>
        <v>0.39396795475966062</v>
      </c>
      <c r="AK36" s="32">
        <f t="shared" si="105"/>
        <v>0.42487980769230771</v>
      </c>
      <c r="AL36" s="32">
        <f t="shared" si="106"/>
        <v>0.41593595120091509</v>
      </c>
      <c r="AM36" s="32">
        <f t="shared" si="106"/>
        <v>0.38892345986309884</v>
      </c>
      <c r="AN36" s="31">
        <f>AD36/SUM(K36:INDEX(K36:M36,MOD($A$2,3)))-1</f>
        <v>3.889380530973451</v>
      </c>
      <c r="AO36" s="7">
        <f t="shared" ref="AO36:AQ36" si="153">SUM(AO28:AO34)</f>
        <v>1021</v>
      </c>
      <c r="AP36" s="7">
        <f t="shared" si="153"/>
        <v>1442</v>
      </c>
      <c r="AQ36" s="7">
        <f t="shared" si="153"/>
        <v>1915</v>
      </c>
      <c r="AR36" s="7">
        <f t="shared" ref="AR36" si="154">SUM(AR28:AR34)</f>
        <v>1683</v>
      </c>
      <c r="AS36" s="7">
        <f>SUM(AS28:AS34)</f>
        <v>1467</v>
      </c>
      <c r="AT36" s="7">
        <f t="shared" ref="AT36" si="155">SUM(AT28:AT34)</f>
        <v>1888</v>
      </c>
      <c r="AU36" s="7">
        <f>SUM(AU28:AU34)</f>
        <v>1431</v>
      </c>
      <c r="BA36" s="116">
        <f>SUM(AO36:INDEX(AO36:AQ36,IF($A$2&lt;3,$A$2,3)))</f>
        <v>4378</v>
      </c>
      <c r="BB36" s="116">
        <f>SUM(AR36:INDEX(AR36:AT36,IF($A$2&lt;7,$A$2-3,3)))</f>
        <v>5038</v>
      </c>
      <c r="BC36" s="116">
        <f>SUM(AU36:INDEX(AU36:AW36,IF(AND($A$2&gt;6,$A$2&lt;10),$A$2-6,0)))</f>
        <v>1431</v>
      </c>
      <c r="BD36" s="116">
        <f>SUM(AX36:INDEX(AX36:AZ36,IF($A$2&gt;9,$A$2-9,0)))</f>
        <v>0</v>
      </c>
      <c r="BE36" s="116">
        <f>SUM($AO36:INDEX(AO36:AZ36,$A$2))</f>
        <v>10847</v>
      </c>
      <c r="BF36" s="123">
        <f t="shared" si="107"/>
        <v>1.6078740157480316</v>
      </c>
      <c r="BG36" s="118">
        <f t="shared" si="108"/>
        <v>2.3258064516129031</v>
      </c>
      <c r="BH36" s="118">
        <f t="shared" si="109"/>
        <v>1.7159498207885304</v>
      </c>
      <c r="BI36" s="118">
        <f t="shared" si="110"/>
        <v>1.7191011235955056</v>
      </c>
      <c r="BJ36" s="118">
        <f t="shared" si="111"/>
        <v>1.3483455882352942</v>
      </c>
      <c r="BK36" s="118">
        <f t="shared" si="112"/>
        <v>1.1463266545233759</v>
      </c>
      <c r="BL36" s="118">
        <f t="shared" si="113"/>
        <v>1.0923664122137404</v>
      </c>
      <c r="BM36" s="118">
        <f t="shared" si="114"/>
        <v>0</v>
      </c>
      <c r="BN36" s="118">
        <f t="shared" si="115"/>
        <v>0</v>
      </c>
      <c r="BO36" s="118">
        <f t="shared" si="116"/>
        <v>0</v>
      </c>
      <c r="BP36" s="118">
        <f t="shared" si="117"/>
        <v>0</v>
      </c>
      <c r="BQ36" s="118">
        <f t="shared" si="118"/>
        <v>0</v>
      </c>
      <c r="BR36" s="118">
        <f>BA36/SUM(N36:INDEX(N36:P36,IF($A$2&lt;3,$A$2,3)))</f>
        <v>1.8464782792070855</v>
      </c>
      <c r="BS36" s="118">
        <f>BB36/SUM(Q36:INDEX(Q36:S36,IF($A$2&lt;7,$A$2-3,3)))</f>
        <v>1.3564889606892838</v>
      </c>
      <c r="BT36" s="111">
        <f>BC36/SUM(T36:INDEX(T36:V36,IF($A$2&lt;7,$A$2-3,IF($A$2&lt;10,$A$2-6,IF($A$2&lt;13,$A$2-9,-1) ))))</f>
        <v>1.0923664122137404</v>
      </c>
      <c r="BU36" s="118">
        <f t="shared" si="119"/>
        <v>0</v>
      </c>
      <c r="BV36" s="118">
        <f t="shared" si="120"/>
        <v>1.4668018931710616</v>
      </c>
    </row>
    <row r="37" spans="1:76" s="17" customFormat="1" x14ac:dyDescent="0.25">
      <c r="A37" s="1" t="s">
        <v>186</v>
      </c>
      <c r="B37" s="1"/>
      <c r="C37" s="1"/>
      <c r="D37" s="1"/>
      <c r="E37" s="1"/>
      <c r="F37" s="1"/>
      <c r="G37" s="1"/>
      <c r="H37" s="7"/>
      <c r="I37" s="7"/>
      <c r="J37" s="7"/>
      <c r="K37" s="7"/>
      <c r="L37" s="7"/>
      <c r="M37" s="7">
        <f t="shared" ref="M37:X37" si="156">SUM(M28:M35)</f>
        <v>1568</v>
      </c>
      <c r="N37" s="7">
        <f t="shared" si="156"/>
        <v>635</v>
      </c>
      <c r="O37" s="7">
        <f t="shared" si="156"/>
        <v>620</v>
      </c>
      <c r="P37" s="7">
        <f t="shared" si="156"/>
        <v>1116</v>
      </c>
      <c r="Q37" s="7">
        <f t="shared" si="156"/>
        <v>979</v>
      </c>
      <c r="R37" s="7">
        <f t="shared" si="156"/>
        <v>1088</v>
      </c>
      <c r="S37" s="7">
        <f t="shared" si="156"/>
        <v>1647</v>
      </c>
      <c r="T37" s="7">
        <f t="shared" si="156"/>
        <v>1310</v>
      </c>
      <c r="U37" s="7">
        <f t="shared" si="156"/>
        <v>1420</v>
      </c>
      <c r="V37" s="7">
        <f t="shared" si="156"/>
        <v>1734</v>
      </c>
      <c r="W37" s="7">
        <f t="shared" si="156"/>
        <v>1466</v>
      </c>
      <c r="X37" s="7">
        <f t="shared" si="156"/>
        <v>1539</v>
      </c>
      <c r="Y37" s="7">
        <f>SUM(Y28:Y35)</f>
        <v>2520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32"/>
      <c r="AK37" s="32"/>
      <c r="AL37" s="32"/>
      <c r="AM37" s="32"/>
      <c r="AN37" s="31"/>
      <c r="AO37" s="7">
        <f>SUM(AO28:AO35)</f>
        <v>1021</v>
      </c>
      <c r="AP37" s="7">
        <f t="shared" ref="AP37:AT37" si="157">SUM(AP28:AP35)</f>
        <v>1540</v>
      </c>
      <c r="AQ37" s="7">
        <f t="shared" si="157"/>
        <v>1991</v>
      </c>
      <c r="AR37" s="7">
        <f t="shared" si="157"/>
        <v>1833</v>
      </c>
      <c r="AS37" s="7">
        <f>SUM(AS28:AS35)</f>
        <v>1534</v>
      </c>
      <c r="AT37" s="7">
        <f t="shared" si="157"/>
        <v>1945</v>
      </c>
      <c r="AU37" s="7">
        <f>SUM(AU28:AU35)</f>
        <v>1483</v>
      </c>
      <c r="BA37" s="116"/>
      <c r="BB37" s="116"/>
      <c r="BC37" s="116"/>
      <c r="BD37" s="116"/>
      <c r="BE37" s="116"/>
      <c r="BF37" s="123"/>
      <c r="BG37" s="118"/>
      <c r="BH37" s="118"/>
      <c r="BI37" s="118"/>
      <c r="BJ37" s="118"/>
      <c r="BK37" s="118"/>
      <c r="BL37" s="118"/>
      <c r="BM37" s="118"/>
      <c r="BN37" s="118"/>
      <c r="BO37" s="118"/>
      <c r="BP37" s="118"/>
      <c r="BQ37" s="118"/>
      <c r="BR37" s="118"/>
      <c r="BS37" s="118"/>
      <c r="BT37" s="111"/>
      <c r="BU37" s="118"/>
      <c r="BV37" s="118"/>
    </row>
    <row r="38" spans="1:76" x14ac:dyDescent="0.25">
      <c r="A38" t="s">
        <v>39</v>
      </c>
      <c r="G38" s="8">
        <f>2*SUM(E36:G36)/SUM(D24,E24,E24,F24,F24,G24)</f>
        <v>0.28723171265878228</v>
      </c>
      <c r="L38" s="8"/>
      <c r="M38" s="8">
        <f>2*SUM(K36:L36)/SUM(J24,K24,K24,L24)</f>
        <v>0.33805297744055279</v>
      </c>
      <c r="S38" s="8">
        <f>2*SUM(Q36:S36)/SUM(P24,Q24,Q24,R24,R24,S24)</f>
        <v>0.25600551438910907</v>
      </c>
      <c r="V38" s="8">
        <f>2*SUM(T36:V36)/SUM(S24,T24,T24,U24,U24,V24)</f>
        <v>0.22244923383580417</v>
      </c>
      <c r="Y38" s="8">
        <f>2*SUM(W36:Y36)/SUM(V24,W24,W24,X24,X24,Y24)</f>
        <v>0.21060054508376375</v>
      </c>
      <c r="AP38" s="22"/>
      <c r="BF38" s="124"/>
    </row>
    <row r="39" spans="1:76" x14ac:dyDescent="0.25"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BF39" s="124"/>
    </row>
    <row r="40" spans="1:76" s="17" customFormat="1" x14ac:dyDescent="0.25">
      <c r="A40" s="2" t="s">
        <v>11</v>
      </c>
      <c r="B40" s="3">
        <f t="shared" ref="B40:Y40" si="158">B3</f>
        <v>42005</v>
      </c>
      <c r="C40" s="3">
        <f t="shared" si="158"/>
        <v>42036</v>
      </c>
      <c r="D40" s="3">
        <f t="shared" si="158"/>
        <v>42064</v>
      </c>
      <c r="E40" s="3">
        <f t="shared" si="158"/>
        <v>42095</v>
      </c>
      <c r="F40" s="3">
        <f t="shared" si="158"/>
        <v>42125</v>
      </c>
      <c r="G40" s="3">
        <f t="shared" si="158"/>
        <v>42156</v>
      </c>
      <c r="H40" s="3">
        <f t="shared" si="158"/>
        <v>42186</v>
      </c>
      <c r="I40" s="3">
        <f t="shared" si="158"/>
        <v>42217</v>
      </c>
      <c r="J40" s="3">
        <f t="shared" si="158"/>
        <v>42248</v>
      </c>
      <c r="K40" s="3">
        <f t="shared" si="158"/>
        <v>42278</v>
      </c>
      <c r="L40" s="3">
        <f t="shared" si="158"/>
        <v>42309</v>
      </c>
      <c r="M40" s="3">
        <f t="shared" si="158"/>
        <v>42339</v>
      </c>
      <c r="N40" s="3">
        <f t="shared" si="158"/>
        <v>42370</v>
      </c>
      <c r="O40" s="3">
        <f t="shared" si="158"/>
        <v>42401</v>
      </c>
      <c r="P40" s="3">
        <f t="shared" si="158"/>
        <v>42430</v>
      </c>
      <c r="Q40" s="3">
        <f t="shared" si="158"/>
        <v>42461</v>
      </c>
      <c r="R40" s="3">
        <f t="shared" si="158"/>
        <v>42491</v>
      </c>
      <c r="S40" s="3">
        <f t="shared" si="158"/>
        <v>42522</v>
      </c>
      <c r="T40" s="3">
        <f t="shared" si="158"/>
        <v>42552</v>
      </c>
      <c r="U40" s="3">
        <f t="shared" si="158"/>
        <v>42583</v>
      </c>
      <c r="V40" s="3">
        <f t="shared" si="158"/>
        <v>42614</v>
      </c>
      <c r="W40" s="3">
        <f t="shared" si="158"/>
        <v>42644</v>
      </c>
      <c r="X40" s="3">
        <f t="shared" si="158"/>
        <v>42675</v>
      </c>
      <c r="Y40" s="3">
        <f t="shared" si="158"/>
        <v>42705</v>
      </c>
      <c r="Z40" s="29" t="str">
        <f>Z27</f>
        <v>YTD 7/16</v>
      </c>
      <c r="AA40" s="29" t="s">
        <v>19</v>
      </c>
      <c r="AB40" s="29" t="s">
        <v>20</v>
      </c>
      <c r="AC40" s="29" t="s">
        <v>21</v>
      </c>
      <c r="AD40" s="29" t="s">
        <v>22</v>
      </c>
      <c r="AE40" s="26" t="str">
        <f t="shared" ref="AE40:AI40" si="159">AE15</f>
        <v>YTD 7/15</v>
      </c>
      <c r="AF40" s="26" t="str">
        <f t="shared" si="159"/>
        <v>Q1 '15</v>
      </c>
      <c r="AG40" s="26" t="str">
        <f t="shared" si="159"/>
        <v>Q2 '15</v>
      </c>
      <c r="AH40" s="26" t="str">
        <f t="shared" si="159"/>
        <v>Q3 '15</v>
      </c>
      <c r="AI40" s="26" t="str">
        <f t="shared" si="159"/>
        <v>Q4 '15</v>
      </c>
      <c r="AJ40" s="30" t="s">
        <v>27</v>
      </c>
      <c r="AK40" s="30" t="s">
        <v>29</v>
      </c>
      <c r="AL40" s="30" t="s">
        <v>30</v>
      </c>
      <c r="AM40" s="30" t="s">
        <v>31</v>
      </c>
      <c r="AN40" s="30" t="s">
        <v>32</v>
      </c>
      <c r="AO40" s="108">
        <v>42736</v>
      </c>
      <c r="AP40" s="108">
        <v>42767</v>
      </c>
      <c r="AQ40" s="108">
        <v>42795</v>
      </c>
      <c r="AR40" s="108">
        <v>42826</v>
      </c>
      <c r="AS40" s="108">
        <v>42856</v>
      </c>
      <c r="AT40" s="108">
        <v>42887</v>
      </c>
      <c r="AU40" s="108">
        <v>42917</v>
      </c>
      <c r="AV40" s="108">
        <v>42948</v>
      </c>
      <c r="AW40" s="108">
        <v>42979</v>
      </c>
      <c r="AX40" s="108">
        <v>43009</v>
      </c>
      <c r="AY40" s="108">
        <v>43040</v>
      </c>
      <c r="AZ40" s="108">
        <v>43070</v>
      </c>
      <c r="BA40" s="29" t="s">
        <v>123</v>
      </c>
      <c r="BB40" s="29" t="s">
        <v>124</v>
      </c>
      <c r="BC40" s="29" t="s">
        <v>125</v>
      </c>
      <c r="BD40" s="29" t="s">
        <v>126</v>
      </c>
      <c r="BE40" s="29" t="str">
        <f>"YTD " &amp; A39 &amp;"/17"</f>
        <v>YTD /17</v>
      </c>
      <c r="BF40" s="121">
        <v>42736</v>
      </c>
      <c r="BG40" s="108">
        <v>42767</v>
      </c>
      <c r="BH40" s="108">
        <v>42795</v>
      </c>
      <c r="BI40" s="108">
        <v>42826</v>
      </c>
      <c r="BJ40" s="108">
        <v>42856</v>
      </c>
      <c r="BK40" s="108">
        <v>42887</v>
      </c>
      <c r="BL40" s="108">
        <v>42917</v>
      </c>
      <c r="BM40" s="108">
        <v>42948</v>
      </c>
      <c r="BN40" s="108">
        <v>42979</v>
      </c>
      <c r="BO40" s="108">
        <v>43009</v>
      </c>
      <c r="BP40" s="108">
        <v>43040</v>
      </c>
      <c r="BQ40" s="108">
        <v>43070</v>
      </c>
      <c r="BR40" s="29" t="s">
        <v>127</v>
      </c>
      <c r="BS40" s="29" t="s">
        <v>128</v>
      </c>
      <c r="BT40" s="29" t="s">
        <v>96</v>
      </c>
      <c r="BU40" s="29" t="s">
        <v>129</v>
      </c>
      <c r="BV40" s="112" t="s">
        <v>130</v>
      </c>
    </row>
    <row r="41" spans="1:76" outlineLevel="1" x14ac:dyDescent="0.25">
      <c r="A41" t="s">
        <v>4</v>
      </c>
      <c r="B41" s="8">
        <f t="shared" ref="B41:B47" si="160">IFERROR(B28/B16,"")</f>
        <v>0.73076923076923073</v>
      </c>
      <c r="C41" s="8">
        <f t="shared" ref="C41:M41" si="161">IFERROR(C28/C16,"")</f>
        <v>0.52631578947368418</v>
      </c>
      <c r="D41" s="8">
        <f t="shared" si="161"/>
        <v>0.65079365079365081</v>
      </c>
      <c r="E41" s="8">
        <f t="shared" si="161"/>
        <v>0.75714285714285712</v>
      </c>
      <c r="F41" s="8">
        <f t="shared" si="161"/>
        <v>0.83098591549295775</v>
      </c>
      <c r="G41" s="8">
        <f t="shared" si="161"/>
        <v>0.76056338028169013</v>
      </c>
      <c r="H41" s="8">
        <f t="shared" si="161"/>
        <v>0.68421052631578949</v>
      </c>
      <c r="I41" s="8">
        <f t="shared" si="161"/>
        <v>0.61842105263157898</v>
      </c>
      <c r="J41" s="8">
        <f t="shared" si="161"/>
        <v>0.8441558441558441</v>
      </c>
      <c r="K41" s="8">
        <f t="shared" si="161"/>
        <v>0.79220779220779225</v>
      </c>
      <c r="L41" s="8">
        <f t="shared" si="161"/>
        <v>0.73972602739726023</v>
      </c>
      <c r="M41" s="8">
        <f t="shared" si="161"/>
        <v>0.75</v>
      </c>
      <c r="N41" s="8">
        <f t="shared" ref="N41:N47" si="162">N28*2/SUM(M16:N16)</f>
        <v>0.46632124352331605</v>
      </c>
      <c r="O41" s="8">
        <f t="shared" ref="O41:Y41" si="163">O28*2/SUM(N16:O16)</f>
        <v>0.35193133047210301</v>
      </c>
      <c r="P41" s="8">
        <f t="shared" si="163"/>
        <v>0.55555555555555558</v>
      </c>
      <c r="Q41" s="8">
        <f t="shared" si="163"/>
        <v>0.43404255319148938</v>
      </c>
      <c r="R41" s="8">
        <f t="shared" si="163"/>
        <v>0.4366812227074236</v>
      </c>
      <c r="S41" s="8">
        <f t="shared" si="163"/>
        <v>0.58447488584474883</v>
      </c>
      <c r="T41" s="8">
        <f t="shared" si="163"/>
        <v>0.44660194174757284</v>
      </c>
      <c r="U41" s="8">
        <f t="shared" si="163"/>
        <v>0.48205128205128206</v>
      </c>
      <c r="V41" s="8">
        <f t="shared" si="163"/>
        <v>0.5368421052631579</v>
      </c>
      <c r="W41" s="8">
        <f t="shared" si="163"/>
        <v>0.44919786096256686</v>
      </c>
      <c r="X41" s="8">
        <f t="shared" si="163"/>
        <v>0.45901639344262296</v>
      </c>
      <c r="Y41" s="8">
        <f t="shared" si="163"/>
        <v>0.58959537572254339</v>
      </c>
      <c r="Z41" s="139">
        <f>2*SUM(N28:INDEX(N28:Y28,$A$2))/(SUM(N16:INDEX(N16:Y16,$A$2))*2+M16-INDEX(N16:Y16,$A$2))</f>
        <v>0.46739832149774047</v>
      </c>
      <c r="AA41" s="8">
        <f>AVERAGE(N41:P41)</f>
        <v>0.45793604318365827</v>
      </c>
      <c r="AB41" s="8">
        <f>2*SUM(Q28:INDEX(Q28:S28,$B$2))/(P16+SUM(Q16:INDEX(Q16:S16,$B$2))*2-INDEX(Q16:S16,$B$2))</f>
        <v>0.43404255319148938</v>
      </c>
      <c r="AC41" s="8">
        <f>IFERROR(AVERAGE(T41:V41),"")</f>
        <v>0.48849844302067097</v>
      </c>
      <c r="AD41" s="8">
        <f>IFERROR(AVERAGE(W41:Y41),"")</f>
        <v>0.49926987670924444</v>
      </c>
      <c r="AE41" s="8">
        <f>AVERAGE(B41:INDEX(B41:M41,$A$2))</f>
        <v>0.70582590718140847</v>
      </c>
      <c r="AF41" s="8">
        <f>AVERAGE(B41:D41)</f>
        <v>0.63595955701218854</v>
      </c>
      <c r="AG41" s="8">
        <f>AVERAGE(E41:G41)</f>
        <v>0.782897384305835</v>
      </c>
      <c r="AH41" s="8">
        <f>AVERAGE(H41:J41)</f>
        <v>0.7155958077010709</v>
      </c>
      <c r="AI41" s="8">
        <f>AVERAGE(K41:M41)</f>
        <v>0.76064460653501753</v>
      </c>
      <c r="AJ41" s="31">
        <f>Z41/AE41-1</f>
        <v>-0.33779942512423011</v>
      </c>
      <c r="AK41" s="31">
        <f t="shared" ref="AK41:AK49" si="164">AA41/AF41-1</f>
        <v>-0.27992898583819592</v>
      </c>
      <c r="AL41" s="31">
        <f t="shared" ref="AL41:AN49" si="165">AB41/AG41-1</f>
        <v>-0.44559457996358209</v>
      </c>
      <c r="AM41" s="31">
        <f t="shared" si="165"/>
        <v>-0.31735424136982415</v>
      </c>
      <c r="AN41" s="31">
        <f t="shared" si="165"/>
        <v>-0.34362266895760896</v>
      </c>
      <c r="AO41" s="8">
        <f t="shared" ref="AO41:AO47" si="166">IFERROR(AO28/AVERAGE(Y16,AO16),"")</f>
        <v>0.71052631578947367</v>
      </c>
      <c r="AP41" s="8">
        <f t="shared" ref="AP41:AP47" si="167">IFERROR(AP28/AVERAGE(AO16,AP16),"")</f>
        <v>0.69444444444444442</v>
      </c>
      <c r="AQ41" s="8">
        <f t="shared" ref="AQ41:AZ41" si="168">IFERROR(AQ28/AVERAGE(AP16:AQ16),"")</f>
        <v>0.74125874125874125</v>
      </c>
      <c r="AR41" s="8">
        <f t="shared" si="168"/>
        <v>0.71684587813620071</v>
      </c>
      <c r="AS41" s="8">
        <f t="shared" si="168"/>
        <v>0.68913857677902624</v>
      </c>
      <c r="AT41" s="8">
        <f t="shared" si="168"/>
        <v>0.73359073359073357</v>
      </c>
      <c r="AU41" s="8">
        <f>IFERROR(AU28/AVERAGE(AT16:AU16),"")</f>
        <v>0.63745019920318724</v>
      </c>
      <c r="AV41" s="8">
        <f t="shared" si="168"/>
        <v>0</v>
      </c>
      <c r="AW41" s="8" t="str">
        <f t="shared" si="168"/>
        <v/>
      </c>
      <c r="AX41" s="8" t="str">
        <f t="shared" si="168"/>
        <v/>
      </c>
      <c r="AY41" s="8" t="str">
        <f t="shared" si="168"/>
        <v/>
      </c>
      <c r="AZ41" s="8" t="str">
        <f t="shared" si="168"/>
        <v/>
      </c>
      <c r="BA41" s="8">
        <f t="shared" ref="BA41:BA47" si="169">IFERROR(BA28/(AVERAGE(Y16,AO16)+AVERAGE(AO16,AP16)+AVERAGE(AQ16,AP16)),"")</f>
        <v>0.71571072319202</v>
      </c>
      <c r="BB41" s="8">
        <f>IFERROR(BB28*2/(AQ16+2*SUM(AR16:INDEX(AR16:AT16,$B$2))-INDEX(AR16:AT16,$B$2)),"")</f>
        <v>2.0573476702508962</v>
      </c>
      <c r="BC41" s="8">
        <f>IFERROR(BC28*2/(AT16+2*SUM(AU16:INDEX(AU16:AW16,$B$2))-INDEX(AU16:AW16,$B$2)),"")</f>
        <v>0.63745019920318724</v>
      </c>
      <c r="BE41" s="8">
        <f>2*SUM(AO28:INDEX(AO28:AZ28,$A$2))/(SUM(AO16:INDEX(AO16:AZ16,$A$2))*2+Y16-INDEX(AO16:AZ16,$A$2))</f>
        <v>0.70398277717976321</v>
      </c>
      <c r="BF41" s="122">
        <f t="shared" ref="BF41:BG49" si="170">AO41/N41</f>
        <v>1.5236842105263158</v>
      </c>
      <c r="BG41" s="111">
        <f t="shared" si="170"/>
        <v>1.9732384823848237</v>
      </c>
      <c r="BH41" s="111">
        <f t="shared" ref="BH41:BH47" si="171">AQ41/P41</f>
        <v>1.3342657342657342</v>
      </c>
      <c r="BI41" s="111">
        <f t="shared" ref="BI41:BL47" si="172">AR41/Q41</f>
        <v>1.6515566800196781</v>
      </c>
      <c r="BJ41" s="111">
        <f t="shared" si="172"/>
        <v>1.57812734082397</v>
      </c>
      <c r="BK41" s="111">
        <f>AT41/S41</f>
        <v>1.2551278957528957</v>
      </c>
      <c r="BL41" s="111">
        <f>AU41/T41</f>
        <v>1.427334141694093</v>
      </c>
      <c r="BM41" s="111"/>
      <c r="BN41" s="111"/>
      <c r="BO41" s="111"/>
      <c r="BP41" s="111"/>
      <c r="BQ41" s="111"/>
      <c r="BR41" s="111">
        <f t="shared" ref="BR41:BR47" si="173">BA41/((N28+O28+P28)/(SUM(M16,N16,N16,O16,O16,P16)/2))</f>
        <v>1.5641360175719643</v>
      </c>
      <c r="BS41" s="111">
        <f t="shared" ref="BS41:BS49" si="174">BB41/AB41</f>
        <v>4.7399676716564763</v>
      </c>
      <c r="BT41" s="111">
        <f>BC41/AC41</f>
        <v>1.3049175658809895</v>
      </c>
      <c r="BU41" s="111">
        <f t="shared" ref="BU41:BU49" si="175">BD41/AD41</f>
        <v>0</v>
      </c>
      <c r="BV41" s="111">
        <f t="shared" ref="BV41:BV47" si="176">BE41/Z41</f>
        <v>1.5061730964799078</v>
      </c>
      <c r="BX41" s="8"/>
    </row>
    <row r="42" spans="1:76" outlineLevel="1" x14ac:dyDescent="0.25">
      <c r="A42" t="s">
        <v>5</v>
      </c>
      <c r="B42" s="8">
        <f t="shared" si="160"/>
        <v>0.28110599078341014</v>
      </c>
      <c r="C42" s="8">
        <f t="shared" ref="C42:M42" si="177">IFERROR(C29/C17,"")</f>
        <v>0.34123222748815168</v>
      </c>
      <c r="D42" s="8">
        <f t="shared" si="177"/>
        <v>0.30973451327433627</v>
      </c>
      <c r="E42" s="8">
        <f t="shared" si="177"/>
        <v>0.28620689655172415</v>
      </c>
      <c r="F42" s="8">
        <f t="shared" si="177"/>
        <v>0.33829787234042552</v>
      </c>
      <c r="G42" s="8">
        <f t="shared" si="177"/>
        <v>0.40836653386454186</v>
      </c>
      <c r="H42" s="8">
        <f t="shared" si="177"/>
        <v>0.4859437751004016</v>
      </c>
      <c r="I42" s="8">
        <f t="shared" si="177"/>
        <v>0.35860655737704916</v>
      </c>
      <c r="J42" s="8">
        <f t="shared" si="177"/>
        <v>0.46864111498257838</v>
      </c>
      <c r="K42" s="8">
        <f t="shared" si="177"/>
        <v>0.43534482758620691</v>
      </c>
      <c r="L42" s="8">
        <f t="shared" si="177"/>
        <v>0.46708074534161492</v>
      </c>
      <c r="M42" s="8">
        <f t="shared" si="177"/>
        <v>0.46621621621621623</v>
      </c>
      <c r="N42" s="8">
        <f t="shared" si="162"/>
        <v>0.14805520702634881</v>
      </c>
      <c r="O42" s="8">
        <f t="shared" ref="O42:Y42" si="178">O29*2/SUM(N17:O17)</f>
        <v>0.31421446384039903</v>
      </c>
      <c r="P42" s="8">
        <f t="shared" si="178"/>
        <v>0.68486916951080778</v>
      </c>
      <c r="Q42" s="8">
        <f t="shared" si="178"/>
        <v>0.3973941368078176</v>
      </c>
      <c r="R42" s="8">
        <f t="shared" si="178"/>
        <v>0.46249033255993816</v>
      </c>
      <c r="S42" s="8">
        <f t="shared" si="178"/>
        <v>0.5625</v>
      </c>
      <c r="T42" s="8">
        <f t="shared" si="178"/>
        <v>0.3225516621743037</v>
      </c>
      <c r="U42" s="8">
        <f t="shared" si="178"/>
        <v>0.41354903943377147</v>
      </c>
      <c r="V42" s="8">
        <f t="shared" si="178"/>
        <v>0.47779215178956447</v>
      </c>
      <c r="W42" s="8">
        <f t="shared" si="178"/>
        <v>0.35385242560130453</v>
      </c>
      <c r="X42" s="8">
        <f t="shared" si="178"/>
        <v>0.32586068855084066</v>
      </c>
      <c r="Y42" s="8">
        <f t="shared" si="178"/>
        <v>0.55108579565681737</v>
      </c>
      <c r="Z42" s="139">
        <f>2*SUM(N29:INDEX(N29:Y29,$A$2))/(SUM(N17:INDEX(N17:Y17,$A$2))*2+M17-INDEX(N17:Y17,$A$2))</f>
        <v>0.42853922452660054</v>
      </c>
      <c r="AA42" s="8">
        <f t="shared" ref="AA42:AA49" si="179">AVERAGE(N42:P42)</f>
        <v>0.3823796134591852</v>
      </c>
      <c r="AB42" s="8">
        <f>2*SUM(Q29:INDEX(Q29:S29,$B$2))/(P17+SUM(Q17:INDEX(Q17:S17,$B$2))*2-INDEX(Q17:S17,$B$2))</f>
        <v>0.3973941368078176</v>
      </c>
      <c r="AC42" s="8">
        <f t="shared" ref="AC42:AC49" si="180">IFERROR(AVERAGE(T42:V42),"")</f>
        <v>0.40463095113254655</v>
      </c>
      <c r="AD42" s="8">
        <f t="shared" ref="AD42:AD49" si="181">IFERROR(AVERAGE(W42:Y42),"")</f>
        <v>0.41026630326965413</v>
      </c>
      <c r="AE42" s="8">
        <f>AVERAGE(B42:INDEX(B42:M42,$A$2))</f>
        <v>0.350126829914713</v>
      </c>
      <c r="AF42" s="8">
        <f t="shared" ref="AF42:AF49" si="182">AVERAGE(B42:D42)</f>
        <v>0.31069091051529935</v>
      </c>
      <c r="AG42" s="8">
        <f t="shared" ref="AG42:AG49" si="183">AVERAGE(E42:G42)</f>
        <v>0.34429043425223055</v>
      </c>
      <c r="AH42" s="8">
        <f t="shared" ref="AH42:AH49" si="184">AVERAGE(H42:J42)</f>
        <v>0.4377304824866764</v>
      </c>
      <c r="AI42" s="8">
        <f t="shared" ref="AI42:AI49" si="185">AVERAGE(K42:M42)</f>
        <v>0.45621392971467939</v>
      </c>
      <c r="AJ42" s="31">
        <f t="shared" ref="AJ42:AJ49" si="186">Z42/AE42-1</f>
        <v>0.22395425860676799</v>
      </c>
      <c r="AK42" s="31">
        <f t="shared" si="164"/>
        <v>0.23073962101107459</v>
      </c>
      <c r="AL42" s="31">
        <f t="shared" si="165"/>
        <v>0.1542410048972862</v>
      </c>
      <c r="AM42" s="31">
        <f t="shared" si="165"/>
        <v>-7.5616235739619397E-2</v>
      </c>
      <c r="AN42" s="31">
        <f t="shared" si="165"/>
        <v>-0.10071508880441538</v>
      </c>
      <c r="AO42" s="8">
        <f t="shared" si="166"/>
        <v>0.15952143569292124</v>
      </c>
      <c r="AP42" s="8">
        <f t="shared" si="167"/>
        <v>0.41827541827541825</v>
      </c>
      <c r="AQ42" s="8">
        <f t="shared" ref="AQ42:AZ42" si="187">IFERROR(AQ29/AVERAGE(AP17:AQ17),"")</f>
        <v>0.52626892252894031</v>
      </c>
      <c r="AR42" s="8">
        <f t="shared" si="187"/>
        <v>0.42990654205607476</v>
      </c>
      <c r="AS42" s="8">
        <f t="shared" si="187"/>
        <v>0.4580886278697277</v>
      </c>
      <c r="AT42" s="8">
        <f t="shared" si="187"/>
        <v>0.68955111278762726</v>
      </c>
      <c r="AU42" s="8">
        <f t="shared" si="187"/>
        <v>0.3576388888888889</v>
      </c>
      <c r="AV42" s="8">
        <f t="shared" si="187"/>
        <v>0</v>
      </c>
      <c r="AW42" s="8" t="str">
        <f t="shared" si="187"/>
        <v/>
      </c>
      <c r="AX42" s="8" t="str">
        <f t="shared" si="187"/>
        <v/>
      </c>
      <c r="AY42" s="8" t="str">
        <f t="shared" si="187"/>
        <v/>
      </c>
      <c r="AZ42" s="8" t="str">
        <f t="shared" si="187"/>
        <v/>
      </c>
      <c r="BA42" s="8">
        <f t="shared" si="169"/>
        <v>0.37065105063727177</v>
      </c>
      <c r="BB42" s="8">
        <f>IFERROR(BB29*2/(AQ17+2*SUM(AR17:INDEX(AR17:AT17,$B$2))-INDEX(AR17:AT17,$B$2)),"")</f>
        <v>1.6850467289719626</v>
      </c>
      <c r="BC42" s="8">
        <f>IFERROR(BC29*2/(AT17+2*SUM(AU17:INDEX(AU17:AW17,$B$2))-INDEX(AU17:AW17,$B$2)),"")</f>
        <v>0.3576388888888889</v>
      </c>
      <c r="BE42" s="8">
        <f>2*SUM(AO29:INDEX(AO29:AZ29,$A$2))/(SUM(AO17:INDEX(AO17:AZ17,$A$2))*2+Y17-INDEX(AO17:AZ17,$A$2))</f>
        <v>0.44221498371335505</v>
      </c>
      <c r="BF42" s="122">
        <f t="shared" si="170"/>
        <v>1.0774456292140528</v>
      </c>
      <c r="BG42" s="111">
        <f t="shared" si="170"/>
        <v>1.3311781168924024</v>
      </c>
      <c r="BH42" s="111">
        <f t="shared" si="171"/>
        <v>0.76842256296169187</v>
      </c>
      <c r="BI42" s="111">
        <f t="shared" si="172"/>
        <v>1.0818140033706143</v>
      </c>
      <c r="BJ42" s="111">
        <f t="shared" si="172"/>
        <v>0.99048260173170211</v>
      </c>
      <c r="BK42" s="111">
        <f t="shared" si="172"/>
        <v>1.2258686449557818</v>
      </c>
      <c r="BL42" s="111">
        <f t="shared" si="172"/>
        <v>1.1087801764159702</v>
      </c>
      <c r="BM42" s="111"/>
      <c r="BN42" s="111"/>
      <c r="BO42" s="111"/>
      <c r="BP42" s="111"/>
      <c r="BQ42" s="111"/>
      <c r="BR42" s="111">
        <f t="shared" si="173"/>
        <v>0.90997899784115077</v>
      </c>
      <c r="BS42" s="111">
        <f t="shared" si="174"/>
        <v>4.2402405392982994</v>
      </c>
      <c r="BT42" s="111">
        <f t="shared" ref="BT42:BT49" si="188">BC42/AC42</f>
        <v>0.88386439022489838</v>
      </c>
      <c r="BU42" s="111">
        <f t="shared" si="175"/>
        <v>0</v>
      </c>
      <c r="BV42" s="111">
        <f t="shared" si="176"/>
        <v>1.0319125027629894</v>
      </c>
      <c r="BX42" s="8"/>
    </row>
    <row r="43" spans="1:76" outlineLevel="1" x14ac:dyDescent="0.25">
      <c r="A43" t="s">
        <v>6</v>
      </c>
      <c r="B43" s="8">
        <f t="shared" si="160"/>
        <v>0.26044226044226043</v>
      </c>
      <c r="C43" s="8">
        <f t="shared" ref="C43:M43" si="189">IFERROR(C30/C18,"")</f>
        <v>0.24537037037037038</v>
      </c>
      <c r="D43" s="8">
        <f t="shared" si="189"/>
        <v>0.34134615384615385</v>
      </c>
      <c r="E43" s="8">
        <f t="shared" si="189"/>
        <v>0.31180400890868598</v>
      </c>
      <c r="F43" s="8">
        <f t="shared" si="189"/>
        <v>0.28774422735346361</v>
      </c>
      <c r="G43" s="8">
        <f t="shared" si="189"/>
        <v>0.33710407239819007</v>
      </c>
      <c r="H43" s="8">
        <f t="shared" si="189"/>
        <v>0.34782608695652173</v>
      </c>
      <c r="I43" s="8">
        <f t="shared" si="189"/>
        <v>0.26938775510204083</v>
      </c>
      <c r="J43" s="8">
        <f t="shared" si="189"/>
        <v>0.36864406779661019</v>
      </c>
      <c r="K43" s="8">
        <f t="shared" si="189"/>
        <v>0.35802469135802467</v>
      </c>
      <c r="L43" s="8">
        <f t="shared" si="189"/>
        <v>0.26769911504424782</v>
      </c>
      <c r="M43" s="8">
        <f t="shared" si="189"/>
        <v>0.41397153945666237</v>
      </c>
      <c r="N43" s="8">
        <f t="shared" si="162"/>
        <v>0.15260454878943508</v>
      </c>
      <c r="O43" s="8">
        <f t="shared" ref="O43:Y43" si="190">O30*2/SUM(N18:O18)</f>
        <v>0.14088050314465408</v>
      </c>
      <c r="P43" s="8">
        <f t="shared" si="190"/>
        <v>0.24685138539042822</v>
      </c>
      <c r="Q43" s="8">
        <f t="shared" si="190"/>
        <v>0.38940092165898615</v>
      </c>
      <c r="R43" s="8">
        <f t="shared" si="190"/>
        <v>0.26557377049180325</v>
      </c>
      <c r="S43" s="8">
        <f t="shared" si="190"/>
        <v>0.36221701795472289</v>
      </c>
      <c r="T43" s="8">
        <f t="shared" si="190"/>
        <v>0.29600394671928959</v>
      </c>
      <c r="U43" s="8">
        <f t="shared" si="190"/>
        <v>0.20689655172413793</v>
      </c>
      <c r="V43" s="8">
        <f t="shared" si="190"/>
        <v>0.31697341513292432</v>
      </c>
      <c r="W43" s="8">
        <f t="shared" si="190"/>
        <v>0.26117136659436008</v>
      </c>
      <c r="X43" s="8">
        <f t="shared" si="190"/>
        <v>0.2565573770491803</v>
      </c>
      <c r="Y43" s="8">
        <f t="shared" si="190"/>
        <v>0.30551053484602919</v>
      </c>
      <c r="Z43" s="139">
        <f>2*SUM(N30:INDEX(N30:Y30,$A$2))/(SUM(N18:INDEX(N18:Y18,$A$2))*2+M18-INDEX(N18:Y18,$A$2))</f>
        <v>0.26965161614891209</v>
      </c>
      <c r="AA43" s="8">
        <f t="shared" si="179"/>
        <v>0.18011214577483914</v>
      </c>
      <c r="AB43" s="8">
        <f>2*SUM(Q30:INDEX(Q30:S30,$B$2))/(P18+SUM(Q18:INDEX(Q18:S18,$B$2))*2-INDEX(Q18:S18,$B$2))</f>
        <v>0.38940092165898615</v>
      </c>
      <c r="AC43" s="8">
        <f t="shared" si="180"/>
        <v>0.27329130452545064</v>
      </c>
      <c r="AD43" s="8">
        <f t="shared" si="181"/>
        <v>0.27441309282985654</v>
      </c>
      <c r="AE43" s="8">
        <f>AVERAGE(B43:INDEX(B43:M43,$A$2))</f>
        <v>0.3045195971822352</v>
      </c>
      <c r="AF43" s="8">
        <f t="shared" si="182"/>
        <v>0.28238626155292823</v>
      </c>
      <c r="AG43" s="8">
        <f t="shared" si="183"/>
        <v>0.31221743622011322</v>
      </c>
      <c r="AH43" s="8">
        <f t="shared" si="184"/>
        <v>0.32861930328505756</v>
      </c>
      <c r="AI43" s="8">
        <f t="shared" si="185"/>
        <v>0.34656511528631162</v>
      </c>
      <c r="AJ43" s="31">
        <f t="shared" si="186"/>
        <v>-0.11450159975240248</v>
      </c>
      <c r="AK43" s="31">
        <f t="shared" si="164"/>
        <v>-0.36217808619885583</v>
      </c>
      <c r="AL43" s="31">
        <f t="shared" si="165"/>
        <v>0.24721068231582866</v>
      </c>
      <c r="AM43" s="31">
        <f t="shared" si="165"/>
        <v>-0.16836502970616185</v>
      </c>
      <c r="AN43" s="31">
        <f t="shared" si="165"/>
        <v>-0.20819182102863221</v>
      </c>
      <c r="AO43" s="8">
        <f t="shared" si="166"/>
        <v>0.15649676956209618</v>
      </c>
      <c r="AP43" s="8">
        <f t="shared" si="167"/>
        <v>0.11682476285571643</v>
      </c>
      <c r="AQ43" s="8">
        <f t="shared" ref="AQ43:AZ43" si="191">IFERROR(AQ30/AVERAGE(AP18:AQ18),"")</f>
        <v>0.35400516795865633</v>
      </c>
      <c r="AR43" s="8">
        <f t="shared" si="191"/>
        <v>0.25382538253825382</v>
      </c>
      <c r="AS43" s="8">
        <f t="shared" si="191"/>
        <v>0.20113314447592068</v>
      </c>
      <c r="AT43" s="8">
        <f t="shared" si="191"/>
        <v>0.21503017004936917</v>
      </c>
      <c r="AU43" s="8">
        <f t="shared" si="191"/>
        <v>0.1875</v>
      </c>
      <c r="AV43" s="8">
        <f t="shared" si="191"/>
        <v>0</v>
      </c>
      <c r="AW43" s="8" t="str">
        <f t="shared" si="191"/>
        <v/>
      </c>
      <c r="AX43" s="8" t="str">
        <f t="shared" si="191"/>
        <v/>
      </c>
      <c r="AY43" s="8" t="str">
        <f t="shared" si="191"/>
        <v/>
      </c>
      <c r="AZ43" s="8" t="str">
        <f t="shared" si="191"/>
        <v/>
      </c>
      <c r="BA43" s="8">
        <f t="shared" si="169"/>
        <v>0.19220451317658199</v>
      </c>
      <c r="BB43" s="8">
        <f>IFERROR(BB30*2/(AQ18+2*SUM(AR18:INDEX(AR18:AT18,$B$2))-INDEX(AR18:AT18,$B$2)),"")</f>
        <v>0.62196219621962201</v>
      </c>
      <c r="BC43" s="8">
        <f>IFERROR(BC30*2/(AT18+2*SUM(AU18:INDEX(AU18:AW18,$B$2))-INDEX(AU18:AW18,$B$2)),"")</f>
        <v>0.1875</v>
      </c>
      <c r="BE43" s="8">
        <f>2*SUM(AO30:INDEX(AO30:AZ30,$A$2))/(SUM(AO18:INDEX(AO18:AZ18,$A$2))*2+Y18-INDEX(AO18:AZ18,$A$2))</f>
        <v>0.20447919427511263</v>
      </c>
      <c r="BF43" s="122">
        <f t="shared" si="170"/>
        <v>1.0255052736208514</v>
      </c>
      <c r="BG43" s="111">
        <f t="shared" si="170"/>
        <v>0.82924720062763002</v>
      </c>
      <c r="BH43" s="111">
        <f t="shared" si="171"/>
        <v>1.4340821599957811</v>
      </c>
      <c r="BI43" s="111">
        <f t="shared" si="172"/>
        <v>0.65183559776095956</v>
      </c>
      <c r="BJ43" s="111">
        <f t="shared" si="172"/>
        <v>0.75735319833525694</v>
      </c>
      <c r="BK43" s="111">
        <f t="shared" si="172"/>
        <v>0.59365010308888344</v>
      </c>
      <c r="BL43" s="111">
        <f t="shared" si="172"/>
        <v>0.63343749999999999</v>
      </c>
      <c r="BM43" s="111"/>
      <c r="BN43" s="111"/>
      <c r="BO43" s="111"/>
      <c r="BP43" s="111"/>
      <c r="BQ43" s="111"/>
      <c r="BR43" s="111">
        <f t="shared" si="173"/>
        <v>1.1748385913066195</v>
      </c>
      <c r="BS43" s="111">
        <f t="shared" si="174"/>
        <v>1.5972283618894436</v>
      </c>
      <c r="BT43" s="111">
        <f t="shared" si="188"/>
        <v>0.68608110428386793</v>
      </c>
      <c r="BU43" s="111">
        <f t="shared" si="175"/>
        <v>0</v>
      </c>
      <c r="BV43" s="111">
        <f t="shared" si="176"/>
        <v>0.75830880302305059</v>
      </c>
      <c r="BX43" s="8"/>
    </row>
    <row r="44" spans="1:76" outlineLevel="1" x14ac:dyDescent="0.25">
      <c r="A44" t="s">
        <v>7</v>
      </c>
      <c r="B44" s="8">
        <f t="shared" si="160"/>
        <v>0.21869488536155202</v>
      </c>
      <c r="C44" s="8">
        <f t="shared" ref="C44:M44" si="192">IFERROR(C31/C19,"")</f>
        <v>0.15064935064935064</v>
      </c>
      <c r="D44" s="8">
        <f t="shared" si="192"/>
        <v>0.21917808219178081</v>
      </c>
      <c r="E44" s="8">
        <f t="shared" si="192"/>
        <v>0.17944535073409462</v>
      </c>
      <c r="F44" s="8">
        <f t="shared" si="192"/>
        <v>0.25515947467166977</v>
      </c>
      <c r="G44" s="8">
        <f t="shared" si="192"/>
        <v>0.31846344485749689</v>
      </c>
      <c r="H44" s="8">
        <f t="shared" si="192"/>
        <v>0.28192771084337348</v>
      </c>
      <c r="I44" s="8">
        <f t="shared" si="192"/>
        <v>0.19347037484885127</v>
      </c>
      <c r="J44" s="8">
        <f t="shared" si="192"/>
        <v>0.32296650717703351</v>
      </c>
      <c r="K44" s="8">
        <f t="shared" si="192"/>
        <v>0.24764150943396226</v>
      </c>
      <c r="L44" s="8">
        <f t="shared" si="192"/>
        <v>0.29327453142227122</v>
      </c>
      <c r="M44" s="8">
        <f t="shared" si="192"/>
        <v>0.34606205250596661</v>
      </c>
      <c r="N44" s="8">
        <f t="shared" si="162"/>
        <v>0.15241057542768274</v>
      </c>
      <c r="O44" s="8">
        <f t="shared" ref="O44:Y44" si="193">O31*2/SUM(N19:O19)</f>
        <v>0.15180102915951973</v>
      </c>
      <c r="P44" s="8">
        <f t="shared" si="193"/>
        <v>0.1540041067761807</v>
      </c>
      <c r="Q44" s="8">
        <f t="shared" si="193"/>
        <v>0.11513463324048283</v>
      </c>
      <c r="R44" s="8">
        <f t="shared" si="193"/>
        <v>0.25380710659898476</v>
      </c>
      <c r="S44" s="8">
        <f t="shared" si="193"/>
        <v>0.25799793601651189</v>
      </c>
      <c r="T44" s="8">
        <f t="shared" si="193"/>
        <v>0.17298679164891351</v>
      </c>
      <c r="U44" s="8">
        <f t="shared" si="193"/>
        <v>0.19660582772974705</v>
      </c>
      <c r="V44" s="8">
        <f t="shared" si="193"/>
        <v>0.17437722419928825</v>
      </c>
      <c r="W44" s="8">
        <f t="shared" si="193"/>
        <v>0.12512873326467558</v>
      </c>
      <c r="X44" s="8">
        <f t="shared" si="193"/>
        <v>0.16029776674937965</v>
      </c>
      <c r="Y44" s="8">
        <f t="shared" si="193"/>
        <v>0.2209796466114963</v>
      </c>
      <c r="Z44" s="139">
        <f>2*SUM(N31:INDEX(N31:Y31,$A$2))/(SUM(N19:INDEX(N19:Y19,$A$2))*2+M19-INDEX(N19:Y19,$A$2))</f>
        <v>0.17862463734023368</v>
      </c>
      <c r="AA44" s="8">
        <f t="shared" si="179"/>
        <v>0.15273857045446107</v>
      </c>
      <c r="AB44" s="8">
        <f>2*SUM(Q31:INDEX(Q31:S31,$B$2))/(P19+SUM(Q19:INDEX(Q19:S19,$B$2))*2-INDEX(Q19:S19,$B$2))</f>
        <v>0.11513463324048283</v>
      </c>
      <c r="AC44" s="8">
        <f t="shared" si="180"/>
        <v>0.18132328119264959</v>
      </c>
      <c r="AD44" s="8">
        <f t="shared" si="181"/>
        <v>0.16880204887518382</v>
      </c>
      <c r="AE44" s="8">
        <f>AVERAGE(B44:INDEX(B44:M44,$A$2))</f>
        <v>0.23193118561561693</v>
      </c>
      <c r="AF44" s="8">
        <f t="shared" si="182"/>
        <v>0.19617410606756117</v>
      </c>
      <c r="AG44" s="8">
        <f t="shared" si="183"/>
        <v>0.25102275675442043</v>
      </c>
      <c r="AH44" s="8">
        <f t="shared" si="184"/>
        <v>0.26612153095641938</v>
      </c>
      <c r="AI44" s="8">
        <f t="shared" si="185"/>
        <v>0.29565936445406665</v>
      </c>
      <c r="AJ44" s="31">
        <f t="shared" si="186"/>
        <v>-0.22983777767483582</v>
      </c>
      <c r="AK44" s="31">
        <f t="shared" si="164"/>
        <v>-0.22141319506327284</v>
      </c>
      <c r="AL44" s="31">
        <f t="shared" si="165"/>
        <v>-0.54133786621935287</v>
      </c>
      <c r="AM44" s="31">
        <f t="shared" si="165"/>
        <v>-0.31864482914633663</v>
      </c>
      <c r="AN44" s="31">
        <f t="shared" si="165"/>
        <v>-0.42906577917166311</v>
      </c>
      <c r="AO44" s="8">
        <f t="shared" si="166"/>
        <v>0.10175288584865327</v>
      </c>
      <c r="AP44" s="8">
        <f t="shared" si="167"/>
        <v>0.16510538641686182</v>
      </c>
      <c r="AQ44" s="8">
        <f t="shared" ref="AQ44:AZ44" si="194">IFERROR(AQ31/AVERAGE(AP19:AQ19),"")</f>
        <v>0.12029109589041095</v>
      </c>
      <c r="AR44" s="8">
        <f t="shared" si="194"/>
        <v>0.1321144205249189</v>
      </c>
      <c r="AS44" s="8">
        <f t="shared" si="194"/>
        <v>0.14446580609722603</v>
      </c>
      <c r="AT44" s="8">
        <f t="shared" si="194"/>
        <v>0.11068883610451306</v>
      </c>
      <c r="AU44" s="8">
        <f t="shared" si="194"/>
        <v>0.10388219544846052</v>
      </c>
      <c r="AV44" s="8">
        <f t="shared" si="194"/>
        <v>0</v>
      </c>
      <c r="AW44" s="8" t="str">
        <f t="shared" si="194"/>
        <v/>
      </c>
      <c r="AX44" s="8" t="str">
        <f t="shared" si="194"/>
        <v/>
      </c>
      <c r="AY44" s="8" t="str">
        <f t="shared" si="194"/>
        <v/>
      </c>
      <c r="AZ44" s="8" t="str">
        <f t="shared" si="194"/>
        <v/>
      </c>
      <c r="BA44" s="8">
        <f t="shared" si="169"/>
        <v>0.13016443277601217</v>
      </c>
      <c r="BB44" s="8">
        <f>IFERROR(BB31*2/(AQ19+2*SUM(AR19:INDEX(AR19:AT19,$B$2))-INDEX(AR19:AT19,$B$2)),"")</f>
        <v>0.42465349454438217</v>
      </c>
      <c r="BC44" s="8">
        <f>IFERROR(BC31*2/(AT19+2*SUM(AU19:INDEX(AU19:AW19,$B$2))-INDEX(AU19:AW19,$B$2)),"")</f>
        <v>0.10388219544846052</v>
      </c>
      <c r="BE44" s="8">
        <f>2*SUM(AO31:INDEX(AO31:AZ31,$A$2))/(SUM(AO19:INDEX(AO19:AZ19,$A$2))*2+Y19-INDEX(AO19:AZ19,$A$2))</f>
        <v>0.12603986282299412</v>
      </c>
      <c r="BF44" s="122">
        <f t="shared" si="170"/>
        <v>0.66762352653759238</v>
      </c>
      <c r="BG44" s="111">
        <f t="shared" si="170"/>
        <v>1.0876433930059937</v>
      </c>
      <c r="BH44" s="111">
        <f t="shared" si="171"/>
        <v>0.7810901826484018</v>
      </c>
      <c r="BI44" s="111">
        <f t="shared" si="172"/>
        <v>1.1474776685914325</v>
      </c>
      <c r="BJ44" s="111">
        <f t="shared" si="172"/>
        <v>0.56919527602307063</v>
      </c>
      <c r="BK44" s="111">
        <f t="shared" si="172"/>
        <v>0.42902992874109258</v>
      </c>
      <c r="BL44" s="111">
        <f t="shared" si="172"/>
        <v>0.60052096728457349</v>
      </c>
      <c r="BM44" s="111"/>
      <c r="BN44" s="111"/>
      <c r="BO44" s="111"/>
      <c r="BP44" s="111"/>
      <c r="BQ44" s="111"/>
      <c r="BR44" s="111">
        <f t="shared" si="173"/>
        <v>0.85252211298128633</v>
      </c>
      <c r="BS44" s="111">
        <f t="shared" si="174"/>
        <v>3.6883210776153192</v>
      </c>
      <c r="BT44" s="111">
        <f t="shared" si="188"/>
        <v>0.57291151343157831</v>
      </c>
      <c r="BU44" s="111">
        <f t="shared" si="175"/>
        <v>0</v>
      </c>
      <c r="BV44" s="111">
        <f t="shared" si="176"/>
        <v>0.70561298094014224</v>
      </c>
      <c r="BX44" s="8"/>
    </row>
    <row r="45" spans="1:76" outlineLevel="1" x14ac:dyDescent="0.25">
      <c r="A45" t="s">
        <v>8</v>
      </c>
      <c r="B45" s="8">
        <f t="shared" si="160"/>
        <v>0.15976331360946747</v>
      </c>
      <c r="C45" s="8">
        <f t="shared" ref="C45:M45" si="195">IFERROR(C32/C20,"")</f>
        <v>0.12720156555772993</v>
      </c>
      <c r="D45" s="8">
        <f t="shared" si="195"/>
        <v>0.21088435374149661</v>
      </c>
      <c r="E45" s="8">
        <f t="shared" si="195"/>
        <v>0.21547799696509864</v>
      </c>
      <c r="F45" s="8">
        <f t="shared" si="195"/>
        <v>0.27245508982035926</v>
      </c>
      <c r="G45" s="8">
        <f t="shared" si="195"/>
        <v>0.28830645161290325</v>
      </c>
      <c r="H45" s="8">
        <f t="shared" si="195"/>
        <v>0.27049180327868855</v>
      </c>
      <c r="I45" s="8">
        <f t="shared" si="195"/>
        <v>0.22116903633491311</v>
      </c>
      <c r="J45" s="8">
        <f t="shared" si="195"/>
        <v>0.36568213783403658</v>
      </c>
      <c r="K45" s="8">
        <f t="shared" si="195"/>
        <v>0.24552429667519182</v>
      </c>
      <c r="L45" s="8">
        <f t="shared" si="195"/>
        <v>0.27486187845303867</v>
      </c>
      <c r="M45" s="8">
        <f t="shared" si="195"/>
        <v>0.31700680272108844</v>
      </c>
      <c r="N45" s="8">
        <f t="shared" si="162"/>
        <v>0.15224063842848373</v>
      </c>
      <c r="O45" s="8">
        <f t="shared" ref="O45:Y45" si="196">O32*2/SUM(N20:O20)</f>
        <v>0.13496932515337423</v>
      </c>
      <c r="P45" s="8">
        <f t="shared" si="196"/>
        <v>0.25184456468273486</v>
      </c>
      <c r="Q45" s="8">
        <f t="shared" si="196"/>
        <v>0.16524472384373598</v>
      </c>
      <c r="R45" s="8">
        <f t="shared" si="196"/>
        <v>0.12979351032448377</v>
      </c>
      <c r="S45" s="8">
        <f t="shared" si="196"/>
        <v>0.15099337748344371</v>
      </c>
      <c r="T45" s="8">
        <f t="shared" si="196"/>
        <v>0.17397998460354119</v>
      </c>
      <c r="U45" s="8">
        <f t="shared" si="196"/>
        <v>0.18213866039952997</v>
      </c>
      <c r="V45" s="8">
        <f t="shared" si="196"/>
        <v>0.16511318242343542</v>
      </c>
      <c r="W45" s="8">
        <f t="shared" si="196"/>
        <v>0.11564407324124638</v>
      </c>
      <c r="X45" s="8">
        <f t="shared" si="196"/>
        <v>8.2213438735177863E-2</v>
      </c>
      <c r="Y45" s="8">
        <f t="shared" si="196"/>
        <v>0.15712187958883994</v>
      </c>
      <c r="Z45" s="139">
        <f>2*SUM(N32:INDEX(N32:Y32,$A$2))/(SUM(N20:INDEX(N20:Y20,$A$2))*2+M20-INDEX(N20:Y20,$A$2))</f>
        <v>0.16670658682634731</v>
      </c>
      <c r="AA45" s="8">
        <f t="shared" si="179"/>
        <v>0.17968484275486429</v>
      </c>
      <c r="AB45" s="8">
        <f>2*SUM(Q32:INDEX(Q32:S32,$B$2))/(P20+SUM(Q20:INDEX(Q20:S20,$B$2))*2-INDEX(Q20:S20,$B$2))</f>
        <v>0.16524472384373598</v>
      </c>
      <c r="AC45" s="8">
        <f t="shared" si="180"/>
        <v>0.17374394247550221</v>
      </c>
      <c r="AD45" s="8">
        <f t="shared" si="181"/>
        <v>0.11832646385508806</v>
      </c>
      <c r="AE45" s="8">
        <f>AVERAGE(B45:INDEX(B45:M45,$A$2))</f>
        <v>0.22065436779796335</v>
      </c>
      <c r="AF45" s="8">
        <f t="shared" si="182"/>
        <v>0.16594974430289799</v>
      </c>
      <c r="AG45" s="8">
        <f t="shared" si="183"/>
        <v>0.25874651279945371</v>
      </c>
      <c r="AH45" s="8">
        <f t="shared" si="184"/>
        <v>0.28578099248254607</v>
      </c>
      <c r="AI45" s="8">
        <f t="shared" si="185"/>
        <v>0.27913099261643964</v>
      </c>
      <c r="AJ45" s="31">
        <f t="shared" si="186"/>
        <v>-0.24448997547608931</v>
      </c>
      <c r="AK45" s="31">
        <f t="shared" si="164"/>
        <v>8.2766614131664307E-2</v>
      </c>
      <c r="AL45" s="31">
        <f t="shared" si="165"/>
        <v>-0.36136444098934783</v>
      </c>
      <c r="AM45" s="31">
        <f t="shared" si="165"/>
        <v>-0.39203814443287888</v>
      </c>
      <c r="AN45" s="31">
        <f t="shared" si="165"/>
        <v>-0.57608983959125171</v>
      </c>
      <c r="AO45" s="8">
        <f t="shared" si="166"/>
        <v>6.5412186379928322E-2</v>
      </c>
      <c r="AP45" s="8">
        <f t="shared" si="167"/>
        <v>0.13403416557161629</v>
      </c>
      <c r="AQ45" s="8">
        <f t="shared" ref="AQ45:AZ45" si="197">IFERROR(AQ32/AVERAGE(AP20:AQ20),"")</f>
        <v>0.23483619850794679</v>
      </c>
      <c r="AR45" s="8">
        <f t="shared" si="197"/>
        <v>0.19096443447612946</v>
      </c>
      <c r="AS45" s="8">
        <f t="shared" si="197"/>
        <v>0.13465952563121653</v>
      </c>
      <c r="AT45" s="8">
        <f t="shared" si="197"/>
        <v>0.14401525989508823</v>
      </c>
      <c r="AU45" s="8">
        <f t="shared" si="197"/>
        <v>0.15106732348111659</v>
      </c>
      <c r="AV45" s="8">
        <f t="shared" si="197"/>
        <v>0</v>
      </c>
      <c r="AW45" s="8" t="str">
        <f t="shared" si="197"/>
        <v/>
      </c>
      <c r="AX45" s="8" t="str">
        <f t="shared" si="197"/>
        <v/>
      </c>
      <c r="AY45" s="8" t="str">
        <f t="shared" si="197"/>
        <v/>
      </c>
      <c r="AZ45" s="8" t="str">
        <f t="shared" si="197"/>
        <v/>
      </c>
      <c r="BA45" s="8">
        <f t="shared" si="169"/>
        <v>0.13442565186751232</v>
      </c>
      <c r="BB45" s="8">
        <f>IFERROR(BB32*2/(AQ20+2*SUM(AR20:INDEX(AR20:AT20,$B$2))-INDEX(AR20:AT20,$B$2)),"")</f>
        <v>0.40051265619993592</v>
      </c>
      <c r="BC45" s="8">
        <f>IFERROR(BC32*2/(AT20+2*SUM(AU20:INDEX(AU20:AW20,$B$2))-INDEX(AU20:AW20,$B$2)),"")</f>
        <v>0.15106732348111659</v>
      </c>
      <c r="BE45" s="8">
        <f>2*SUM(AO32:INDEX(AO32:AZ32,$A$2))/(SUM(AO20:INDEX(AO20:AZ20,$A$2))*2+Y20-INDEX(AO20:AZ20,$A$2))</f>
        <v>0.14525724620436914</v>
      </c>
      <c r="BF45" s="122">
        <f t="shared" si="170"/>
        <v>0.42966311134235174</v>
      </c>
      <c r="BG45" s="111">
        <f t="shared" si="170"/>
        <v>0.99307131764424805</v>
      </c>
      <c r="BH45" s="111">
        <f t="shared" si="171"/>
        <v>0.93246482727862467</v>
      </c>
      <c r="BI45" s="111">
        <f t="shared" si="172"/>
        <v>1.1556461836367942</v>
      </c>
      <c r="BJ45" s="111">
        <f t="shared" si="172"/>
        <v>1.0374904361132364</v>
      </c>
      <c r="BK45" s="111">
        <f t="shared" si="172"/>
        <v>0.95378527386659306</v>
      </c>
      <c r="BL45" s="111">
        <f t="shared" si="172"/>
        <v>0.86830289027420549</v>
      </c>
      <c r="BM45" s="111"/>
      <c r="BN45" s="111"/>
      <c r="BO45" s="111"/>
      <c r="BP45" s="111"/>
      <c r="BQ45" s="111"/>
      <c r="BR45" s="111">
        <f t="shared" si="173"/>
        <v>0.73182827438850273</v>
      </c>
      <c r="BS45" s="111">
        <f t="shared" si="174"/>
        <v>2.4237545797751556</v>
      </c>
      <c r="BT45" s="111">
        <f t="shared" si="188"/>
        <v>0.86948253463522618</v>
      </c>
      <c r="BU45" s="111">
        <f t="shared" si="175"/>
        <v>0</v>
      </c>
      <c r="BV45" s="111">
        <f t="shared" si="176"/>
        <v>0.87133477428626593</v>
      </c>
      <c r="BX45" s="8"/>
    </row>
    <row r="46" spans="1:76" outlineLevel="1" x14ac:dyDescent="0.25">
      <c r="A46" t="s">
        <v>1</v>
      </c>
      <c r="B46" s="8">
        <f t="shared" si="160"/>
        <v>0.17166212534059946</v>
      </c>
      <c r="C46" s="8">
        <f t="shared" ref="C46:M46" si="198">IFERROR(C33/C21,"")</f>
        <v>0.13501144164759726</v>
      </c>
      <c r="D46" s="8">
        <f t="shared" si="198"/>
        <v>0.13358778625954199</v>
      </c>
      <c r="E46" s="8">
        <f t="shared" si="198"/>
        <v>0.18791946308724833</v>
      </c>
      <c r="F46" s="8">
        <f t="shared" si="198"/>
        <v>0.25912408759124089</v>
      </c>
      <c r="G46" s="8">
        <f t="shared" si="198"/>
        <v>0.27422303473491771</v>
      </c>
      <c r="H46" s="8">
        <f t="shared" si="198"/>
        <v>0.27969348659003829</v>
      </c>
      <c r="I46" s="8">
        <f t="shared" si="198"/>
        <v>0.22661870503597123</v>
      </c>
      <c r="J46" s="8">
        <f t="shared" si="198"/>
        <v>0.41682974559686886</v>
      </c>
      <c r="K46" s="8">
        <f t="shared" si="198"/>
        <v>0.30629139072847683</v>
      </c>
      <c r="L46" s="8">
        <f t="shared" si="198"/>
        <v>0.31504922644163152</v>
      </c>
      <c r="M46" s="8">
        <f t="shared" si="198"/>
        <v>0.35146443514644349</v>
      </c>
      <c r="N46" s="8">
        <f t="shared" si="162"/>
        <v>0.13077939233817701</v>
      </c>
      <c r="O46" s="8">
        <f t="shared" ref="O46:Y46" si="199">O33*2/SUM(N21:O21)</f>
        <v>0.13165769000598443</v>
      </c>
      <c r="P46" s="8">
        <f t="shared" si="199"/>
        <v>0.20792079207920791</v>
      </c>
      <c r="Q46" s="8">
        <f t="shared" si="199"/>
        <v>0.18163869693978282</v>
      </c>
      <c r="R46" s="8">
        <f t="shared" si="199"/>
        <v>0.17621980104216012</v>
      </c>
      <c r="S46" s="8">
        <f t="shared" si="199"/>
        <v>0.21156432093231733</v>
      </c>
      <c r="T46" s="8">
        <f t="shared" si="199"/>
        <v>0.13830227743271223</v>
      </c>
      <c r="U46" s="8">
        <f t="shared" si="199"/>
        <v>0.11882046834345186</v>
      </c>
      <c r="V46" s="8">
        <f t="shared" si="199"/>
        <v>0.13398058252427184</v>
      </c>
      <c r="W46" s="8">
        <f t="shared" si="199"/>
        <v>0.11239337681886603</v>
      </c>
      <c r="X46" s="8">
        <f t="shared" si="199"/>
        <v>0.13240740740740742</v>
      </c>
      <c r="Y46" s="8">
        <f t="shared" si="199"/>
        <v>0.21205643437366395</v>
      </c>
      <c r="Z46" s="139">
        <f>2*SUM(N33:INDEX(N33:Y33,$A$2))/(SUM(N21:INDEX(N21:Y21,$A$2))*2+M21-INDEX(N21:Y21,$A$2))</f>
        <v>0.16988248948208326</v>
      </c>
      <c r="AA46" s="8">
        <f t="shared" si="179"/>
        <v>0.15678595814112309</v>
      </c>
      <c r="AB46" s="8">
        <f>2*SUM(Q33:INDEX(Q33:S33,$B$2))/(P21+SUM(Q21:INDEX(Q21:S21,$B$2))*2-INDEX(Q21:S21,$B$2))</f>
        <v>0.18163869693978282</v>
      </c>
      <c r="AC46" s="8">
        <f t="shared" si="180"/>
        <v>0.1303677761001453</v>
      </c>
      <c r="AD46" s="8">
        <f t="shared" si="181"/>
        <v>0.15228573953331245</v>
      </c>
      <c r="AE46" s="8">
        <f>AVERAGE(B46:INDEX(B46:M46,$A$2))</f>
        <v>0.2058887750358834</v>
      </c>
      <c r="AF46" s="8">
        <f t="shared" si="182"/>
        <v>0.14675378441591289</v>
      </c>
      <c r="AG46" s="8">
        <f t="shared" si="183"/>
        <v>0.2404221951378023</v>
      </c>
      <c r="AH46" s="8">
        <f t="shared" si="184"/>
        <v>0.30771397907429282</v>
      </c>
      <c r="AI46" s="8">
        <f t="shared" si="185"/>
        <v>0.32426835077218397</v>
      </c>
      <c r="AJ46" s="31">
        <f t="shared" si="186"/>
        <v>-0.17488221758337619</v>
      </c>
      <c r="AK46" s="31">
        <f t="shared" si="164"/>
        <v>6.8360579354997508E-2</v>
      </c>
      <c r="AL46" s="31">
        <f t="shared" si="165"/>
        <v>-0.2445011292086684</v>
      </c>
      <c r="AM46" s="31">
        <f t="shared" si="165"/>
        <v>-0.57633456727466381</v>
      </c>
      <c r="AN46" s="31">
        <f t="shared" si="165"/>
        <v>-0.53037125217224357</v>
      </c>
      <c r="AO46" s="8">
        <f t="shared" si="166"/>
        <v>5.1013277428371771E-2</v>
      </c>
      <c r="AP46" s="8">
        <f t="shared" si="167"/>
        <v>8.2529888160431927E-2</v>
      </c>
      <c r="AQ46" s="8">
        <f t="shared" ref="AQ46:AZ46" si="200">IFERROR(AQ33/AVERAGE(AP21:AQ21),"")</f>
        <v>0.16767676767676767</v>
      </c>
      <c r="AR46" s="8">
        <f t="shared" si="200"/>
        <v>0.17007125890736341</v>
      </c>
      <c r="AS46" s="8">
        <f t="shared" si="200"/>
        <v>0.14401363442692799</v>
      </c>
      <c r="AT46" s="8">
        <f t="shared" si="200"/>
        <v>0.13333333333333333</v>
      </c>
      <c r="AU46" s="8">
        <f t="shared" si="200"/>
        <v>0.10559886605244508</v>
      </c>
      <c r="AV46" s="8">
        <f t="shared" si="200"/>
        <v>0</v>
      </c>
      <c r="AW46" s="8" t="str">
        <f t="shared" si="200"/>
        <v/>
      </c>
      <c r="AX46" s="8" t="str">
        <f t="shared" si="200"/>
        <v/>
      </c>
      <c r="AY46" s="8" t="str">
        <f t="shared" si="200"/>
        <v/>
      </c>
      <c r="AZ46" s="8" t="str">
        <f t="shared" si="200"/>
        <v/>
      </c>
      <c r="BA46" s="8">
        <f t="shared" si="169"/>
        <v>9.3073301950235374E-2</v>
      </c>
      <c r="BB46" s="8">
        <f>IFERROR(BB33*2/(AQ21+2*SUM(AR21:INDEX(AR21:AT21,$B$2))-INDEX(AR21:AT21,$B$2)),"")</f>
        <v>0.5026128266033254</v>
      </c>
      <c r="BC46" s="8">
        <f>IFERROR(BC33*2/(AT21+2*SUM(AU21:INDEX(AU21:AW21,$B$2))-INDEX(AU21:AW21,$B$2)),"")</f>
        <v>0.10559886605244508</v>
      </c>
      <c r="BE46" s="8">
        <f>2*SUM(AO33:INDEX(AO33:AZ33,$A$2))/(SUM(AO21:INDEX(AO21:AZ21,$A$2))*2+Y21-INDEX(AO21:AZ21,$A$2))</f>
        <v>0.11753902662993572</v>
      </c>
      <c r="BF46" s="122">
        <f t="shared" si="170"/>
        <v>0.39007122235633768</v>
      </c>
      <c r="BG46" s="111">
        <f t="shared" si="170"/>
        <v>0.62685201416400804</v>
      </c>
      <c r="BH46" s="111">
        <f t="shared" si="171"/>
        <v>0.80644540644540652</v>
      </c>
      <c r="BI46" s="111">
        <f t="shared" si="172"/>
        <v>0.93631622431064743</v>
      </c>
      <c r="BJ46" s="111">
        <f t="shared" si="172"/>
        <v>0.81723866203022844</v>
      </c>
      <c r="BK46" s="111">
        <f t="shared" si="172"/>
        <v>0.63022598870056501</v>
      </c>
      <c r="BL46" s="111">
        <f t="shared" si="172"/>
        <v>0.76353671112770904</v>
      </c>
      <c r="BM46" s="111"/>
      <c r="BN46" s="111"/>
      <c r="BO46" s="111"/>
      <c r="BP46" s="111"/>
      <c r="BQ46" s="111"/>
      <c r="BR46" s="111">
        <f t="shared" si="173"/>
        <v>0.58498207243345179</v>
      </c>
      <c r="BS46" s="111">
        <f t="shared" si="174"/>
        <v>2.7671021377672207</v>
      </c>
      <c r="BT46" s="111">
        <f t="shared" si="188"/>
        <v>0.81000742063227837</v>
      </c>
      <c r="BU46" s="111">
        <f t="shared" si="175"/>
        <v>0</v>
      </c>
      <c r="BV46" s="111">
        <f t="shared" si="176"/>
        <v>0.69188429595230316</v>
      </c>
      <c r="BX46" s="8"/>
    </row>
    <row r="47" spans="1:76" outlineLevel="1" x14ac:dyDescent="0.25">
      <c r="A47" t="s">
        <v>2</v>
      </c>
      <c r="B47" s="8">
        <f t="shared" si="160"/>
        <v>0.1419753086419753</v>
      </c>
      <c r="C47" s="8">
        <f t="shared" ref="C47:M47" si="201">IFERROR(C34/C22,"")</f>
        <v>0.10119047619047619</v>
      </c>
      <c r="D47" s="8">
        <f t="shared" si="201"/>
        <v>0.11976047904191617</v>
      </c>
      <c r="E47" s="8">
        <f t="shared" si="201"/>
        <v>0.12650602409638553</v>
      </c>
      <c r="F47" s="8">
        <f t="shared" si="201"/>
        <v>0.21243523316062177</v>
      </c>
      <c r="G47" s="8">
        <f t="shared" si="201"/>
        <v>0.16949152542372881</v>
      </c>
      <c r="H47" s="8">
        <f t="shared" si="201"/>
        <v>0.19130434782608696</v>
      </c>
      <c r="I47" s="8">
        <f t="shared" si="201"/>
        <v>0.21224489795918366</v>
      </c>
      <c r="J47" s="8">
        <f t="shared" si="201"/>
        <v>0.40357142857142858</v>
      </c>
      <c r="K47" s="8">
        <f t="shared" si="201"/>
        <v>0.25</v>
      </c>
      <c r="L47" s="8">
        <f t="shared" si="201"/>
        <v>0.38109756097560976</v>
      </c>
      <c r="M47" s="8">
        <f t="shared" si="201"/>
        <v>0.36269430051813473</v>
      </c>
      <c r="N47" s="8">
        <f t="shared" si="162"/>
        <v>0.13443396226415094</v>
      </c>
      <c r="O47" s="8">
        <f t="shared" ref="O47:Y47" si="202">O34*2/SUM(N22:O22)</f>
        <v>0.10420841683366733</v>
      </c>
      <c r="P47" s="8">
        <f t="shared" si="202"/>
        <v>0.19557195571955718</v>
      </c>
      <c r="Q47" s="8">
        <f t="shared" si="202"/>
        <v>0.14529914529914531</v>
      </c>
      <c r="R47" s="8">
        <f t="shared" si="202"/>
        <v>0.1595900439238653</v>
      </c>
      <c r="S47" s="8">
        <f t="shared" si="202"/>
        <v>0.22996057818659657</v>
      </c>
      <c r="T47" s="8">
        <f t="shared" si="202"/>
        <v>0.14932680538555693</v>
      </c>
      <c r="U47" s="8">
        <f t="shared" si="202"/>
        <v>0.15247634947134112</v>
      </c>
      <c r="V47" s="8">
        <f t="shared" si="202"/>
        <v>0.15478615071283094</v>
      </c>
      <c r="W47" s="8">
        <f t="shared" si="202"/>
        <v>0.14134924277191371</v>
      </c>
      <c r="X47" s="8">
        <f t="shared" si="202"/>
        <v>0.1317467063323417</v>
      </c>
      <c r="Y47" s="8">
        <f t="shared" si="202"/>
        <v>0.2</v>
      </c>
      <c r="Z47" s="139">
        <f>2*SUM(N34:INDEX(N34:Y34,$A$2))/(SUM(N22:INDEX(N22:Y22,$A$2))*2+M22-INDEX(N22:Y22,$A$2))</f>
        <v>0.16376710739967526</v>
      </c>
      <c r="AA47" s="8">
        <f t="shared" si="179"/>
        <v>0.14473811160579184</v>
      </c>
      <c r="AB47" s="8">
        <f>2*SUM(Q34:INDEX(Q34:S34,$B$2))/(P22+SUM(Q22:INDEX(Q22:S22,$B$2))*2-INDEX(Q22:S22,$B$2))</f>
        <v>0.14529914529914531</v>
      </c>
      <c r="AC47" s="8">
        <f t="shared" si="180"/>
        <v>0.15219643518990966</v>
      </c>
      <c r="AD47" s="8">
        <f t="shared" si="181"/>
        <v>0.15769864970141848</v>
      </c>
      <c r="AE47" s="8">
        <f>AVERAGE(B47:INDEX(B47:M47,$A$2))</f>
        <v>0.15180905634017011</v>
      </c>
      <c r="AF47" s="8">
        <f t="shared" si="182"/>
        <v>0.12097542129145589</v>
      </c>
      <c r="AG47" s="8">
        <f t="shared" si="183"/>
        <v>0.16947759422691203</v>
      </c>
      <c r="AH47" s="8">
        <f t="shared" si="184"/>
        <v>0.26904022478556638</v>
      </c>
      <c r="AI47" s="8">
        <f t="shared" si="185"/>
        <v>0.33126395383124813</v>
      </c>
      <c r="AJ47" s="31">
        <f t="shared" si="186"/>
        <v>7.8770340503993674E-2</v>
      </c>
      <c r="AK47" s="31">
        <f t="shared" si="164"/>
        <v>0.19642577029830299</v>
      </c>
      <c r="AL47" s="31">
        <f t="shared" si="165"/>
        <v>-0.14266457485462303</v>
      </c>
      <c r="AM47" s="31">
        <f t="shared" si="165"/>
        <v>-0.43429858746507122</v>
      </c>
      <c r="AN47" s="31">
        <f t="shared" si="165"/>
        <v>-0.52394865822994729</v>
      </c>
      <c r="AO47" s="8">
        <f t="shared" si="166"/>
        <v>7.3658365485794464E-2</v>
      </c>
      <c r="AP47" s="8">
        <f t="shared" si="167"/>
        <v>9.8332620778110308E-2</v>
      </c>
      <c r="AQ47" s="8">
        <f t="shared" ref="AQ47:AZ47" si="203">IFERROR(AQ34/AVERAGE(AP22:AQ22),"")</f>
        <v>0.16483516483516483</v>
      </c>
      <c r="AR47" s="8">
        <f t="shared" si="203"/>
        <v>0.17766497461928935</v>
      </c>
      <c r="AS47" s="8">
        <f t="shared" si="203"/>
        <v>0.15852885225110971</v>
      </c>
      <c r="AT47" s="8">
        <f t="shared" si="203"/>
        <v>0.14390243902439023</v>
      </c>
      <c r="AU47" s="8">
        <f t="shared" si="203"/>
        <v>0.12648221343873517</v>
      </c>
      <c r="AV47" s="8">
        <f t="shared" si="203"/>
        <v>0</v>
      </c>
      <c r="AW47" s="8" t="str">
        <f t="shared" si="203"/>
        <v/>
      </c>
      <c r="AX47" s="8" t="str">
        <f t="shared" si="203"/>
        <v/>
      </c>
      <c r="AY47" s="8" t="str">
        <f t="shared" si="203"/>
        <v/>
      </c>
      <c r="AZ47" s="8" t="str">
        <f t="shared" si="203"/>
        <v/>
      </c>
      <c r="BA47" s="8">
        <f t="shared" si="169"/>
        <v>0.10398359695371998</v>
      </c>
      <c r="BB47" s="8">
        <f>IFERROR(BB34*2/(AQ22+2*SUM(AR22:INDEX(AR22:AT22,$B$2))-INDEX(AR22:AT22,$B$2)),"")</f>
        <v>0.48604060913705582</v>
      </c>
      <c r="BC47" s="8">
        <f>IFERROR(BC34*2/(AT22+2*SUM(AU22:INDEX(AU22:AW22,$B$2))-INDEX(AU22:AW22,$B$2)),"")</f>
        <v>0.12648221343873517</v>
      </c>
      <c r="BE47" s="8">
        <f>2*SUM(AO34:INDEX(AO34:AZ34,$A$2))/(SUM(AO22:INDEX(AO22:AZ22,$A$2))*2+Y22-INDEX(AO22:AZ22,$A$2))</f>
        <v>0.12694145758661887</v>
      </c>
      <c r="BF47" s="122">
        <f t="shared" si="170"/>
        <v>0.54791485905222548</v>
      </c>
      <c r="BG47" s="111">
        <f t="shared" si="170"/>
        <v>0.94361495708225085</v>
      </c>
      <c r="BH47" s="111">
        <f t="shared" si="171"/>
        <v>0.84283640887414479</v>
      </c>
      <c r="BI47" s="111">
        <f t="shared" si="172"/>
        <v>1.2227530606151089</v>
      </c>
      <c r="BJ47" s="111">
        <f t="shared" si="172"/>
        <v>0.99335051456429291</v>
      </c>
      <c r="BK47" s="111">
        <f t="shared" si="172"/>
        <v>0.62577003484320559</v>
      </c>
      <c r="BL47" s="111">
        <f t="shared" si="172"/>
        <v>0.84701613425775923</v>
      </c>
      <c r="BM47" s="111"/>
      <c r="BN47" s="111"/>
      <c r="BO47" s="111"/>
      <c r="BP47" s="111"/>
      <c r="BQ47" s="111"/>
      <c r="BR47" s="111">
        <f t="shared" si="173"/>
        <v>0.70853939319627801</v>
      </c>
      <c r="BS47" s="111">
        <f t="shared" si="174"/>
        <v>3.3451030158256194</v>
      </c>
      <c r="BT47" s="111">
        <f t="shared" si="188"/>
        <v>0.83104583416104016</v>
      </c>
      <c r="BU47" s="111">
        <f t="shared" si="175"/>
        <v>0</v>
      </c>
      <c r="BV47" s="111">
        <f t="shared" si="176"/>
        <v>0.77513402784123786</v>
      </c>
      <c r="BX47" s="8"/>
    </row>
    <row r="48" spans="1:76" outlineLevel="1" x14ac:dyDescent="0.25">
      <c r="A48" s="135" t="s">
        <v>136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31"/>
      <c r="AK48" s="31"/>
      <c r="AL48" s="31"/>
      <c r="AM48" s="31"/>
      <c r="AN48" s="31"/>
      <c r="AO48" s="8"/>
      <c r="AP48" s="8">
        <f>IFERROR(AP35/(SUM(AO23,AP23)/2),"")</f>
        <v>8.3262531860662709E-2</v>
      </c>
      <c r="AQ48" s="8">
        <f t="shared" ref="AQ48:AU48" si="204">IFERROR(AQ35/AVERAGE(AP23,AQ23),"")</f>
        <v>3.0614300100704935E-2</v>
      </c>
      <c r="AR48" s="8">
        <f t="shared" si="204"/>
        <v>4.9123956115932538E-2</v>
      </c>
      <c r="AS48" s="8">
        <f t="shared" si="204"/>
        <v>1.7778957144752555E-2</v>
      </c>
      <c r="AT48" s="8">
        <f t="shared" si="204"/>
        <v>1.2823397075365579E-2</v>
      </c>
      <c r="AU48" s="8">
        <f t="shared" si="204"/>
        <v>9.716901803232739E-3</v>
      </c>
      <c r="BA48" s="8">
        <f>IFERROR(BA35/(SUM(AO23,AP23,AP23,AQ23)/2),"")</f>
        <v>4.7547479163820197E-2</v>
      </c>
      <c r="BB48" s="8">
        <f>IFERROR(BB35*2/(AQ23+2*SUM(AR23:INDEX(AR23:AT23,$B$2))-INDEX(AR23:AT23,$B$2)),"")</f>
        <v>8.9733093171770098E-2</v>
      </c>
      <c r="BC48" s="8">
        <f>IFERROR(BC35*2/(AT23+2*SUM(AU23:INDEX(AU23:AW23,$B$2))-INDEX(AU23:AW23,$B$2)),"")</f>
        <v>9.716901803232739E-3</v>
      </c>
      <c r="BE48" s="8">
        <f>2*SUM(AO35:INDEX(AO35:AZ35,$A$2))/(SUM(AO23:INDEX(AO23:AZ23,$A$2))*2+Y23-INDEX(AO23:AZ23,$A$2))</f>
        <v>2.4657264029983233E-2</v>
      </c>
      <c r="BF48" s="122"/>
      <c r="BG48" s="111"/>
      <c r="BH48" s="111"/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11"/>
      <c r="BU48" s="111"/>
      <c r="BV48" s="111"/>
      <c r="BX48" s="8"/>
    </row>
    <row r="49" spans="1:76" s="17" customFormat="1" x14ac:dyDescent="0.25">
      <c r="A49" s="1" t="s">
        <v>232</v>
      </c>
      <c r="B49" s="9">
        <f t="shared" ref="B49:M49" si="205">IFERROR(B36/B24,"")</f>
        <v>0.22315705128205129</v>
      </c>
      <c r="C49" s="9">
        <f t="shared" si="205"/>
        <v>0.17981438515081208</v>
      </c>
      <c r="D49" s="9">
        <f t="shared" si="205"/>
        <v>0.22887700534759359</v>
      </c>
      <c r="E49" s="9">
        <f t="shared" si="205"/>
        <v>0.23747207149696775</v>
      </c>
      <c r="F49" s="9">
        <f t="shared" si="205"/>
        <v>0.28923177938279709</v>
      </c>
      <c r="G49" s="9">
        <f t="shared" si="205"/>
        <v>0.3218316672041277</v>
      </c>
      <c r="H49" s="9">
        <f t="shared" si="205"/>
        <v>0.32555164694595456</v>
      </c>
      <c r="I49" s="9">
        <f t="shared" si="205"/>
        <v>0.25098039215686274</v>
      </c>
      <c r="J49" s="9">
        <f t="shared" si="205"/>
        <v>0.3941057497832996</v>
      </c>
      <c r="K49" s="9">
        <f t="shared" si="205"/>
        <v>0.30958904109589042</v>
      </c>
      <c r="L49" s="9">
        <f t="shared" si="205"/>
        <v>0.34125</v>
      </c>
      <c r="M49" s="9">
        <f t="shared" si="205"/>
        <v>0.38085984940490647</v>
      </c>
      <c r="N49" s="9">
        <f t="shared" ref="N49:Y49" si="206">N36*2/SUM(M24:N24)</f>
        <v>0.15351142270035054</v>
      </c>
      <c r="O49" s="9">
        <f t="shared" si="206"/>
        <v>0.15079654627264988</v>
      </c>
      <c r="P49" s="9">
        <f t="shared" si="206"/>
        <v>0.2659358989634219</v>
      </c>
      <c r="Q49" s="9">
        <f t="shared" si="206"/>
        <v>0.22171894462688257</v>
      </c>
      <c r="R49" s="9">
        <f t="shared" si="206"/>
        <v>0.23063063063063063</v>
      </c>
      <c r="S49" s="9">
        <f t="shared" si="206"/>
        <v>0.30644711135919622</v>
      </c>
      <c r="T49" s="9">
        <f t="shared" si="206"/>
        <v>0.21556689155833469</v>
      </c>
      <c r="U49" s="9">
        <f t="shared" si="206"/>
        <v>0.21345358887636226</v>
      </c>
      <c r="V49" s="9">
        <f t="shared" si="206"/>
        <v>0.23630417007358953</v>
      </c>
      <c r="W49" s="9">
        <f t="shared" si="206"/>
        <v>0.18195358073724713</v>
      </c>
      <c r="X49" s="9">
        <f t="shared" si="206"/>
        <v>0.17629875708803483</v>
      </c>
      <c r="Y49" s="9">
        <f t="shared" si="206"/>
        <v>0.26672311600338694</v>
      </c>
      <c r="Z49" s="9">
        <f>2*SUM(N36:INDEX(N36:Y36,$A$2))/(SUM(N24:INDEX(N24:Y24,$A$2))*2+M24-INDEX(N24:Y24,$A$2))</f>
        <v>0.22389415362257409</v>
      </c>
      <c r="AA49" s="9">
        <f t="shared" si="179"/>
        <v>0.19008128931214077</v>
      </c>
      <c r="AB49" s="9">
        <f>2*SUM(Q36:INDEX(Q36:S36,$B$2))/(P24+SUM(Q24:INDEX(Q24:S24,$B$2))*2-INDEX(Q24:S24,$B$2))</f>
        <v>0.22171894462688257</v>
      </c>
      <c r="AC49" s="9">
        <f t="shared" si="180"/>
        <v>0.22177488350276217</v>
      </c>
      <c r="AD49" s="9">
        <f t="shared" si="181"/>
        <v>0.20832515127622298</v>
      </c>
      <c r="AE49" s="28">
        <f>AVERAGE(B49:INDEX(B49:M49,$A$2))</f>
        <v>0.25799080097290056</v>
      </c>
      <c r="AF49" s="28">
        <f t="shared" si="182"/>
        <v>0.21061614726015232</v>
      </c>
      <c r="AG49" s="28">
        <f t="shared" si="183"/>
        <v>0.28284517269463083</v>
      </c>
      <c r="AH49" s="28">
        <f t="shared" si="184"/>
        <v>0.3235459296287056</v>
      </c>
      <c r="AI49" s="28">
        <f t="shared" si="185"/>
        <v>0.34389963016693231</v>
      </c>
      <c r="AJ49" s="32">
        <f t="shared" si="186"/>
        <v>-0.132162260133872</v>
      </c>
      <c r="AK49" s="32">
        <f t="shared" si="164"/>
        <v>-9.7498972491634084E-2</v>
      </c>
      <c r="AL49" s="32">
        <f t="shared" si="165"/>
        <v>-0.21611197209203281</v>
      </c>
      <c r="AM49" s="32">
        <f t="shared" si="165"/>
        <v>-0.31454899229526301</v>
      </c>
      <c r="AN49" s="32">
        <f t="shared" si="165"/>
        <v>-0.39422688190999255</v>
      </c>
      <c r="AO49" s="28">
        <f t="shared" ref="AO49" si="207">IFERROR(AO36/AVERAGE(Y24,AO24),"")</f>
        <v>0.10274213836477987</v>
      </c>
      <c r="AP49" s="28">
        <f>IFERROR(AP36/AVERAGE(AO24,AP24),"")</f>
        <v>0.16288263865356375</v>
      </c>
      <c r="AQ49" s="28">
        <f t="shared" ref="AQ49:AZ49" si="208">IFERROR(AQ36/AVERAGE(AP24:AQ24),"")</f>
        <v>0.24784831424318904</v>
      </c>
      <c r="AR49" s="28">
        <f t="shared" si="208"/>
        <v>0.22691115006067142</v>
      </c>
      <c r="AS49" s="28">
        <f t="shared" si="208"/>
        <v>0.20322781741359008</v>
      </c>
      <c r="AT49" s="28">
        <f t="shared" si="208"/>
        <v>0.24527443975316662</v>
      </c>
      <c r="AU49" s="28">
        <f>IFERROR(AU36/AVERAGE(AT24:AU24),"")</f>
        <v>0.18024940168787001</v>
      </c>
      <c r="AV49" s="28">
        <f t="shared" si="208"/>
        <v>0</v>
      </c>
      <c r="AW49" s="28" t="str">
        <f t="shared" si="208"/>
        <v/>
      </c>
      <c r="AX49" s="28" t="str">
        <f t="shared" si="208"/>
        <v/>
      </c>
      <c r="AY49" s="28" t="str">
        <f t="shared" si="208"/>
        <v/>
      </c>
      <c r="AZ49" s="28" t="str">
        <f t="shared" si="208"/>
        <v/>
      </c>
      <c r="BA49" s="28">
        <f>IFERROR(BA36/(AVERAGE(Y24,AO24)+AVERAGE(AO24,AP24)+AVERAGE(AQ24,AP24)),"")</f>
        <v>0.16510163291473395</v>
      </c>
      <c r="BB49" s="28">
        <f>IFERROR(BB36*2/(AQ24+2*SUM(AR24:INDEX(AR24:AT24,$B$2))-INDEX(AR24:AT24,$B$2)),"")</f>
        <v>0.67925037076985306</v>
      </c>
      <c r="BC49" s="8">
        <f>IFERROR(BC36*2/(AT24+2*SUM(AU24:INDEX(AU24:AW24,$B$2))-INDEX(AU24:AW24,$B$2)),"")</f>
        <v>0.18024940168787001</v>
      </c>
      <c r="BD49" s="37"/>
      <c r="BE49" s="28">
        <f>2*SUM(AO36:INDEX(AO36:AZ36,$A$2))/(SUM(AO24:INDEX(AO24:AZ24,$A$2))*2+Y24-INDEX(AO24:AZ24,$A$2))</f>
        <v>0.1910053003222455</v>
      </c>
      <c r="BF49" s="123">
        <f t="shared" si="170"/>
        <v>0.6692800871589164</v>
      </c>
      <c r="BG49" s="118">
        <f t="shared" si="170"/>
        <v>1.0801483368131086</v>
      </c>
      <c r="BH49" s="118">
        <f t="shared" ref="BH49" si="209">AQ49/P49</f>
        <v>0.93198517089743982</v>
      </c>
      <c r="BI49" s="118">
        <f t="shared" ref="BI49:BL49" si="210">AR49/Q49</f>
        <v>1.0234179602583193</v>
      </c>
      <c r="BJ49" s="118">
        <f t="shared" si="210"/>
        <v>0.88118311456673826</v>
      </c>
      <c r="BK49" s="118">
        <f t="shared" si="210"/>
        <v>0.80038098145318393</v>
      </c>
      <c r="BL49" s="118">
        <f t="shared" si="210"/>
        <v>0.83616459088334816</v>
      </c>
      <c r="BM49" s="118"/>
      <c r="BN49" s="118"/>
      <c r="BO49" s="118"/>
      <c r="BP49" s="118"/>
      <c r="BQ49" s="118"/>
      <c r="BR49" s="118">
        <f>BA49/((N36+O36+P36)/(SUM(M24,N24,N24,O24,O24,P24)/2))</f>
        <v>0.86655726309886405</v>
      </c>
      <c r="BS49" s="118">
        <f t="shared" si="174"/>
        <v>3.06356487449876</v>
      </c>
      <c r="BT49" s="118">
        <f t="shared" si="188"/>
        <v>0.81275840997398174</v>
      </c>
      <c r="BU49" s="118">
        <f t="shared" si="175"/>
        <v>0</v>
      </c>
      <c r="BV49" s="118">
        <f>BE49/Z49</f>
        <v>0.85310535014786304</v>
      </c>
      <c r="BX49" s="9"/>
    </row>
    <row r="50" spans="1:76" s="17" customFormat="1" x14ac:dyDescent="0.25">
      <c r="A50" s="1" t="s">
        <v>186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>
        <f>2*SUM(N36:INDEX(N36:Y36,$A$2))/(SUM(N24:INDEX(N24:Y24,$A$2))*2+M24-INDEX(N24:Y24,$A$2))</f>
        <v>0.22389415362257409</v>
      </c>
      <c r="AA50" s="9"/>
      <c r="AB50" s="9"/>
      <c r="AC50" s="9"/>
      <c r="AD50" s="9"/>
      <c r="AE50" s="28"/>
      <c r="AF50" s="28"/>
      <c r="AG50" s="28"/>
      <c r="AH50" s="28"/>
      <c r="AI50" s="28"/>
      <c r="AJ50" s="32"/>
      <c r="AK50" s="32"/>
      <c r="AL50" s="32"/>
      <c r="AM50" s="32"/>
      <c r="AN50" s="32"/>
      <c r="AO50" s="28"/>
      <c r="AP50" s="28">
        <f t="shared" ref="AP50:AS50" si="211">IFERROR(AP37/AVERAGE(AO25:AP25),"")</f>
        <v>0.15353938185443669</v>
      </c>
      <c r="AQ50" s="28">
        <f>IFERROR(AQ37/AVERAGE(AP25:AQ25),"")</f>
        <v>0.19502399843275542</v>
      </c>
      <c r="AR50" s="28">
        <f t="shared" si="211"/>
        <v>0.1750632730051096</v>
      </c>
      <c r="AS50" s="28">
        <f t="shared" si="211"/>
        <v>0.13961955037771911</v>
      </c>
      <c r="AT50" s="28">
        <f>IFERROR(AT37/AVERAGE(AS25:AT25),"")</f>
        <v>0.16018118179946469</v>
      </c>
      <c r="AU50" s="28">
        <f>IFERROR(AU37/AVERAGE(AT25:AU25),"")</f>
        <v>0.11158346187126143</v>
      </c>
      <c r="AV50" s="28"/>
      <c r="AW50" s="28"/>
      <c r="AX50" s="28"/>
      <c r="AY50" s="28"/>
      <c r="AZ50" s="28"/>
      <c r="BA50" s="28"/>
      <c r="BB50" s="28"/>
      <c r="BC50" s="8"/>
      <c r="BD50" s="37"/>
      <c r="BE50" s="28">
        <f>2*SUM(AO37:INDEX(AO37:AZ37,$A$2))/(SUM(AO25:INDEX(AO25:AZ25,$A$2))*2+Y24-INDEX(AO25:AZ25,$A$2))</f>
        <v>0.14723552233770615</v>
      </c>
      <c r="BF50" s="123"/>
      <c r="BG50" s="118"/>
      <c r="BH50" s="118"/>
      <c r="BI50" s="118"/>
      <c r="BJ50" s="118"/>
      <c r="BK50" s="118"/>
      <c r="BL50" s="118"/>
      <c r="BM50" s="118"/>
      <c r="BN50" s="118"/>
      <c r="BO50" s="118"/>
      <c r="BP50" s="118"/>
      <c r="BQ50" s="118"/>
      <c r="BR50" s="118"/>
      <c r="BS50" s="118"/>
      <c r="BT50" s="118"/>
      <c r="BU50" s="118"/>
      <c r="BV50" s="118">
        <f>BE50/Z50</f>
        <v>0.65761217948507056</v>
      </c>
      <c r="BX50" s="9"/>
    </row>
    <row r="51" spans="1:76" s="37" customFormat="1" x14ac:dyDescent="0.25">
      <c r="A51" s="36" t="s">
        <v>40</v>
      </c>
      <c r="B51" s="28">
        <f t="shared" ref="B51:P51" si="212">B36/AVERAGE(A24:B24)</f>
        <v>0.22315705128205129</v>
      </c>
      <c r="C51" s="28">
        <f t="shared" si="212"/>
        <v>0.18299881936245574</v>
      </c>
      <c r="D51" s="28">
        <f t="shared" si="212"/>
        <v>0.23817473567056205</v>
      </c>
      <c r="E51" s="28">
        <f t="shared" si="212"/>
        <v>0.25058942404850115</v>
      </c>
      <c r="F51" s="28">
        <f t="shared" si="212"/>
        <v>0.28515941090791391</v>
      </c>
      <c r="G51" s="28">
        <f t="shared" si="212"/>
        <v>0.32471124125589718</v>
      </c>
      <c r="H51" s="28">
        <f t="shared" si="212"/>
        <v>0.32691072575465641</v>
      </c>
      <c r="I51" s="28">
        <f t="shared" si="212"/>
        <v>0.25830487426265136</v>
      </c>
      <c r="J51" s="28">
        <f t="shared" si="212"/>
        <v>0.40259740259740262</v>
      </c>
      <c r="K51" s="28">
        <f t="shared" si="212"/>
        <v>0.31781746589790466</v>
      </c>
      <c r="L51" s="28">
        <f t="shared" si="212"/>
        <v>0.35686274509803922</v>
      </c>
      <c r="M51" s="28">
        <f t="shared" si="212"/>
        <v>0.38634963656523347</v>
      </c>
      <c r="N51" s="28">
        <f t="shared" si="212"/>
        <v>0.15351142270035054</v>
      </c>
      <c r="O51" s="28">
        <f t="shared" si="212"/>
        <v>0.15079654627264988</v>
      </c>
      <c r="P51" s="28">
        <f t="shared" si="212"/>
        <v>0.2659358989634219</v>
      </c>
      <c r="Q51" s="28">
        <f t="shared" ref="Q51:R51" si="213">Q36/AVERAGE(P24:Q24)</f>
        <v>0.22171894462688257</v>
      </c>
      <c r="R51" s="28">
        <f t="shared" si="213"/>
        <v>0.23063063063063063</v>
      </c>
      <c r="S51" s="28">
        <f>S36/AVERAGE(R24:S24)</f>
        <v>0.30644711135919622</v>
      </c>
      <c r="T51" s="28">
        <f t="shared" ref="T51:Y51" si="214">T36/AVERAGE(S24:T24)</f>
        <v>0.21556689155833469</v>
      </c>
      <c r="U51" s="28">
        <f t="shared" si="214"/>
        <v>0.21345358887636226</v>
      </c>
      <c r="V51" s="28">
        <f t="shared" si="214"/>
        <v>0.23630417007358953</v>
      </c>
      <c r="W51" s="28">
        <f t="shared" si="214"/>
        <v>0.18195358073724713</v>
      </c>
      <c r="X51" s="28">
        <f t="shared" si="214"/>
        <v>0.17629875708803483</v>
      </c>
      <c r="Y51" s="28">
        <f t="shared" si="214"/>
        <v>0.26672311600338694</v>
      </c>
      <c r="Z51" s="32">
        <f>2*SUM(N36:INDEX(N36:Y36,$A$2))/(SUM(N24:INDEX(N24:Y24,$A$2))*2+M24-INDEX(N24:Y24,$A$2))</f>
        <v>0.22389415362257409</v>
      </c>
      <c r="AA51" s="32">
        <f>2*SUM(N36:P36)/(SUM(N24:P24)*2+M24-P24)</f>
        <v>0.19052593515207522</v>
      </c>
      <c r="AB51" s="32">
        <f>2*SUM(Q36:S36)/(SUM(Q24:S24)*2+P24-S24)</f>
        <v>0.25600551438910907</v>
      </c>
      <c r="AC51" s="32">
        <f>2*SUM(T36:V36)/(SUM(T24:V24)*2+S24-V24)</f>
        <v>0.22244923383580417</v>
      </c>
      <c r="AD51" s="32">
        <f>2*SUM(W36:Y36)/(SUM(W24:Y24)*2+V24-Y24)</f>
        <v>0.21060054508376375</v>
      </c>
      <c r="AE51" s="32">
        <f>2*SUM(B36:INDEX(B36:M36,$A$2))/(SUM(B24:INDEX(B24:M24,$A$2))*2+B24-INDEX(B24:M24,$A$2))</f>
        <v>0.26553545060940509</v>
      </c>
      <c r="AF51" s="32">
        <f>2*SUM(B36:D36)/(B24+SUM(B24:D24)*2-D24)</f>
        <v>0.21519560297445844</v>
      </c>
      <c r="AG51" s="32">
        <f>2*SUM(E36:G36)/(D24+SUM(E24:G24)*2-G24)</f>
        <v>0.28723171265878228</v>
      </c>
      <c r="AH51" s="32">
        <f>2*SUM(H36:INDEX(H36:J36,9-6))/(G24+SUM(H24:INDEX(H24:J24,9-6))*2-INDEX(B24:M24,9))</f>
        <v>0.33055641262984675</v>
      </c>
      <c r="AI51" s="32">
        <f>2*SUM(K36:INDEX(K36:M36,2))/(J24+SUM(K24:INDEX(K24:M24,2))*2-INDEX(B24:M24,11))</f>
        <v>0.33805297744055279</v>
      </c>
      <c r="AJ51" s="32">
        <f t="shared" ref="AJ51" si="215">Z51/AE51-1</f>
        <v>-0.15682010402476965</v>
      </c>
      <c r="AK51" s="32">
        <f t="shared" ref="AK51" si="216">AA51/AF51-1</f>
        <v>-0.11463834521428984</v>
      </c>
      <c r="AL51" s="32">
        <f t="shared" ref="AL51:AN51" si="217">AB51/AG51-1</f>
        <v>-0.10871431284737165</v>
      </c>
      <c r="AM51" s="32">
        <f t="shared" si="217"/>
        <v>-0.32704607946934539</v>
      </c>
      <c r="AN51" s="32">
        <f t="shared" si="217"/>
        <v>-0.37701910902175617</v>
      </c>
      <c r="AO51" s="2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38"/>
      <c r="BB51" s="18"/>
      <c r="BC51" s="18"/>
      <c r="BD51" s="18"/>
      <c r="BE51" s="32">
        <f>2*SUM(AO36:INDEX(AO36:AZ36,A2))/(SUM(AO24:INDEX(AO24:AZ24,A2))*2+Y24-INDEX(AO24:AZ24,A2))</f>
        <v>0.1910053003222455</v>
      </c>
      <c r="BF51" s="124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X51" s="32"/>
    </row>
    <row r="52" spans="1:76" x14ac:dyDescent="0.25">
      <c r="W52" s="104"/>
      <c r="Y52" s="8">
        <f>Y51/M51</f>
        <v>0.69036719789524614</v>
      </c>
      <c r="BF52" s="124"/>
    </row>
    <row r="53" spans="1:76" s="17" customFormat="1" x14ac:dyDescent="0.25">
      <c r="A53" s="2" t="s">
        <v>12</v>
      </c>
      <c r="B53" s="3">
        <f t="shared" ref="B53:Y53" si="218">B15</f>
        <v>42005</v>
      </c>
      <c r="C53" s="3">
        <f t="shared" si="218"/>
        <v>42036</v>
      </c>
      <c r="D53" s="3">
        <f t="shared" si="218"/>
        <v>42064</v>
      </c>
      <c r="E53" s="3">
        <f t="shared" si="218"/>
        <v>42095</v>
      </c>
      <c r="F53" s="3">
        <f t="shared" si="218"/>
        <v>42125</v>
      </c>
      <c r="G53" s="3">
        <f t="shared" si="218"/>
        <v>42156</v>
      </c>
      <c r="H53" s="3">
        <f t="shared" si="218"/>
        <v>42186</v>
      </c>
      <c r="I53" s="3">
        <f t="shared" si="218"/>
        <v>42217</v>
      </c>
      <c r="J53" s="3">
        <f t="shared" si="218"/>
        <v>42248</v>
      </c>
      <c r="K53" s="3">
        <f t="shared" si="218"/>
        <v>42278</v>
      </c>
      <c r="L53" s="3">
        <f t="shared" si="218"/>
        <v>42309</v>
      </c>
      <c r="M53" s="3">
        <f t="shared" si="218"/>
        <v>42339</v>
      </c>
      <c r="N53" s="3">
        <f t="shared" si="218"/>
        <v>42370</v>
      </c>
      <c r="O53" s="3">
        <f t="shared" si="218"/>
        <v>42401</v>
      </c>
      <c r="P53" s="3">
        <f t="shared" si="218"/>
        <v>42430</v>
      </c>
      <c r="Q53" s="3">
        <f t="shared" si="218"/>
        <v>42461</v>
      </c>
      <c r="R53" s="3">
        <f t="shared" si="218"/>
        <v>42491</v>
      </c>
      <c r="S53" s="3">
        <f t="shared" si="218"/>
        <v>42522</v>
      </c>
      <c r="T53" s="3">
        <f t="shared" si="218"/>
        <v>42552</v>
      </c>
      <c r="U53" s="3">
        <f t="shared" si="218"/>
        <v>42583</v>
      </c>
      <c r="V53" s="3">
        <f t="shared" si="218"/>
        <v>42614</v>
      </c>
      <c r="W53" s="3">
        <f t="shared" si="218"/>
        <v>42644</v>
      </c>
      <c r="X53" s="3">
        <f t="shared" si="218"/>
        <v>42675</v>
      </c>
      <c r="Y53" s="3">
        <f t="shared" si="218"/>
        <v>42705</v>
      </c>
      <c r="Z53" s="29" t="s">
        <v>18</v>
      </c>
      <c r="AA53" s="29" t="s">
        <v>19</v>
      </c>
      <c r="AB53" s="29" t="s">
        <v>20</v>
      </c>
      <c r="AC53" s="29" t="s">
        <v>21</v>
      </c>
      <c r="AD53" s="29" t="s">
        <v>22</v>
      </c>
      <c r="AE53" s="26" t="str">
        <f t="shared" ref="AE53:AI53" si="219">AE27</f>
        <v>YTD 7/15</v>
      </c>
      <c r="AF53" s="26" t="str">
        <f t="shared" si="219"/>
        <v>Q1 '15</v>
      </c>
      <c r="AG53" s="26" t="str">
        <f t="shared" si="219"/>
        <v>Q2 '15</v>
      </c>
      <c r="AH53" s="26" t="str">
        <f t="shared" si="219"/>
        <v>Q3 '15</v>
      </c>
      <c r="AI53" s="26" t="str">
        <f t="shared" si="219"/>
        <v>Q4 '15</v>
      </c>
      <c r="AJ53" s="30" t="s">
        <v>27</v>
      </c>
      <c r="AK53" s="30" t="s">
        <v>29</v>
      </c>
      <c r="AL53" s="30" t="s">
        <v>30</v>
      </c>
      <c r="AM53" s="30" t="s">
        <v>31</v>
      </c>
      <c r="AN53" s="30" t="s">
        <v>32</v>
      </c>
      <c r="AO53" s="108">
        <v>42736</v>
      </c>
      <c r="AP53" s="108">
        <v>42767</v>
      </c>
      <c r="AQ53" s="108">
        <v>42795</v>
      </c>
      <c r="AR53" s="108">
        <v>42826</v>
      </c>
      <c r="AS53" s="108">
        <v>42856</v>
      </c>
      <c r="AT53" s="108">
        <v>42887</v>
      </c>
      <c r="AU53" s="108">
        <v>42917</v>
      </c>
      <c r="AV53" s="108">
        <v>42948</v>
      </c>
      <c r="AW53" s="108">
        <v>42979</v>
      </c>
      <c r="AX53" s="108">
        <v>43009</v>
      </c>
      <c r="AY53" s="108">
        <v>43040</v>
      </c>
      <c r="AZ53" s="108">
        <v>43070</v>
      </c>
      <c r="BA53" s="29" t="s">
        <v>123</v>
      </c>
      <c r="BB53" s="29" t="s">
        <v>124</v>
      </c>
      <c r="BC53" s="29" t="s">
        <v>125</v>
      </c>
      <c r="BD53" s="29" t="s">
        <v>126</v>
      </c>
      <c r="BE53" s="29" t="str">
        <f>"YTD " &amp; A52 &amp;"/17"</f>
        <v>YTD /17</v>
      </c>
      <c r="BF53" s="121">
        <v>42736</v>
      </c>
      <c r="BG53" s="108">
        <v>42767</v>
      </c>
      <c r="BH53" s="108">
        <v>42795</v>
      </c>
      <c r="BI53" s="108">
        <v>42826</v>
      </c>
      <c r="BJ53" s="108">
        <v>42856</v>
      </c>
      <c r="BK53" s="108">
        <v>42887</v>
      </c>
      <c r="BL53" s="108">
        <v>42917</v>
      </c>
      <c r="BM53" s="108">
        <v>42948</v>
      </c>
      <c r="BN53" s="108">
        <v>42979</v>
      </c>
      <c r="BO53" s="108">
        <v>43009</v>
      </c>
      <c r="BP53" s="108">
        <v>43040</v>
      </c>
      <c r="BQ53" s="108">
        <v>43070</v>
      </c>
      <c r="BR53" s="29" t="s">
        <v>127</v>
      </c>
      <c r="BS53" s="29" t="s">
        <v>128</v>
      </c>
      <c r="BT53" s="29" t="s">
        <v>96</v>
      </c>
      <c r="BU53" s="29" t="s">
        <v>129</v>
      </c>
      <c r="BV53" s="112" t="s">
        <v>130</v>
      </c>
    </row>
    <row r="54" spans="1:76" outlineLevel="1" x14ac:dyDescent="0.25">
      <c r="A54" t="s">
        <v>4</v>
      </c>
      <c r="B54">
        <f>'Agency North'!C54+'Agency South'!C54</f>
        <v>82</v>
      </c>
      <c r="C54">
        <f>'Agency North'!D54+'Agency South'!D54</f>
        <v>66</v>
      </c>
      <c r="D54">
        <f>'Agency North'!E54+'Agency South'!E54</f>
        <v>156</v>
      </c>
      <c r="E54">
        <f>'Agency North'!F54+'Agency South'!F54</f>
        <v>169</v>
      </c>
      <c r="F54">
        <f>'Agency North'!G54+'Agency South'!G54</f>
        <v>118.5</v>
      </c>
      <c r="G54">
        <f>'Agency North'!H54+'Agency South'!H54</f>
        <v>147.5</v>
      </c>
      <c r="H54">
        <f>'Agency North'!I54+'Agency South'!I54</f>
        <v>172</v>
      </c>
      <c r="I54">
        <f>'Agency North'!J54+'Agency South'!J54</f>
        <v>93.5</v>
      </c>
      <c r="J54">
        <f>'Agency North'!K54+'Agency South'!K54</f>
        <v>193.5</v>
      </c>
      <c r="K54">
        <f>'Agency North'!L54+'Agency South'!L54</f>
        <v>175.5</v>
      </c>
      <c r="L54">
        <f>'Agency North'!M54+'Agency South'!M54</f>
        <v>178</v>
      </c>
      <c r="M54">
        <f>'Agency North'!N54+'Agency South'!N54</f>
        <v>292.5</v>
      </c>
      <c r="N54">
        <f>'Agency North'!O54+'Agency South'!O54</f>
        <v>64</v>
      </c>
      <c r="O54">
        <f>'Agency North'!P54+'Agency South'!P54</f>
        <v>67</v>
      </c>
      <c r="P54">
        <f>'Agency North'!Q54+'Agency South'!Q54</f>
        <v>164</v>
      </c>
      <c r="Q54">
        <f>'Agency North'!R54+'Agency South'!R54</f>
        <v>177</v>
      </c>
      <c r="R54">
        <f>'Agency North'!S54+'Agency South'!S54</f>
        <v>112</v>
      </c>
      <c r="S54">
        <f>'Agency North'!T54+'Agency South'!T54</f>
        <v>134</v>
      </c>
      <c r="T54">
        <f>'Agency North'!U54+'Agency South'!U54</f>
        <v>110</v>
      </c>
      <c r="U54">
        <f>'Agency North'!V54+'Agency South'!V54</f>
        <v>103.5</v>
      </c>
      <c r="V54">
        <f>'Agency North'!W54+'Agency South'!W54</f>
        <v>146.5</v>
      </c>
      <c r="W54">
        <f>'Agency North'!X54+'Agency South'!X54</f>
        <v>117</v>
      </c>
      <c r="X54">
        <f>'Agency North'!Y54+'Agency South'!Y54</f>
        <v>138.5</v>
      </c>
      <c r="Y54">
        <f>'Agency North'!Z54+'Agency South'!Z54</f>
        <v>216</v>
      </c>
      <c r="Z54" s="22">
        <f>SUM(N54:INDEX(N54:Y54,$A$2))</f>
        <v>828</v>
      </c>
      <c r="AA54" s="22">
        <f>SUM(N54:P54)</f>
        <v>295</v>
      </c>
      <c r="AB54" s="22">
        <f>SUM(Q54:S54)</f>
        <v>423</v>
      </c>
      <c r="AC54" s="22">
        <f>SUM(T54:V54)</f>
        <v>360</v>
      </c>
      <c r="AD54" s="22">
        <f>SUM(W54:Y54)</f>
        <v>471.5</v>
      </c>
      <c r="AE54" s="22">
        <f>SUM(B54                                                                                : INDEX(B54:M54,$A$2))</f>
        <v>911</v>
      </c>
      <c r="AF54" s="22">
        <f t="shared" ref="AF54:AF60" si="220">SUM(B54:D54)</f>
        <v>304</v>
      </c>
      <c r="AG54" s="22">
        <f t="shared" ref="AG54:AG60" si="221">SUM(E54:G54)</f>
        <v>435</v>
      </c>
      <c r="AH54" s="22">
        <f>SUM(H54:J54)</f>
        <v>459</v>
      </c>
      <c r="AI54" s="22">
        <f t="shared" ref="AI54:AI60" si="222">SUM(K54:M54)</f>
        <v>646</v>
      </c>
      <c r="AJ54" s="31">
        <f>Z54/AE54-1</f>
        <v>-9.1108671789242646E-2</v>
      </c>
      <c r="AK54" s="31">
        <f t="shared" ref="AK54:AK62" si="223">AA54/AF54-1</f>
        <v>-2.960526315789469E-2</v>
      </c>
      <c r="AL54" s="31">
        <f t="shared" ref="AL54:AM62" si="224">AB54/AG54-1</f>
        <v>-2.7586206896551779E-2</v>
      </c>
      <c r="AM54" s="31">
        <f t="shared" si="224"/>
        <v>-0.21568627450980393</v>
      </c>
      <c r="AN54" s="31">
        <f>AD54/SUM(K54:INDEX(K54:M54,MOD($A$2,3)))-1</f>
        <v>1.6866096866096867</v>
      </c>
      <c r="AO54" s="113">
        <f>'Agency North'!AP54+'Agency South'!AP54</f>
        <v>224</v>
      </c>
      <c r="AP54" s="113">
        <f>'Agency North'!AQ54+'Agency South'!AQ54</f>
        <v>287</v>
      </c>
      <c r="AQ54" s="113">
        <f>'Agency North'!AR54+'Agency South'!AR54</f>
        <v>387</v>
      </c>
      <c r="AR54" s="113">
        <f>'Agency North'!AS54+'Agency South'!AS54</f>
        <v>341</v>
      </c>
      <c r="AS54" s="113">
        <f>'Agency North'!AT54+'Agency South'!AT54</f>
        <v>353</v>
      </c>
      <c r="AT54" s="113">
        <f>'Agency North'!AU54+'Agency South'!AU54</f>
        <v>390.5</v>
      </c>
      <c r="AU54" s="113">
        <f>'Agency North'!AV54+'Agency South'!AV54</f>
        <v>290</v>
      </c>
      <c r="AV54" s="113">
        <f>'Agency North'!AW54+'Agency South'!AW54</f>
        <v>0</v>
      </c>
      <c r="AW54" s="113">
        <f>'Agency North'!AX54+'Agency South'!AX54</f>
        <v>0</v>
      </c>
      <c r="AX54" s="113">
        <f>'Agency North'!AY54+'Agency South'!AY54</f>
        <v>0</v>
      </c>
      <c r="AY54" s="113">
        <f>'Agency North'!AZ54+'Agency South'!AZ54</f>
        <v>0</v>
      </c>
      <c r="AZ54" s="113">
        <f>'Agency North'!BA54+'Agency South'!BA54</f>
        <v>0</v>
      </c>
      <c r="BA54" s="110">
        <f>SUM(AO54:INDEX(AO54:AQ54,IF($A$2&lt;3,$A$2,3)))</f>
        <v>898</v>
      </c>
      <c r="BB54" s="110">
        <f>SUM(AR54:AT54)</f>
        <v>1084.5</v>
      </c>
      <c r="BC54" s="110">
        <f>SUM(AU54:INDEX(AU54:AW54,IF(AND($A$2&gt;6,$A$2&lt;10),$A$2-6,0)))</f>
        <v>290</v>
      </c>
      <c r="BD54" s="110">
        <f>SUM(AX54:INDEX(AX54:AZ54,IF($A$2&gt;9,$A$2-9,0)))</f>
        <v>0</v>
      </c>
      <c r="BE54" s="110">
        <f>SUM($AO54:INDEX(AO54:AZ54,$A$2))</f>
        <v>2272.5</v>
      </c>
      <c r="BF54" s="122">
        <f t="shared" ref="BF54:BQ62" si="225">AO54/N54</f>
        <v>3.5</v>
      </c>
      <c r="BG54" s="111">
        <f t="shared" si="225"/>
        <v>4.2835820895522385</v>
      </c>
      <c r="BH54" s="111">
        <f t="shared" si="225"/>
        <v>2.3597560975609757</v>
      </c>
      <c r="BI54" s="111">
        <f t="shared" si="225"/>
        <v>1.9265536723163841</v>
      </c>
      <c r="BJ54" s="111">
        <f t="shared" si="225"/>
        <v>3.1517857142857144</v>
      </c>
      <c r="BK54" s="111">
        <f t="shared" si="225"/>
        <v>2.9141791044776117</v>
      </c>
      <c r="BL54" s="111">
        <f t="shared" si="225"/>
        <v>2.6363636363636362</v>
      </c>
      <c r="BM54" s="111">
        <f t="shared" si="225"/>
        <v>0</v>
      </c>
      <c r="BN54" s="111">
        <f t="shared" si="225"/>
        <v>0</v>
      </c>
      <c r="BO54" s="111">
        <f t="shared" si="225"/>
        <v>0</v>
      </c>
      <c r="BP54" s="111">
        <f t="shared" si="225"/>
        <v>0</v>
      </c>
      <c r="BQ54" s="111">
        <f t="shared" si="225"/>
        <v>0</v>
      </c>
      <c r="BR54" s="111">
        <f>BA54/SUM(N54:INDEX(N54:P54,IF($A$2&lt;3,$A$2,3)))</f>
        <v>3.0440677966101695</v>
      </c>
      <c r="BS54" s="111">
        <f>BB54/SUM(Q54:INDEX(Q54:S54,IF($A$2&lt;7,$A$2-3,3)))</f>
        <v>2.5638297872340425</v>
      </c>
      <c r="BT54" s="111">
        <f t="shared" ref="BT54:BU62" si="226">BC54/AC54</f>
        <v>0.80555555555555558</v>
      </c>
      <c r="BU54" s="111">
        <f t="shared" si="226"/>
        <v>0</v>
      </c>
      <c r="BV54" s="111">
        <f t="shared" ref="BV54:BV62" si="227">BE54/Z54</f>
        <v>2.7445652173913042</v>
      </c>
    </row>
    <row r="55" spans="1:76" outlineLevel="1" x14ac:dyDescent="0.25">
      <c r="A55" t="s">
        <v>5</v>
      </c>
      <c r="B55">
        <f>'Agency North'!C55+'Agency South'!C55</f>
        <v>154</v>
      </c>
      <c r="C55">
        <f>'Agency North'!D55+'Agency South'!D55</f>
        <v>85</v>
      </c>
      <c r="D55">
        <f>'Agency North'!E55+'Agency South'!E55</f>
        <v>199</v>
      </c>
      <c r="E55">
        <f>'Agency North'!F55+'Agency South'!F55</f>
        <v>240</v>
      </c>
      <c r="F55">
        <f>'Agency North'!G55+'Agency South'!G55</f>
        <v>196.5</v>
      </c>
      <c r="G55">
        <f>'Agency North'!H55+'Agency South'!H55</f>
        <v>273</v>
      </c>
      <c r="H55">
        <f>'Agency North'!I55+'Agency South'!I55</f>
        <v>350</v>
      </c>
      <c r="I55">
        <f>'Agency North'!J55+'Agency South'!J55</f>
        <v>227</v>
      </c>
      <c r="J55">
        <f>'Agency North'!K55+'Agency South'!K55</f>
        <v>406</v>
      </c>
      <c r="K55">
        <f>'Agency North'!L55+'Agency South'!L55</f>
        <v>269</v>
      </c>
      <c r="L55">
        <f>'Agency North'!M55+'Agency South'!M55</f>
        <v>631</v>
      </c>
      <c r="M55">
        <f>'Agency North'!N55+'Agency South'!N55</f>
        <v>524</v>
      </c>
      <c r="N55">
        <f>'Agency North'!O55+'Agency South'!O55</f>
        <v>82</v>
      </c>
      <c r="O55">
        <f>'Agency North'!P55+'Agency South'!P55</f>
        <v>82</v>
      </c>
      <c r="P55">
        <f>'Agency North'!Q55+'Agency South'!Q55</f>
        <v>536</v>
      </c>
      <c r="Q55">
        <f>'Agency North'!R55+'Agency South'!R55</f>
        <v>351</v>
      </c>
      <c r="R55">
        <f>'Agency North'!S55+'Agency South'!S55</f>
        <v>406</v>
      </c>
      <c r="S55">
        <f>'Agency North'!T55+'Agency South'!T55</f>
        <v>955</v>
      </c>
      <c r="T55">
        <f>'Agency North'!U55+'Agency South'!U55</f>
        <v>503</v>
      </c>
      <c r="U55">
        <f>'Agency North'!V55+'Agency South'!V55</f>
        <v>579</v>
      </c>
      <c r="V55">
        <f>'Agency North'!W55+'Agency South'!W55</f>
        <v>953.5</v>
      </c>
      <c r="W55">
        <f>'Agency North'!X55+'Agency South'!X55</f>
        <v>636.5</v>
      </c>
      <c r="X55">
        <f>'Agency North'!Y55+'Agency South'!Y55</f>
        <v>738</v>
      </c>
      <c r="Y55">
        <f>'Agency North'!Z55+'Agency South'!Z55</f>
        <v>1430</v>
      </c>
      <c r="Z55" s="22">
        <f>SUM(N55:INDEX(N55:Y55,$A$2))</f>
        <v>2915</v>
      </c>
      <c r="AA55" s="22">
        <f t="shared" ref="AA55:AA60" si="228">SUM(N55:P55)</f>
        <v>700</v>
      </c>
      <c r="AB55" s="22">
        <f t="shared" ref="AB55:AB60" si="229">SUM(Q55:S55)</f>
        <v>1712</v>
      </c>
      <c r="AC55" s="22">
        <f t="shared" ref="AC55:AC60" si="230">SUM(T55:V55)</f>
        <v>2035.5</v>
      </c>
      <c r="AD55" s="22">
        <f t="shared" ref="AD55:AD60" si="231">SUM(W55:Y55)</f>
        <v>2804.5</v>
      </c>
      <c r="AE55" s="22">
        <f>SUM(B55                                                                                : INDEX(B55:M55,$A$2))</f>
        <v>1497.5</v>
      </c>
      <c r="AF55" s="22">
        <f t="shared" si="220"/>
        <v>438</v>
      </c>
      <c r="AG55" s="22">
        <f t="shared" si="221"/>
        <v>709.5</v>
      </c>
      <c r="AH55" s="22">
        <f t="shared" ref="AH55:AH60" si="232">SUM(H55:J55)</f>
        <v>983</v>
      </c>
      <c r="AI55" s="22">
        <f t="shared" si="222"/>
        <v>1424</v>
      </c>
      <c r="AJ55" s="31">
        <f t="shared" ref="AJ55:AJ62" si="233">Z55/AE55-1</f>
        <v>0.94657762938230383</v>
      </c>
      <c r="AK55" s="31">
        <f t="shared" si="223"/>
        <v>0.59817351598173518</v>
      </c>
      <c r="AL55" s="31">
        <f t="shared" si="224"/>
        <v>1.4129668780831572</v>
      </c>
      <c r="AM55" s="31">
        <f t="shared" si="224"/>
        <v>1.0707019328585963</v>
      </c>
      <c r="AN55" s="31">
        <f>AD55/SUM(K55:INDEX(K55:M55,MOD($A$2,3)))-1</f>
        <v>9.425650557620818</v>
      </c>
      <c r="AO55" s="113">
        <f>'Agency North'!AP55+'Agency South'!AP55</f>
        <v>285</v>
      </c>
      <c r="AP55" s="113">
        <f>'Agency North'!AQ55+'Agency South'!AQ55</f>
        <v>426</v>
      </c>
      <c r="AQ55" s="113">
        <f>'Agency North'!AR55+'Agency South'!AR55</f>
        <v>986</v>
      </c>
      <c r="AR55" s="113">
        <f>'Agency North'!AS55+'Agency South'!AS55</f>
        <v>723</v>
      </c>
      <c r="AS55" s="113">
        <f>'Agency North'!AT55+'Agency South'!AT55</f>
        <v>676.5</v>
      </c>
      <c r="AT55" s="113">
        <f>'Agency North'!AU55+'Agency South'!AU55</f>
        <v>1390</v>
      </c>
      <c r="AU55" s="113">
        <f>'Agency North'!AV55+'Agency South'!AV55</f>
        <v>792</v>
      </c>
      <c r="AV55" s="113">
        <f>'Agency North'!AW55+'Agency South'!AW55</f>
        <v>0</v>
      </c>
      <c r="AW55" s="113">
        <f>'Agency North'!AX55+'Agency South'!AX55</f>
        <v>0</v>
      </c>
      <c r="AX55" s="113">
        <f>'Agency North'!AY55+'Agency South'!AY55</f>
        <v>0</v>
      </c>
      <c r="AY55" s="113">
        <f>'Agency North'!AZ55+'Agency South'!AZ55</f>
        <v>0</v>
      </c>
      <c r="AZ55" s="113">
        <f>'Agency North'!BA55+'Agency South'!BA55</f>
        <v>0</v>
      </c>
      <c r="BA55" s="110">
        <f>SUM(AO55:INDEX(AO55:AQ55,IF($A$2&lt;3,$A$2,3)))</f>
        <v>1697</v>
      </c>
      <c r="BB55" s="21">
        <f>SUM(AR55:INDEX(AR55:AT55,IF(AND($A$2&gt;3,A53&lt;7),$A$2-3,0)))</f>
        <v>2789.5</v>
      </c>
      <c r="BC55" s="110">
        <f>SUM(AU55:INDEX(AU55:AW55,IF(AND($A$2&gt;6,$A$2&lt;10),$A$2-6,0)))</f>
        <v>792</v>
      </c>
      <c r="BD55" s="110">
        <f>SUM(AX55:INDEX(AX55:AZ55,IF($A$2&gt;9,$A$2-9,0)))</f>
        <v>0</v>
      </c>
      <c r="BE55" s="110">
        <f>SUM($AO55:INDEX(AO55:AZ55,$A$2))</f>
        <v>5278.5</v>
      </c>
      <c r="BF55" s="122">
        <f t="shared" si="225"/>
        <v>3.475609756097561</v>
      </c>
      <c r="BG55" s="111">
        <f t="shared" si="225"/>
        <v>5.1951219512195124</v>
      </c>
      <c r="BH55" s="111">
        <f t="shared" si="225"/>
        <v>1.8395522388059702</v>
      </c>
      <c r="BI55" s="111">
        <f t="shared" si="225"/>
        <v>2.0598290598290596</v>
      </c>
      <c r="BJ55" s="111">
        <f t="shared" si="225"/>
        <v>1.666256157635468</v>
      </c>
      <c r="BK55" s="111">
        <f t="shared" si="225"/>
        <v>1.455497382198953</v>
      </c>
      <c r="BL55" s="111">
        <f t="shared" si="225"/>
        <v>1.5745526838966202</v>
      </c>
      <c r="BM55" s="111">
        <f t="shared" si="225"/>
        <v>0</v>
      </c>
      <c r="BN55" s="111">
        <f t="shared" si="225"/>
        <v>0</v>
      </c>
      <c r="BO55" s="111">
        <f t="shared" si="225"/>
        <v>0</v>
      </c>
      <c r="BP55" s="111">
        <f t="shared" si="225"/>
        <v>0</v>
      </c>
      <c r="BQ55" s="111">
        <f t="shared" si="225"/>
        <v>0</v>
      </c>
      <c r="BR55" s="111">
        <f>BA55/SUM(N55:INDEX(N55:P55,IF($A$2&lt;3,$A$2,3)))</f>
        <v>2.4242857142857144</v>
      </c>
      <c r="BS55" s="111">
        <f>BB55/SUM(Q55:INDEX(Q55:S55,IF($A$2&lt;7,$A$2-3,3)))</f>
        <v>1.6293808411214954</v>
      </c>
      <c r="BT55" s="111">
        <f t="shared" si="226"/>
        <v>0.38909358879882094</v>
      </c>
      <c r="BU55" s="111">
        <f t="shared" si="226"/>
        <v>0</v>
      </c>
      <c r="BV55" s="111">
        <f t="shared" si="227"/>
        <v>1.8108061749571183</v>
      </c>
    </row>
    <row r="56" spans="1:76" outlineLevel="1" x14ac:dyDescent="0.25">
      <c r="A56" t="s">
        <v>6</v>
      </c>
      <c r="B56">
        <f>'Agency North'!C56+'Agency South'!C56</f>
        <v>143</v>
      </c>
      <c r="C56">
        <f>'Agency North'!D56+'Agency South'!D56</f>
        <v>130</v>
      </c>
      <c r="D56">
        <f>'Agency North'!E56+'Agency South'!E56</f>
        <v>117</v>
      </c>
      <c r="E56">
        <f>'Agency North'!F56+'Agency South'!F56</f>
        <v>198</v>
      </c>
      <c r="F56">
        <f>'Agency North'!G56+'Agency South'!G56</f>
        <v>236.5</v>
      </c>
      <c r="G56">
        <f>'Agency North'!H56+'Agency South'!H56</f>
        <v>219</v>
      </c>
      <c r="H56">
        <f>'Agency North'!I56+'Agency South'!I56</f>
        <v>241</v>
      </c>
      <c r="I56">
        <f>'Agency North'!J56+'Agency South'!J56</f>
        <v>176</v>
      </c>
      <c r="J56">
        <f>'Agency North'!K56+'Agency South'!K56</f>
        <v>299.5</v>
      </c>
      <c r="K56">
        <f>'Agency North'!L56+'Agency South'!L56</f>
        <v>288</v>
      </c>
      <c r="L56">
        <f>'Agency North'!M56+'Agency South'!M56</f>
        <v>231</v>
      </c>
      <c r="M56">
        <f>'Agency North'!N56+'Agency South'!N56</f>
        <v>613.5</v>
      </c>
      <c r="N56">
        <f>'Agency North'!O56+'Agency South'!O56</f>
        <v>135</v>
      </c>
      <c r="O56">
        <f>'Agency North'!P56+'Agency South'!P56</f>
        <v>82</v>
      </c>
      <c r="P56">
        <f>'Agency North'!Q56+'Agency South'!Q56</f>
        <v>90</v>
      </c>
      <c r="Q56">
        <f>'Agency North'!R56+'Agency South'!R56</f>
        <v>250</v>
      </c>
      <c r="R56">
        <f>'Agency North'!S56+'Agency South'!S56</f>
        <v>256</v>
      </c>
      <c r="S56">
        <f>'Agency North'!T56+'Agency South'!T56</f>
        <v>433.5</v>
      </c>
      <c r="T56">
        <f>'Agency North'!U56+'Agency South'!U56</f>
        <v>399</v>
      </c>
      <c r="U56">
        <f>'Agency North'!V56+'Agency South'!V56</f>
        <v>337</v>
      </c>
      <c r="V56">
        <f>'Agency North'!W56+'Agency South'!W56</f>
        <v>559</v>
      </c>
      <c r="W56">
        <f>'Agency North'!X56+'Agency South'!X56</f>
        <v>435.5</v>
      </c>
      <c r="X56">
        <f>'Agency North'!Y56+'Agency South'!Y56</f>
        <v>534.5</v>
      </c>
      <c r="Y56">
        <f>'Agency North'!Z56+'Agency South'!Z56</f>
        <v>679</v>
      </c>
      <c r="Z56" s="22">
        <f>SUM(N56:INDEX(N56:Y56,$A$2))</f>
        <v>1645.5</v>
      </c>
      <c r="AA56" s="22">
        <f t="shared" si="228"/>
        <v>307</v>
      </c>
      <c r="AB56" s="22">
        <f t="shared" si="229"/>
        <v>939.5</v>
      </c>
      <c r="AC56" s="22">
        <f t="shared" si="230"/>
        <v>1295</v>
      </c>
      <c r="AD56" s="22">
        <f t="shared" si="231"/>
        <v>1649</v>
      </c>
      <c r="AE56" s="22">
        <f>SUM(B56                                                                                : INDEX(B56:M56,$A$2))</f>
        <v>1284.5</v>
      </c>
      <c r="AF56" s="22">
        <f t="shared" si="220"/>
        <v>390</v>
      </c>
      <c r="AG56" s="22">
        <f t="shared" si="221"/>
        <v>653.5</v>
      </c>
      <c r="AH56" s="22">
        <f t="shared" si="232"/>
        <v>716.5</v>
      </c>
      <c r="AI56" s="22">
        <f t="shared" si="222"/>
        <v>1132.5</v>
      </c>
      <c r="AJ56" s="31">
        <f t="shared" si="233"/>
        <v>0.28104320747372524</v>
      </c>
      <c r="AK56" s="31">
        <f t="shared" si="223"/>
        <v>-0.21282051282051284</v>
      </c>
      <c r="AL56" s="31">
        <f t="shared" si="224"/>
        <v>0.43764345830145368</v>
      </c>
      <c r="AM56" s="31">
        <f t="shared" si="224"/>
        <v>0.80739706908583386</v>
      </c>
      <c r="AN56" s="31">
        <f>AD56/SUM(K56:INDEX(K56:M56,MOD($A$2,3)))-1</f>
        <v>4.7256944444444446</v>
      </c>
      <c r="AO56" s="113">
        <f>'Agency North'!AP56+'Agency South'!AP56</f>
        <v>272</v>
      </c>
      <c r="AP56" s="113">
        <f>'Agency North'!AQ56+'Agency South'!AQ56</f>
        <v>185</v>
      </c>
      <c r="AQ56" s="113">
        <f>'Agency North'!AR56+'Agency South'!AR56</f>
        <v>482</v>
      </c>
      <c r="AR56" s="113">
        <f>'Agency North'!AS56+'Agency South'!AS56</f>
        <v>441</v>
      </c>
      <c r="AS56" s="113">
        <f>'Agency North'!AT56+'Agency South'!AT56</f>
        <v>357</v>
      </c>
      <c r="AT56" s="113">
        <f>'Agency North'!AU56+'Agency South'!AU56</f>
        <v>303.5</v>
      </c>
      <c r="AU56" s="113">
        <f>'Agency North'!AV56+'Agency South'!AV56</f>
        <v>349</v>
      </c>
      <c r="AV56" s="113">
        <f>'Agency North'!AW56+'Agency South'!AW56</f>
        <v>0</v>
      </c>
      <c r="AW56" s="113">
        <f>'Agency North'!AX56+'Agency South'!AX56</f>
        <v>0</v>
      </c>
      <c r="AX56" s="113">
        <f>'Agency North'!AY56+'Agency South'!AY56</f>
        <v>0</v>
      </c>
      <c r="AY56" s="113">
        <f>'Agency North'!AZ56+'Agency South'!AZ56</f>
        <v>0</v>
      </c>
      <c r="AZ56" s="113">
        <f>'Agency North'!BA56+'Agency South'!BA56</f>
        <v>0</v>
      </c>
      <c r="BA56" s="110">
        <f>SUM(AO56:INDEX(AO56:AQ56,IF($A$2&lt;3,$A$2,3)))</f>
        <v>939</v>
      </c>
      <c r="BB56" s="110">
        <f>SUM(AR56:INDEX(AR56:AT56,IF(AND($A$2&gt;3,A54&lt;7),$A$2-3,0)))</f>
        <v>1101.5</v>
      </c>
      <c r="BC56" s="110">
        <f>SUM(AU56:INDEX(AU56:AW56,IF(AND($A$2&gt;6,$A$2&lt;10),$A$2-6,0)))</f>
        <v>349</v>
      </c>
      <c r="BD56" s="110">
        <f>SUM(AX56:INDEX(AX56:AZ56,IF($A$2&gt;9,$A$2-9,0)))</f>
        <v>0</v>
      </c>
      <c r="BE56" s="110">
        <f>SUM($AO56:INDEX(AO56:AZ56,$A$2))</f>
        <v>2389.5</v>
      </c>
      <c r="BF56" s="122">
        <f t="shared" si="225"/>
        <v>2.0148148148148146</v>
      </c>
      <c r="BG56" s="111">
        <f t="shared" si="225"/>
        <v>2.2560975609756095</v>
      </c>
      <c r="BH56" s="111">
        <f t="shared" si="225"/>
        <v>5.3555555555555552</v>
      </c>
      <c r="BI56" s="111">
        <f t="shared" si="225"/>
        <v>1.764</v>
      </c>
      <c r="BJ56" s="111">
        <f t="shared" si="225"/>
        <v>1.39453125</v>
      </c>
      <c r="BK56" s="111">
        <f t="shared" si="225"/>
        <v>0.70011534025374855</v>
      </c>
      <c r="BL56" s="111">
        <f t="shared" si="225"/>
        <v>0.87468671679197996</v>
      </c>
      <c r="BM56" s="111">
        <f t="shared" si="225"/>
        <v>0</v>
      </c>
      <c r="BN56" s="111">
        <f t="shared" si="225"/>
        <v>0</v>
      </c>
      <c r="BO56" s="111">
        <f t="shared" si="225"/>
        <v>0</v>
      </c>
      <c r="BP56" s="111">
        <f t="shared" si="225"/>
        <v>0</v>
      </c>
      <c r="BQ56" s="111">
        <f t="shared" si="225"/>
        <v>0</v>
      </c>
      <c r="BR56" s="111">
        <f>BA56/SUM(N56:INDEX(N56:P56,IF($A$2&lt;3,$A$2,3)))</f>
        <v>3.0586319218241043</v>
      </c>
      <c r="BS56" s="111">
        <f>BB56/SUM(Q56:INDEX(Q56:S56,IF($A$2&lt;7,$A$2-3,3)))</f>
        <v>1.1724321447578498</v>
      </c>
      <c r="BT56" s="111">
        <f t="shared" si="226"/>
        <v>0.26949806949806948</v>
      </c>
      <c r="BU56" s="111">
        <f t="shared" si="226"/>
        <v>0</v>
      </c>
      <c r="BV56" s="111">
        <f t="shared" si="227"/>
        <v>1.4521422060164084</v>
      </c>
    </row>
    <row r="57" spans="1:76" outlineLevel="1" x14ac:dyDescent="0.25">
      <c r="A57" t="s">
        <v>7</v>
      </c>
      <c r="B57">
        <f>'Agency North'!C57+'Agency South'!C57</f>
        <v>157</v>
      </c>
      <c r="C57">
        <f>'Agency North'!D57+'Agency South'!D57</f>
        <v>151</v>
      </c>
      <c r="D57">
        <f>'Agency North'!E57+'Agency South'!E57</f>
        <v>242</v>
      </c>
      <c r="E57">
        <f>'Agency North'!F57+'Agency South'!F57</f>
        <v>159</v>
      </c>
      <c r="F57">
        <f>'Agency North'!G57+'Agency South'!G57</f>
        <v>173.5</v>
      </c>
      <c r="G57">
        <f>'Agency North'!H57+'Agency South'!H57</f>
        <v>346.5</v>
      </c>
      <c r="H57">
        <f>'Agency North'!I57+'Agency South'!I57</f>
        <v>323</v>
      </c>
      <c r="I57">
        <f>'Agency North'!J57+'Agency South'!J57</f>
        <v>189</v>
      </c>
      <c r="J57">
        <f>'Agency North'!K57+'Agency South'!K57</f>
        <v>391</v>
      </c>
      <c r="K57">
        <f>'Agency North'!L57+'Agency South'!L57</f>
        <v>287</v>
      </c>
      <c r="L57">
        <f>'Agency North'!M57+'Agency South'!M57</f>
        <v>508</v>
      </c>
      <c r="M57">
        <f>'Agency North'!N57+'Agency South'!N57</f>
        <v>469.5</v>
      </c>
      <c r="N57">
        <f>'Agency North'!O57+'Agency South'!O57</f>
        <v>180.5</v>
      </c>
      <c r="O57">
        <f>'Agency North'!P57+'Agency South'!P57</f>
        <v>227</v>
      </c>
      <c r="P57">
        <f>'Agency North'!Q57+'Agency South'!Q57</f>
        <v>286</v>
      </c>
      <c r="Q57">
        <f>'Agency North'!R57+'Agency South'!R57</f>
        <v>128</v>
      </c>
      <c r="R57">
        <f>'Agency North'!S57+'Agency South'!S57</f>
        <v>263</v>
      </c>
      <c r="S57">
        <f>'Agency North'!T57+'Agency South'!T57</f>
        <v>426.5</v>
      </c>
      <c r="T57">
        <f>'Agency North'!U57+'Agency South'!U57</f>
        <v>320</v>
      </c>
      <c r="U57">
        <f>'Agency North'!V57+'Agency South'!V57</f>
        <v>454</v>
      </c>
      <c r="V57">
        <f>'Agency North'!W57+'Agency South'!W57</f>
        <v>608</v>
      </c>
      <c r="W57">
        <f>'Agency North'!X57+'Agency South'!X57</f>
        <v>356</v>
      </c>
      <c r="X57">
        <f>'Agency North'!Y57+'Agency South'!Y57</f>
        <v>561</v>
      </c>
      <c r="Y57">
        <f>'Agency North'!Z57+'Agency South'!Z57</f>
        <v>1024.5</v>
      </c>
      <c r="Z57" s="22">
        <f>SUM(N57:INDEX(N57:Y57,$A$2))</f>
        <v>1831</v>
      </c>
      <c r="AA57" s="22">
        <f t="shared" si="228"/>
        <v>693.5</v>
      </c>
      <c r="AB57" s="22">
        <f t="shared" si="229"/>
        <v>817.5</v>
      </c>
      <c r="AC57" s="22">
        <f t="shared" si="230"/>
        <v>1382</v>
      </c>
      <c r="AD57" s="22">
        <f t="shared" si="231"/>
        <v>1941.5</v>
      </c>
      <c r="AE57" s="22">
        <f>SUM(B57                                                                                : INDEX(B57:M57,$A$2))</f>
        <v>1552</v>
      </c>
      <c r="AF57" s="22">
        <f t="shared" si="220"/>
        <v>550</v>
      </c>
      <c r="AG57" s="22">
        <f t="shared" si="221"/>
        <v>679</v>
      </c>
      <c r="AH57" s="22">
        <f t="shared" si="232"/>
        <v>903</v>
      </c>
      <c r="AI57" s="22">
        <f t="shared" si="222"/>
        <v>1264.5</v>
      </c>
      <c r="AJ57" s="31">
        <f t="shared" si="233"/>
        <v>0.17976804123711343</v>
      </c>
      <c r="AK57" s="31">
        <f t="shared" si="223"/>
        <v>0.26090909090909098</v>
      </c>
      <c r="AL57" s="31">
        <f t="shared" si="224"/>
        <v>0.20397643593519876</v>
      </c>
      <c r="AM57" s="31">
        <f t="shared" si="224"/>
        <v>0.53045404208194902</v>
      </c>
      <c r="AN57" s="31">
        <f>AD57/SUM(K57:INDEX(K57:M57,MOD($A$2,3)))-1</f>
        <v>5.7648083623693376</v>
      </c>
      <c r="AO57" s="113">
        <f>'Agency North'!AP57+'Agency South'!AP57</f>
        <v>412.5</v>
      </c>
      <c r="AP57" s="113">
        <f>'Agency North'!AQ57+'Agency South'!AQ57</f>
        <v>625</v>
      </c>
      <c r="AQ57" s="113">
        <f>'Agency North'!AR57+'Agency South'!AR57</f>
        <v>475</v>
      </c>
      <c r="AR57" s="113">
        <f>'Agency North'!AS57+'Agency South'!AS57</f>
        <v>363</v>
      </c>
      <c r="AS57" s="113">
        <f>'Agency North'!AT57+'Agency South'!AT57</f>
        <v>453</v>
      </c>
      <c r="AT57" s="113">
        <f>'Agency North'!AU57+'Agency South'!AU57</f>
        <v>436</v>
      </c>
      <c r="AU57" s="113">
        <f>'Agency North'!AV57+'Agency South'!AV57</f>
        <v>352.5</v>
      </c>
      <c r="AV57" s="113">
        <f>'Agency North'!AW57+'Agency South'!AW57</f>
        <v>0</v>
      </c>
      <c r="AW57" s="113">
        <f>'Agency North'!AX57+'Agency South'!AX57</f>
        <v>0</v>
      </c>
      <c r="AX57" s="113">
        <f>'Agency North'!AY57+'Agency South'!AY57</f>
        <v>0</v>
      </c>
      <c r="AY57" s="113">
        <f>'Agency North'!AZ57+'Agency South'!AZ57</f>
        <v>0</v>
      </c>
      <c r="AZ57" s="113">
        <f>'Agency North'!BA57+'Agency South'!BA57</f>
        <v>0</v>
      </c>
      <c r="BA57" s="110">
        <f>SUM(AO57:INDEX(AO57:AQ57,IF($A$2&lt;3,$A$2,3)))</f>
        <v>1512.5</v>
      </c>
      <c r="BB57" s="110">
        <f>SUM(AR57:INDEX(AR57:AT57,IF(AND($A$2&gt;3,A55&lt;7),$A$2-3,0)))</f>
        <v>1252</v>
      </c>
      <c r="BC57" s="110">
        <f>SUM(AU57:INDEX(AU57:AW57,IF(AND($A$2&gt;6,$A$2&lt;10),$A$2-6,0)))</f>
        <v>352.5</v>
      </c>
      <c r="BD57" s="110">
        <f>SUM(AX57:INDEX(AX57:AZ57,IF($A$2&gt;9,$A$2-9,0)))</f>
        <v>0</v>
      </c>
      <c r="BE57" s="110">
        <f>SUM($AO57:INDEX(AO57:AZ57,$A$2))</f>
        <v>3117</v>
      </c>
      <c r="BF57" s="122">
        <f t="shared" si="225"/>
        <v>2.2853185595567869</v>
      </c>
      <c r="BG57" s="111">
        <f t="shared" si="225"/>
        <v>2.7533039647577091</v>
      </c>
      <c r="BH57" s="111">
        <f t="shared" si="225"/>
        <v>1.6608391608391608</v>
      </c>
      <c r="BI57" s="111">
        <f t="shared" si="225"/>
        <v>2.8359375</v>
      </c>
      <c r="BJ57" s="111">
        <f t="shared" si="225"/>
        <v>1.7224334600760456</v>
      </c>
      <c r="BK57" s="111">
        <f t="shared" si="225"/>
        <v>1.022274325908558</v>
      </c>
      <c r="BL57" s="111">
        <f t="shared" si="225"/>
        <v>1.1015625</v>
      </c>
      <c r="BM57" s="111">
        <f t="shared" si="225"/>
        <v>0</v>
      </c>
      <c r="BN57" s="111">
        <f t="shared" si="225"/>
        <v>0</v>
      </c>
      <c r="BO57" s="111">
        <f t="shared" si="225"/>
        <v>0</v>
      </c>
      <c r="BP57" s="111">
        <f t="shared" si="225"/>
        <v>0</v>
      </c>
      <c r="BQ57" s="111">
        <f t="shared" si="225"/>
        <v>0</v>
      </c>
      <c r="BR57" s="111">
        <f>BA57/SUM(N57:INDEX(N57:P57,IF($A$2&lt;3,$A$2,3)))</f>
        <v>2.1809661139149243</v>
      </c>
      <c r="BS57" s="111">
        <f>BB57/SUM(Q57:INDEX(Q57:S57,IF($A$2&lt;7,$A$2-3,3)))</f>
        <v>1.5314984709480122</v>
      </c>
      <c r="BT57" s="111">
        <f t="shared" si="226"/>
        <v>0.25506512301013023</v>
      </c>
      <c r="BU57" s="111">
        <f t="shared" si="226"/>
        <v>0</v>
      </c>
      <c r="BV57" s="111">
        <f t="shared" si="227"/>
        <v>1.7023484434735117</v>
      </c>
    </row>
    <row r="58" spans="1:76" outlineLevel="1" x14ac:dyDescent="0.25">
      <c r="A58" t="s">
        <v>8</v>
      </c>
      <c r="B58">
        <f>'Agency North'!C58+'Agency South'!C58</f>
        <v>90</v>
      </c>
      <c r="C58">
        <f>'Agency North'!D58+'Agency South'!D58</f>
        <v>77</v>
      </c>
      <c r="D58">
        <f>'Agency North'!E58+'Agency South'!E58</f>
        <v>160</v>
      </c>
      <c r="E58">
        <f>'Agency North'!F58+'Agency South'!F58</f>
        <v>209</v>
      </c>
      <c r="F58">
        <f>'Agency North'!G58+'Agency South'!G58</f>
        <v>226</v>
      </c>
      <c r="G58">
        <f>'Agency North'!H58+'Agency South'!H58</f>
        <v>177</v>
      </c>
      <c r="H58">
        <f>'Agency North'!I58+'Agency South'!I58</f>
        <v>168</v>
      </c>
      <c r="I58">
        <f>'Agency North'!J58+'Agency South'!J58</f>
        <v>178</v>
      </c>
      <c r="J58">
        <f>'Agency North'!K58+'Agency South'!K58</f>
        <v>323</v>
      </c>
      <c r="K58">
        <f>'Agency North'!L58+'Agency South'!L58</f>
        <v>235</v>
      </c>
      <c r="L58">
        <f>'Agency North'!M58+'Agency South'!M58</f>
        <v>389</v>
      </c>
      <c r="M58">
        <f>'Agency North'!N58+'Agency South'!N58</f>
        <v>406</v>
      </c>
      <c r="N58">
        <f>'Agency North'!O58+'Agency South'!O58</f>
        <v>150.5</v>
      </c>
      <c r="O58">
        <f>'Agency North'!P58+'Agency South'!P58</f>
        <v>144</v>
      </c>
      <c r="P58">
        <f>'Agency North'!Q58+'Agency South'!Q58</f>
        <v>396</v>
      </c>
      <c r="Q58">
        <f>'Agency North'!R58+'Agency South'!R58</f>
        <v>269</v>
      </c>
      <c r="R58">
        <f>'Agency North'!S58+'Agency South'!S58</f>
        <v>183</v>
      </c>
      <c r="S58">
        <f>'Agency North'!T58+'Agency South'!T58</f>
        <v>172</v>
      </c>
      <c r="T58">
        <f>'Agency North'!U58+'Agency South'!U58</f>
        <v>165</v>
      </c>
      <c r="U58">
        <f>'Agency North'!V58+'Agency South'!V58</f>
        <v>226</v>
      </c>
      <c r="V58">
        <f>'Agency North'!W58+'Agency South'!W58</f>
        <v>328.5</v>
      </c>
      <c r="W58">
        <f>'Agency North'!X58+'Agency South'!X58</f>
        <v>327.5</v>
      </c>
      <c r="X58">
        <f>'Agency North'!Y58+'Agency South'!Y58</f>
        <v>312.5</v>
      </c>
      <c r="Y58">
        <f>'Agency North'!Z58+'Agency South'!Z58</f>
        <v>570.5</v>
      </c>
      <c r="Z58" s="22">
        <f>SUM(N58:INDEX(N58:Y58,$A$2))</f>
        <v>1479.5</v>
      </c>
      <c r="AA58" s="22">
        <f t="shared" si="228"/>
        <v>690.5</v>
      </c>
      <c r="AB58" s="22">
        <f t="shared" si="229"/>
        <v>624</v>
      </c>
      <c r="AC58" s="22">
        <f t="shared" si="230"/>
        <v>719.5</v>
      </c>
      <c r="AD58" s="22">
        <f t="shared" si="231"/>
        <v>1210.5</v>
      </c>
      <c r="AE58" s="22">
        <f>SUM(B58                                                                                : INDEX(B58:M58,$A$2))</f>
        <v>1107</v>
      </c>
      <c r="AF58" s="22">
        <f t="shared" si="220"/>
        <v>327</v>
      </c>
      <c r="AG58" s="22">
        <f t="shared" si="221"/>
        <v>612</v>
      </c>
      <c r="AH58" s="22">
        <f t="shared" si="232"/>
        <v>669</v>
      </c>
      <c r="AI58" s="22">
        <f t="shared" si="222"/>
        <v>1030</v>
      </c>
      <c r="AJ58" s="31">
        <f t="shared" si="233"/>
        <v>0.3364950316169828</v>
      </c>
      <c r="AK58" s="31">
        <f t="shared" si="223"/>
        <v>1.1116207951070338</v>
      </c>
      <c r="AL58" s="31">
        <f t="shared" si="224"/>
        <v>1.9607843137254832E-2</v>
      </c>
      <c r="AM58" s="31">
        <f t="shared" si="224"/>
        <v>7.5485799701046297E-2</v>
      </c>
      <c r="AN58" s="31">
        <f>AD58/SUM(K58:INDEX(K58:M58,MOD($A$2,3)))-1</f>
        <v>4.1510638297872342</v>
      </c>
      <c r="AO58" s="113">
        <f>'Agency North'!AP58+'Agency South'!AP58</f>
        <v>186.5</v>
      </c>
      <c r="AP58" s="113">
        <f>'Agency North'!AQ58+'Agency South'!AQ58</f>
        <v>390</v>
      </c>
      <c r="AQ58" s="113">
        <f>'Agency North'!AR58+'Agency South'!AR58</f>
        <v>631.5</v>
      </c>
      <c r="AR58" s="113">
        <f>'Agency North'!AS58+'Agency South'!AS58</f>
        <v>503.5</v>
      </c>
      <c r="AS58" s="113">
        <f>'Agency North'!AT58+'Agency South'!AT58</f>
        <v>306</v>
      </c>
      <c r="AT58" s="113">
        <f>'Agency North'!AU58+'Agency South'!AU58</f>
        <v>358</v>
      </c>
      <c r="AU58" s="113">
        <f>'Agency North'!AV58+'Agency South'!AV58</f>
        <v>275</v>
      </c>
      <c r="AV58" s="113">
        <f>'Agency North'!AW58+'Agency South'!AW58</f>
        <v>0</v>
      </c>
      <c r="AW58" s="113">
        <f>'Agency North'!AX58+'Agency South'!AX58</f>
        <v>0</v>
      </c>
      <c r="AX58" s="113">
        <f>'Agency North'!AY58+'Agency South'!AY58</f>
        <v>0</v>
      </c>
      <c r="AY58" s="113">
        <f>'Agency North'!AZ58+'Agency South'!AZ58</f>
        <v>0</v>
      </c>
      <c r="AZ58" s="113">
        <f>'Agency North'!BA58+'Agency South'!BA58</f>
        <v>0</v>
      </c>
      <c r="BA58" s="110">
        <f>SUM(AO58:INDEX(AO58:AQ58,IF($A$2&lt;3,$A$2,3)))</f>
        <v>1208</v>
      </c>
      <c r="BB58" s="110">
        <f>SUM(AR58:INDEX(AR58:AT58,IF(AND($A$2&gt;3,A56&lt;7),$A$2-3,0)))</f>
        <v>1167.5</v>
      </c>
      <c r="BC58" s="110">
        <f>SUM(AU58:INDEX(AU58:AW58,IF(AND($A$2&gt;6,$A$2&lt;10),$A$2-6,0)))</f>
        <v>275</v>
      </c>
      <c r="BD58" s="110">
        <f>SUM(AX58:INDEX(AX58:AZ58,IF($A$2&gt;9,$A$2-9,0)))</f>
        <v>0</v>
      </c>
      <c r="BE58" s="110">
        <f>SUM($AO58:INDEX(AO58:AZ58,$A$2))</f>
        <v>2650.5</v>
      </c>
      <c r="BF58" s="122">
        <f t="shared" si="225"/>
        <v>1.239202657807309</v>
      </c>
      <c r="BG58" s="111">
        <f t="shared" si="225"/>
        <v>2.7083333333333335</v>
      </c>
      <c r="BH58" s="111">
        <f t="shared" si="225"/>
        <v>1.5946969696969697</v>
      </c>
      <c r="BI58" s="111">
        <f t="shared" si="225"/>
        <v>1.8717472118959109</v>
      </c>
      <c r="BJ58" s="111">
        <f t="shared" si="225"/>
        <v>1.6721311475409837</v>
      </c>
      <c r="BK58" s="111">
        <f t="shared" si="225"/>
        <v>2.0813953488372094</v>
      </c>
      <c r="BL58" s="111">
        <f t="shared" si="225"/>
        <v>1.6666666666666667</v>
      </c>
      <c r="BM58" s="111">
        <f t="shared" si="225"/>
        <v>0</v>
      </c>
      <c r="BN58" s="111">
        <f t="shared" si="225"/>
        <v>0</v>
      </c>
      <c r="BO58" s="111">
        <f t="shared" si="225"/>
        <v>0</v>
      </c>
      <c r="BP58" s="111">
        <f t="shared" si="225"/>
        <v>0</v>
      </c>
      <c r="BQ58" s="111">
        <f t="shared" si="225"/>
        <v>0</v>
      </c>
      <c r="BR58" s="111">
        <f>BA58/SUM(N58:INDEX(N58:P58,IF($A$2&lt;3,$A$2,3)))</f>
        <v>1.7494569152787836</v>
      </c>
      <c r="BS58" s="111">
        <f>BB58/SUM(Q58:INDEX(Q58:S58,IF($A$2&lt;7,$A$2-3,3)))</f>
        <v>1.8709935897435896</v>
      </c>
      <c r="BT58" s="111">
        <f t="shared" si="226"/>
        <v>0.3822098679638638</v>
      </c>
      <c r="BU58" s="111">
        <f t="shared" si="226"/>
        <v>0</v>
      </c>
      <c r="BV58" s="111">
        <f t="shared" si="227"/>
        <v>1.7914836093274755</v>
      </c>
    </row>
    <row r="59" spans="1:76" outlineLevel="1" x14ac:dyDescent="0.25">
      <c r="A59" t="s">
        <v>1</v>
      </c>
      <c r="B59">
        <f>'Agency North'!C59+'Agency South'!C59</f>
        <v>63</v>
      </c>
      <c r="C59">
        <f>'Agency North'!D59+'Agency South'!D59</f>
        <v>70</v>
      </c>
      <c r="D59">
        <f>'Agency North'!E59+'Agency South'!E59</f>
        <v>101</v>
      </c>
      <c r="E59">
        <f>'Agency North'!F59+'Agency South'!F59</f>
        <v>154</v>
      </c>
      <c r="F59">
        <f>'Agency North'!G59+'Agency South'!G59</f>
        <v>169</v>
      </c>
      <c r="G59">
        <f>'Agency North'!H59+'Agency South'!H59</f>
        <v>172.5</v>
      </c>
      <c r="H59">
        <f>'Agency North'!I59+'Agency South'!I59</f>
        <v>204</v>
      </c>
      <c r="I59">
        <f>'Agency North'!J59+'Agency South'!J59</f>
        <v>152</v>
      </c>
      <c r="J59">
        <f>'Agency North'!K59+'Agency South'!K59</f>
        <v>302</v>
      </c>
      <c r="K59">
        <f>'Agency North'!L59+'Agency South'!L59</f>
        <v>231</v>
      </c>
      <c r="L59">
        <f>'Agency North'!M59+'Agency South'!M59</f>
        <v>455</v>
      </c>
      <c r="M59">
        <f>'Agency North'!N59+'Agency South'!N59</f>
        <v>450</v>
      </c>
      <c r="N59">
        <f>'Agency North'!O59+'Agency South'!O59</f>
        <v>116</v>
      </c>
      <c r="O59">
        <f>'Agency North'!P59+'Agency South'!P59</f>
        <v>139</v>
      </c>
      <c r="P59">
        <f>'Agency North'!Q59+'Agency South'!Q59</f>
        <v>298</v>
      </c>
      <c r="Q59">
        <f>'Agency North'!R59+'Agency South'!R59</f>
        <v>217</v>
      </c>
      <c r="R59">
        <f>'Agency North'!S59+'Agency South'!S59</f>
        <v>266</v>
      </c>
      <c r="S59">
        <f>'Agency North'!T59+'Agency South'!T59</f>
        <v>396</v>
      </c>
      <c r="T59">
        <f>'Agency North'!U59+'Agency South'!U59</f>
        <v>225</v>
      </c>
      <c r="U59">
        <f>'Agency North'!V59+'Agency South'!V59</f>
        <v>206.5</v>
      </c>
      <c r="V59">
        <f>'Agency North'!W59+'Agency South'!W59</f>
        <v>265</v>
      </c>
      <c r="W59">
        <f>'Agency North'!X59+'Agency South'!X59</f>
        <v>191</v>
      </c>
      <c r="X59">
        <f>'Agency North'!Y59+'Agency South'!Y59</f>
        <v>329</v>
      </c>
      <c r="Y59">
        <f>'Agency North'!Z59+'Agency South'!Z59</f>
        <v>581.5</v>
      </c>
      <c r="Z59" s="22">
        <f>SUM(N59:INDEX(N59:Y59,$A$2))</f>
        <v>1657</v>
      </c>
      <c r="AA59" s="22">
        <f t="shared" si="228"/>
        <v>553</v>
      </c>
      <c r="AB59" s="22">
        <f t="shared" si="229"/>
        <v>879</v>
      </c>
      <c r="AC59" s="22">
        <f t="shared" si="230"/>
        <v>696.5</v>
      </c>
      <c r="AD59" s="22">
        <f t="shared" si="231"/>
        <v>1101.5</v>
      </c>
      <c r="AE59" s="22">
        <f>SUM(B59                                                                                : INDEX(B59:M59,$A$2))</f>
        <v>933.5</v>
      </c>
      <c r="AF59" s="22">
        <f t="shared" si="220"/>
        <v>234</v>
      </c>
      <c r="AG59" s="22">
        <f t="shared" si="221"/>
        <v>495.5</v>
      </c>
      <c r="AH59" s="22">
        <f t="shared" si="232"/>
        <v>658</v>
      </c>
      <c r="AI59" s="22">
        <f t="shared" si="222"/>
        <v>1136</v>
      </c>
      <c r="AJ59" s="31">
        <f t="shared" si="233"/>
        <v>0.77504017139796466</v>
      </c>
      <c r="AK59" s="31">
        <f t="shared" si="223"/>
        <v>1.3632478632478633</v>
      </c>
      <c r="AL59" s="31">
        <f t="shared" si="224"/>
        <v>0.77396569122098891</v>
      </c>
      <c r="AM59" s="31">
        <f t="shared" si="224"/>
        <v>5.8510638297872397E-2</v>
      </c>
      <c r="AN59" s="31">
        <f>AD59/SUM(K59:INDEX(K59:M59,MOD($A$2,3)))-1</f>
        <v>3.7683982683982684</v>
      </c>
      <c r="AO59" s="113">
        <f>'Agency North'!AP59+'Agency South'!AP59</f>
        <v>75</v>
      </c>
      <c r="AP59" s="113">
        <f>'Agency North'!AQ59+'Agency South'!AQ59</f>
        <v>125</v>
      </c>
      <c r="AQ59" s="113">
        <f>'Agency North'!AR59+'Agency South'!AR59</f>
        <v>228.5</v>
      </c>
      <c r="AR59" s="113">
        <f>'Agency North'!AS59+'Agency South'!AS59</f>
        <v>287</v>
      </c>
      <c r="AS59" s="113">
        <f>'Agency North'!AT59+'Agency South'!AT59</f>
        <v>960</v>
      </c>
      <c r="AT59" s="113">
        <f>'Agency North'!AU59+'Agency South'!AU59</f>
        <v>368.5</v>
      </c>
      <c r="AU59" s="113">
        <f>'Agency North'!AV59+'Agency South'!AV59</f>
        <v>322.5</v>
      </c>
      <c r="AV59" s="113">
        <f>'Agency North'!AW59+'Agency South'!AW59</f>
        <v>0</v>
      </c>
      <c r="AW59" s="113">
        <f>'Agency North'!AX59+'Agency South'!AX59</f>
        <v>0</v>
      </c>
      <c r="AX59" s="113">
        <f>'Agency North'!AY59+'Agency South'!AY59</f>
        <v>0</v>
      </c>
      <c r="AY59" s="113">
        <f>'Agency North'!AZ59+'Agency South'!AZ59</f>
        <v>0</v>
      </c>
      <c r="AZ59" s="113">
        <f>'Agency North'!BA59+'Agency South'!BA59</f>
        <v>0</v>
      </c>
      <c r="BA59" s="110">
        <f>SUM(AO59:INDEX(AO59:AQ59,IF($A$2&lt;3,$A$2,3)))</f>
        <v>428.5</v>
      </c>
      <c r="BB59" s="110">
        <f>SUM(AR59:INDEX(AR59:AT59,IF(AND($A$2&gt;3,A57&lt;7),$A$2-3,0)))</f>
        <v>1615.5</v>
      </c>
      <c r="BC59" s="110">
        <f>SUM(AU59:INDEX(AU59:AW59,IF(AND($A$2&gt;6,$A$2&lt;10),$A$2-6,0)))</f>
        <v>322.5</v>
      </c>
      <c r="BD59" s="110">
        <f>SUM(AX59:INDEX(AX59:AZ59,IF($A$2&gt;9,$A$2-9,0)))</f>
        <v>0</v>
      </c>
      <c r="BE59" s="110">
        <f>SUM($AO59:INDEX(AO59:AZ59,$A$2))</f>
        <v>2366.5</v>
      </c>
      <c r="BF59" s="122">
        <f t="shared" si="225"/>
        <v>0.64655172413793105</v>
      </c>
      <c r="BG59" s="111">
        <f t="shared" si="225"/>
        <v>0.89928057553956831</v>
      </c>
      <c r="BH59" s="111">
        <f t="shared" si="225"/>
        <v>0.76677852348993292</v>
      </c>
      <c r="BI59" s="111">
        <f t="shared" si="225"/>
        <v>1.3225806451612903</v>
      </c>
      <c r="BJ59" s="111">
        <f t="shared" si="225"/>
        <v>3.6090225563909772</v>
      </c>
      <c r="BK59" s="111">
        <f t="shared" si="225"/>
        <v>0.93055555555555558</v>
      </c>
      <c r="BL59" s="111">
        <f t="shared" si="225"/>
        <v>1.4333333333333333</v>
      </c>
      <c r="BM59" s="111">
        <f t="shared" si="225"/>
        <v>0</v>
      </c>
      <c r="BN59" s="111">
        <f t="shared" si="225"/>
        <v>0</v>
      </c>
      <c r="BO59" s="111">
        <f t="shared" si="225"/>
        <v>0</v>
      </c>
      <c r="BP59" s="111">
        <f t="shared" si="225"/>
        <v>0</v>
      </c>
      <c r="BQ59" s="111">
        <f t="shared" si="225"/>
        <v>0</v>
      </c>
      <c r="BR59" s="111">
        <f>BA59/SUM(N59:INDEX(N59:P59,IF($A$2&lt;3,$A$2,3)))</f>
        <v>0.77486437613019887</v>
      </c>
      <c r="BS59" s="111">
        <f>BB59/SUM(Q59:INDEX(Q59:S59,IF($A$2&lt;7,$A$2-3,3)))</f>
        <v>1.8378839590443685</v>
      </c>
      <c r="BT59" s="111">
        <f t="shared" si="226"/>
        <v>0.46302943287867909</v>
      </c>
      <c r="BU59" s="111">
        <f t="shared" si="226"/>
        <v>0</v>
      </c>
      <c r="BV59" s="111">
        <f t="shared" si="227"/>
        <v>1.4281834640917321</v>
      </c>
    </row>
    <row r="60" spans="1:76" outlineLevel="1" x14ac:dyDescent="0.25">
      <c r="A60" t="s">
        <v>2</v>
      </c>
      <c r="B60">
        <f>'Agency North'!C60+'Agency South'!C60</f>
        <v>26</v>
      </c>
      <c r="C60">
        <f>'Agency North'!D60+'Agency South'!D60</f>
        <v>20</v>
      </c>
      <c r="D60">
        <f>'Agency North'!E60+'Agency South'!E60</f>
        <v>26</v>
      </c>
      <c r="E60">
        <f>'Agency North'!F60+'Agency South'!F60</f>
        <v>21</v>
      </c>
      <c r="F60">
        <f>'Agency North'!G60+'Agency South'!G60</f>
        <v>43</v>
      </c>
      <c r="G60">
        <f>'Agency North'!H60+'Agency South'!H60</f>
        <v>48.5</v>
      </c>
      <c r="H60">
        <f>'Agency North'!I60+'Agency South'!I60</f>
        <v>53</v>
      </c>
      <c r="I60">
        <f>'Agency North'!J60+'Agency South'!J60</f>
        <v>60.5</v>
      </c>
      <c r="J60">
        <f>'Agency North'!K60+'Agency South'!K60</f>
        <v>140</v>
      </c>
      <c r="K60">
        <f>'Agency North'!L60+'Agency South'!L60</f>
        <v>89.5</v>
      </c>
      <c r="L60">
        <f>'Agency North'!M60+'Agency South'!M60</f>
        <v>250</v>
      </c>
      <c r="M60">
        <f>'Agency North'!N60+'Agency South'!N60</f>
        <v>281.5</v>
      </c>
      <c r="N60">
        <f>'Agency North'!O60+'Agency South'!O60</f>
        <v>89</v>
      </c>
      <c r="O60">
        <f>'Agency North'!P60+'Agency South'!P60</f>
        <v>76</v>
      </c>
      <c r="P60">
        <f>'Agency North'!Q60+'Agency South'!Q60</f>
        <v>184</v>
      </c>
      <c r="Q60">
        <f>'Agency North'!R60+'Agency South'!R60</f>
        <v>113</v>
      </c>
      <c r="R60">
        <f>'Agency North'!S60+'Agency South'!S60</f>
        <v>143</v>
      </c>
      <c r="S60">
        <f>'Agency North'!T60+'Agency South'!T60</f>
        <v>271</v>
      </c>
      <c r="T60">
        <f>'Agency North'!U60+'Agency South'!U60</f>
        <v>157</v>
      </c>
      <c r="U60">
        <f>'Agency North'!V60+'Agency South'!V60</f>
        <v>186</v>
      </c>
      <c r="V60">
        <f>'Agency North'!W60+'Agency South'!W60</f>
        <v>286.5</v>
      </c>
      <c r="W60">
        <f>'Agency North'!X60+'Agency South'!X60</f>
        <v>234.5</v>
      </c>
      <c r="X60">
        <f>'Agency North'!Y60+'Agency South'!Y60</f>
        <v>304.5</v>
      </c>
      <c r="Y60">
        <f>'Agency North'!Z60+'Agency South'!Z60</f>
        <v>601.5</v>
      </c>
      <c r="Z60" s="22">
        <f>SUM(N60:INDEX(N60:Y60,$A$2))</f>
        <v>1033</v>
      </c>
      <c r="AA60" s="22">
        <f t="shared" si="228"/>
        <v>349</v>
      </c>
      <c r="AB60" s="22">
        <f t="shared" si="229"/>
        <v>527</v>
      </c>
      <c r="AC60" s="22">
        <f t="shared" si="230"/>
        <v>629.5</v>
      </c>
      <c r="AD60" s="22">
        <f t="shared" si="231"/>
        <v>1140.5</v>
      </c>
      <c r="AE60" s="22">
        <f>SUM(B60                                                                                : INDEX(B60:M60,$A$2))</f>
        <v>237.5</v>
      </c>
      <c r="AF60" s="22">
        <f t="shared" si="220"/>
        <v>72</v>
      </c>
      <c r="AG60" s="22">
        <f t="shared" si="221"/>
        <v>112.5</v>
      </c>
      <c r="AH60" s="22">
        <f t="shared" si="232"/>
        <v>253.5</v>
      </c>
      <c r="AI60" s="22">
        <f t="shared" si="222"/>
        <v>621</v>
      </c>
      <c r="AJ60" s="31">
        <f t="shared" si="233"/>
        <v>3.3494736842105262</v>
      </c>
      <c r="AK60" s="31">
        <f t="shared" si="223"/>
        <v>3.8472222222222223</v>
      </c>
      <c r="AL60" s="31">
        <f t="shared" si="224"/>
        <v>3.6844444444444449</v>
      </c>
      <c r="AM60" s="31">
        <f t="shared" si="224"/>
        <v>1.4832347140039448</v>
      </c>
      <c r="AN60" s="31">
        <f>AD60/SUM(K60:INDEX(K60:M60,MOD($A$2,3)))-1</f>
        <v>11.743016759776536</v>
      </c>
      <c r="AO60" s="113">
        <f>'Agency North'!AP60+'Agency South'!AP60</f>
        <v>147</v>
      </c>
      <c r="AP60" s="113">
        <f>'Agency North'!AQ60+'Agency South'!AQ60</f>
        <v>167.5</v>
      </c>
      <c r="AQ60" s="113">
        <f>'Agency North'!AR60+'Agency South'!AR60</f>
        <v>229.5</v>
      </c>
      <c r="AR60" s="113">
        <f>'Agency North'!AS60+'Agency South'!AS60</f>
        <v>260</v>
      </c>
      <c r="AS60" s="113">
        <f>'Agency North'!AT60+'Agency South'!AT60</f>
        <v>216.5</v>
      </c>
      <c r="AT60" s="113">
        <f>'Agency North'!AU60+'Agency South'!AU60</f>
        <v>216.5</v>
      </c>
      <c r="AU60" s="113">
        <f>'Agency North'!AV60+'Agency South'!AV60</f>
        <v>213</v>
      </c>
      <c r="AV60" s="113">
        <f>'Agency North'!AW60+'Agency South'!AW60</f>
        <v>0</v>
      </c>
      <c r="AW60" s="113">
        <f>'Agency North'!AX60+'Agency South'!AX60</f>
        <v>0</v>
      </c>
      <c r="AX60" s="113">
        <f>'Agency North'!AY60+'Agency South'!AY60</f>
        <v>0</v>
      </c>
      <c r="AY60" s="113">
        <f>'Agency North'!AZ60+'Agency South'!AZ60</f>
        <v>0</v>
      </c>
      <c r="AZ60" s="113">
        <f>'Agency North'!BA60+'Agency South'!BA60</f>
        <v>0</v>
      </c>
      <c r="BA60" s="110">
        <f>SUM(AO60:INDEX(AO60:AQ60,IF($A$2&lt;3,$A$2,3)))</f>
        <v>544</v>
      </c>
      <c r="BB60" s="110">
        <f>SUM(AR60:INDEX(AR60:AT60,IF(AND($A$2&gt;3,A58&lt;7),$A$2-3,0)))</f>
        <v>693</v>
      </c>
      <c r="BC60" s="110">
        <f>SUM(AU60:INDEX(AU60:AW60,IF(AND($A$2&gt;6,$A$2&lt;10),$A$2-6,0)))</f>
        <v>213</v>
      </c>
      <c r="BD60" s="110">
        <f>SUM(AX60:INDEX(AX60:AZ60,IF($A$2&gt;9,$A$2-9,0)))</f>
        <v>0</v>
      </c>
      <c r="BE60" s="110">
        <f>SUM($AO60:INDEX(AO60:AZ60,$A$2))</f>
        <v>1450</v>
      </c>
      <c r="BF60" s="122">
        <f t="shared" si="225"/>
        <v>1.651685393258427</v>
      </c>
      <c r="BG60" s="111">
        <f t="shared" si="225"/>
        <v>2.2039473684210527</v>
      </c>
      <c r="BH60" s="111">
        <f t="shared" si="225"/>
        <v>1.2472826086956521</v>
      </c>
      <c r="BI60" s="111">
        <f t="shared" si="225"/>
        <v>2.3008849557522124</v>
      </c>
      <c r="BJ60" s="111">
        <f t="shared" si="225"/>
        <v>1.513986013986014</v>
      </c>
      <c r="BK60" s="111">
        <f t="shared" si="225"/>
        <v>0.79889298892988925</v>
      </c>
      <c r="BL60" s="111">
        <f t="shared" si="225"/>
        <v>1.3566878980891719</v>
      </c>
      <c r="BM60" s="111">
        <f t="shared" si="225"/>
        <v>0</v>
      </c>
      <c r="BN60" s="111">
        <f t="shared" si="225"/>
        <v>0</v>
      </c>
      <c r="BO60" s="111">
        <f t="shared" si="225"/>
        <v>0</v>
      </c>
      <c r="BP60" s="111">
        <f t="shared" si="225"/>
        <v>0</v>
      </c>
      <c r="BQ60" s="111">
        <f t="shared" si="225"/>
        <v>0</v>
      </c>
      <c r="BR60" s="111">
        <f>BA60/SUM(N60:INDEX(N60:P60,IF($A$2&lt;3,$A$2,3)))</f>
        <v>1.5587392550143266</v>
      </c>
      <c r="BS60" s="111">
        <f>BB60/SUM(Q60:INDEX(Q60:S60,IF($A$2&lt;7,$A$2-3,3)))</f>
        <v>1.3149905123339658</v>
      </c>
      <c r="BT60" s="111">
        <f t="shared" si="226"/>
        <v>0.33836378077839557</v>
      </c>
      <c r="BU60" s="111">
        <f t="shared" si="226"/>
        <v>0</v>
      </c>
      <c r="BV60" s="111">
        <f t="shared" si="227"/>
        <v>1.4036786060019362</v>
      </c>
    </row>
    <row r="61" spans="1:76" outlineLevel="1" x14ac:dyDescent="0.25">
      <c r="A61" s="135" t="s">
        <v>136</v>
      </c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31"/>
      <c r="AK61" s="31"/>
      <c r="AL61" s="31"/>
      <c r="AM61" s="31"/>
      <c r="AN61" s="31"/>
      <c r="AO61" s="113"/>
      <c r="AP61" s="113">
        <f>'Agency North'!AQ61+'Agency South'!AQ61</f>
        <v>117.5</v>
      </c>
      <c r="AQ61" s="113">
        <f>'Agency North'!AR61+'Agency South'!AR61</f>
        <v>103.5</v>
      </c>
      <c r="AR61" s="113">
        <f>'Agency North'!AS61+'Agency South'!AS61</f>
        <v>215.5</v>
      </c>
      <c r="AS61" s="113">
        <f>'Agency North'!AT61+'Agency South'!AT61</f>
        <v>86</v>
      </c>
      <c r="AT61" s="113">
        <f>'Agency North'!AU61+'Agency South'!AU61</f>
        <v>62</v>
      </c>
      <c r="AU61" s="113">
        <f>'Agency North'!AV61+'Agency South'!AV61</f>
        <v>74</v>
      </c>
      <c r="AV61" s="113"/>
      <c r="AW61" s="113"/>
      <c r="AX61" s="113"/>
      <c r="AY61" s="113"/>
      <c r="AZ61" s="113"/>
      <c r="BA61" s="110">
        <f>SUM(AO61:INDEX(AO61:AQ61,IF($A$2&lt;3,$A$2,3)))</f>
        <v>221</v>
      </c>
      <c r="BB61" s="110">
        <f>SUM(AR61:INDEX(AR61:AT61,IF(AND($A$2&gt;3,A59&lt;7),$A$2-3,0)))</f>
        <v>363.5</v>
      </c>
      <c r="BC61" s="110"/>
      <c r="BD61" s="110"/>
      <c r="BE61" s="110">
        <f>SUM($AO61:INDEX(AO61:AZ61,$A$2))</f>
        <v>658.5</v>
      </c>
      <c r="BF61" s="122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</row>
    <row r="62" spans="1:76" s="17" customFormat="1" x14ac:dyDescent="0.25">
      <c r="A62" s="1" t="s">
        <v>3</v>
      </c>
      <c r="B62" s="1">
        <f>SUM(B54:B60)</f>
        <v>715</v>
      </c>
      <c r="C62" s="1">
        <f t="shared" ref="C62:Y62" si="234">SUM(C54:C60)</f>
        <v>599</v>
      </c>
      <c r="D62" s="1">
        <f t="shared" si="234"/>
        <v>1001</v>
      </c>
      <c r="E62" s="1">
        <f t="shared" si="234"/>
        <v>1150</v>
      </c>
      <c r="F62" s="1">
        <f t="shared" si="234"/>
        <v>1163</v>
      </c>
      <c r="G62" s="1">
        <f t="shared" si="234"/>
        <v>1384</v>
      </c>
      <c r="H62" s="1">
        <f t="shared" si="234"/>
        <v>1511</v>
      </c>
      <c r="I62" s="1">
        <f t="shared" si="234"/>
        <v>1076</v>
      </c>
      <c r="J62" s="1">
        <f t="shared" si="234"/>
        <v>2055</v>
      </c>
      <c r="K62" s="1">
        <f t="shared" si="234"/>
        <v>1575</v>
      </c>
      <c r="L62" s="1">
        <f t="shared" si="234"/>
        <v>2642</v>
      </c>
      <c r="M62" s="1">
        <f t="shared" si="234"/>
        <v>3037</v>
      </c>
      <c r="N62" s="7">
        <f t="shared" si="234"/>
        <v>817</v>
      </c>
      <c r="O62" s="7">
        <f t="shared" si="234"/>
        <v>817</v>
      </c>
      <c r="P62" s="7">
        <f t="shared" si="234"/>
        <v>1954</v>
      </c>
      <c r="Q62" s="7">
        <f t="shared" si="234"/>
        <v>1505</v>
      </c>
      <c r="R62" s="7">
        <f t="shared" si="234"/>
        <v>1629</v>
      </c>
      <c r="S62" s="7">
        <f t="shared" si="234"/>
        <v>2788</v>
      </c>
      <c r="T62" s="7">
        <f t="shared" si="234"/>
        <v>1879</v>
      </c>
      <c r="U62" s="7">
        <f t="shared" si="234"/>
        <v>2092</v>
      </c>
      <c r="V62" s="7">
        <f t="shared" si="234"/>
        <v>3147</v>
      </c>
      <c r="W62" s="7">
        <f t="shared" si="234"/>
        <v>2298</v>
      </c>
      <c r="X62" s="7">
        <f t="shared" si="234"/>
        <v>2918</v>
      </c>
      <c r="Y62" s="7">
        <f t="shared" si="234"/>
        <v>5103</v>
      </c>
      <c r="Z62" s="7">
        <f>SUM(N62:INDEX(N62:Y62,$A$2))</f>
        <v>11389</v>
      </c>
      <c r="AA62" s="7">
        <f t="shared" ref="AA62" si="235">SUM(AA54:AA60)</f>
        <v>3588</v>
      </c>
      <c r="AB62" s="7">
        <f t="shared" ref="AB62" si="236">SUM(AB54:AB60)</f>
        <v>5922</v>
      </c>
      <c r="AC62" s="7">
        <f t="shared" ref="AC62" si="237">SUM(AC54:AC60)</f>
        <v>7118</v>
      </c>
      <c r="AD62" s="7">
        <f t="shared" ref="AD62" si="238">SUM(AD54:AD60)</f>
        <v>10319</v>
      </c>
      <c r="AE62" s="7">
        <f t="shared" ref="AE62:AI62" si="239">SUM(AE54:AE60)</f>
        <v>7523</v>
      </c>
      <c r="AF62" s="7">
        <f t="shared" si="239"/>
        <v>2315</v>
      </c>
      <c r="AG62" s="7">
        <f t="shared" si="239"/>
        <v>3697</v>
      </c>
      <c r="AH62" s="7">
        <f t="shared" si="239"/>
        <v>4642</v>
      </c>
      <c r="AI62" s="7">
        <f t="shared" si="239"/>
        <v>7254</v>
      </c>
      <c r="AJ62" s="32">
        <f t="shared" si="233"/>
        <v>0.51389073507909089</v>
      </c>
      <c r="AK62" s="32">
        <f t="shared" si="223"/>
        <v>0.54989200863930887</v>
      </c>
      <c r="AL62" s="32">
        <f t="shared" si="224"/>
        <v>0.60183932918582639</v>
      </c>
      <c r="AM62" s="32">
        <f t="shared" si="224"/>
        <v>0.53339077983627736</v>
      </c>
      <c r="AN62" s="31">
        <f>AD62/SUM(K62:INDEX(K62:M62,MOD($A$2,3)))-1</f>
        <v>5.5517460317460321</v>
      </c>
      <c r="AO62" s="114">
        <f t="shared" ref="AO62:AZ62" si="240">SUM(AO54:AO60)</f>
        <v>1602</v>
      </c>
      <c r="AP62" s="114">
        <f>SUM(AP54:AP61)</f>
        <v>2323</v>
      </c>
      <c r="AQ62" s="114">
        <f>SUM(AQ54:AQ61)</f>
        <v>3523</v>
      </c>
      <c r="AR62" s="114">
        <f>SUM(AR54:AR61)</f>
        <v>3134</v>
      </c>
      <c r="AS62" s="114">
        <f t="shared" si="240"/>
        <v>3322</v>
      </c>
      <c r="AT62" s="114">
        <f t="shared" si="240"/>
        <v>3463</v>
      </c>
      <c r="AU62" s="114">
        <f t="shared" si="240"/>
        <v>2594</v>
      </c>
      <c r="AV62" s="114">
        <f t="shared" ref="AV62" si="241">SUM(AV54:AV60)</f>
        <v>0</v>
      </c>
      <c r="AW62" s="114">
        <f t="shared" si="240"/>
        <v>0</v>
      </c>
      <c r="AX62" s="114">
        <f t="shared" si="240"/>
        <v>0</v>
      </c>
      <c r="AY62" s="114">
        <f t="shared" si="240"/>
        <v>0</v>
      </c>
      <c r="AZ62" s="114">
        <f t="shared" si="240"/>
        <v>0</v>
      </c>
      <c r="BA62" s="116">
        <f>SUM(AO62:INDEX(AO62:AQ62,IF($A$2&lt;3,$A$2,3)))</f>
        <v>7448</v>
      </c>
      <c r="BB62" s="116">
        <f>SUM(AR62:INDEX(AR62:AT62,IF(AND($A$2&gt;3,A59&lt;7),$A$2-3,0)))</f>
        <v>9919</v>
      </c>
      <c r="BC62" s="116">
        <f>SUM(AU62:INDEX(AU62:AW62,IF(AND($A$2&gt;6,$A$2&lt;10),$A$2-6,0)))</f>
        <v>2594</v>
      </c>
      <c r="BD62" s="116">
        <f>SUM(AX62:INDEX(AX62:AZ62,IF($A$2&gt;9,$A$2-9,0)))</f>
        <v>0</v>
      </c>
      <c r="BE62" s="116">
        <f>SUM($AO62:INDEX(AO62:AZ62,$A$2))</f>
        <v>19961</v>
      </c>
      <c r="BF62" s="123">
        <f t="shared" si="225"/>
        <v>1.9608323133414933</v>
      </c>
      <c r="BG62" s="118">
        <f t="shared" si="225"/>
        <v>2.8433292533659729</v>
      </c>
      <c r="BH62" s="118">
        <f t="shared" si="225"/>
        <v>1.8029682702149437</v>
      </c>
      <c r="BI62" s="118">
        <f t="shared" si="225"/>
        <v>2.0823920265780731</v>
      </c>
      <c r="BJ62" s="118">
        <f t="shared" si="225"/>
        <v>2.0392879066912215</v>
      </c>
      <c r="BK62" s="118">
        <f t="shared" si="225"/>
        <v>1.2421090387374463</v>
      </c>
      <c r="BL62" s="118">
        <f t="shared" si="225"/>
        <v>1.3805215540180946</v>
      </c>
      <c r="BM62" s="118">
        <f t="shared" si="225"/>
        <v>0</v>
      </c>
      <c r="BN62" s="118">
        <f t="shared" si="225"/>
        <v>0</v>
      </c>
      <c r="BO62" s="118">
        <f t="shared" si="225"/>
        <v>0</v>
      </c>
      <c r="BP62" s="118">
        <f t="shared" si="225"/>
        <v>0</v>
      </c>
      <c r="BQ62" s="118">
        <f t="shared" si="225"/>
        <v>0</v>
      </c>
      <c r="BR62" s="118">
        <f>BA62/SUM(N62:INDEX(N62:P62,IF($A$2&lt;3,$A$2,3)))</f>
        <v>2.0758082497212933</v>
      </c>
      <c r="BS62" s="118">
        <f>BB62/SUM(Q62:INDEX(Q62:S62,IF($A$2&lt;7,$A$2-3,3)))</f>
        <v>1.6749408983451537</v>
      </c>
      <c r="BT62" s="118">
        <f t="shared" si="226"/>
        <v>0.36442821017139648</v>
      </c>
      <c r="BU62" s="118">
        <f t="shared" si="226"/>
        <v>0</v>
      </c>
      <c r="BV62" s="118">
        <f t="shared" si="227"/>
        <v>1.7526560716480815</v>
      </c>
    </row>
    <row r="63" spans="1:76" x14ac:dyDescent="0.25">
      <c r="BF63" s="124"/>
    </row>
    <row r="64" spans="1:76" x14ac:dyDescent="0.25">
      <c r="BF64" s="124"/>
    </row>
    <row r="65" spans="1:74" s="17" customFormat="1" x14ac:dyDescent="0.25">
      <c r="A65" s="2" t="s">
        <v>13</v>
      </c>
      <c r="B65" s="3">
        <f t="shared" ref="B65:Y65" si="242">B27</f>
        <v>42005</v>
      </c>
      <c r="C65" s="3">
        <f t="shared" si="242"/>
        <v>42036</v>
      </c>
      <c r="D65" s="3">
        <f t="shared" si="242"/>
        <v>42064</v>
      </c>
      <c r="E65" s="3">
        <f t="shared" si="242"/>
        <v>42095</v>
      </c>
      <c r="F65" s="3">
        <f t="shared" si="242"/>
        <v>42125</v>
      </c>
      <c r="G65" s="3">
        <f t="shared" si="242"/>
        <v>42156</v>
      </c>
      <c r="H65" s="3">
        <f t="shared" si="242"/>
        <v>42186</v>
      </c>
      <c r="I65" s="3">
        <f t="shared" si="242"/>
        <v>42217</v>
      </c>
      <c r="J65" s="3">
        <f t="shared" si="242"/>
        <v>42248</v>
      </c>
      <c r="K65" s="3">
        <f t="shared" si="242"/>
        <v>42278</v>
      </c>
      <c r="L65" s="3">
        <f t="shared" si="242"/>
        <v>42309</v>
      </c>
      <c r="M65" s="3">
        <f t="shared" si="242"/>
        <v>42339</v>
      </c>
      <c r="N65" s="3">
        <f t="shared" si="242"/>
        <v>42370</v>
      </c>
      <c r="O65" s="3">
        <f t="shared" si="242"/>
        <v>42401</v>
      </c>
      <c r="P65" s="3">
        <f t="shared" si="242"/>
        <v>42430</v>
      </c>
      <c r="Q65" s="3">
        <f t="shared" si="242"/>
        <v>42461</v>
      </c>
      <c r="R65" s="3">
        <f t="shared" si="242"/>
        <v>42491</v>
      </c>
      <c r="S65" s="3">
        <f t="shared" si="242"/>
        <v>42522</v>
      </c>
      <c r="T65" s="3">
        <f t="shared" si="242"/>
        <v>42552</v>
      </c>
      <c r="U65" s="3">
        <f t="shared" si="242"/>
        <v>42583</v>
      </c>
      <c r="V65" s="3">
        <f t="shared" si="242"/>
        <v>42614</v>
      </c>
      <c r="W65" s="3">
        <f t="shared" si="242"/>
        <v>42644</v>
      </c>
      <c r="X65" s="3">
        <f t="shared" si="242"/>
        <v>42675</v>
      </c>
      <c r="Y65" s="3">
        <f t="shared" si="242"/>
        <v>42705</v>
      </c>
      <c r="Z65" s="29" t="s">
        <v>18</v>
      </c>
      <c r="AA65" s="29" t="s">
        <v>19</v>
      </c>
      <c r="AB65" s="29" t="s">
        <v>20</v>
      </c>
      <c r="AC65" s="29" t="s">
        <v>21</v>
      </c>
      <c r="AD65" s="29" t="s">
        <v>22</v>
      </c>
      <c r="AE65" s="26" t="str">
        <f t="shared" ref="AE65:AI65" si="243">AE40</f>
        <v>YTD 7/15</v>
      </c>
      <c r="AF65" s="26" t="str">
        <f t="shared" si="243"/>
        <v>Q1 '15</v>
      </c>
      <c r="AG65" s="26" t="str">
        <f t="shared" si="243"/>
        <v>Q2 '15</v>
      </c>
      <c r="AH65" s="26" t="str">
        <f t="shared" si="243"/>
        <v>Q3 '15</v>
      </c>
      <c r="AI65" s="26" t="str">
        <f t="shared" si="243"/>
        <v>Q4 '15</v>
      </c>
      <c r="AJ65" s="30" t="s">
        <v>27</v>
      </c>
      <c r="AK65" s="30" t="s">
        <v>29</v>
      </c>
      <c r="AL65" s="30" t="s">
        <v>30</v>
      </c>
      <c r="AM65" s="30" t="s">
        <v>31</v>
      </c>
      <c r="AN65" s="30" t="s">
        <v>32</v>
      </c>
      <c r="AO65" s="108">
        <v>42736</v>
      </c>
      <c r="AP65" s="108">
        <v>42767</v>
      </c>
      <c r="AQ65" s="108">
        <v>42795</v>
      </c>
      <c r="AR65" s="108">
        <v>42826</v>
      </c>
      <c r="AS65" s="108">
        <v>42856</v>
      </c>
      <c r="AT65" s="108">
        <v>42887</v>
      </c>
      <c r="AU65" s="108">
        <v>42917</v>
      </c>
      <c r="AV65" s="108">
        <v>42948</v>
      </c>
      <c r="AW65" s="108">
        <v>42979</v>
      </c>
      <c r="AX65" s="108">
        <v>43009</v>
      </c>
      <c r="AY65" s="108">
        <v>43040</v>
      </c>
      <c r="AZ65" s="108">
        <v>43070</v>
      </c>
      <c r="BA65" s="29" t="s">
        <v>123</v>
      </c>
      <c r="BB65" s="29" t="s">
        <v>124</v>
      </c>
      <c r="BC65" s="29" t="s">
        <v>125</v>
      </c>
      <c r="BD65" s="29" t="s">
        <v>126</v>
      </c>
      <c r="BE65" s="29" t="str">
        <f>"YTD " &amp; A64 &amp;"/17"</f>
        <v>YTD /17</v>
      </c>
      <c r="BF65" s="121">
        <v>42736</v>
      </c>
      <c r="BG65" s="108">
        <v>42767</v>
      </c>
      <c r="BH65" s="108">
        <v>42795</v>
      </c>
      <c r="BI65" s="108">
        <v>42826</v>
      </c>
      <c r="BJ65" s="108">
        <v>42856</v>
      </c>
      <c r="BK65" s="108">
        <v>42887</v>
      </c>
      <c r="BL65" s="108">
        <v>42917</v>
      </c>
      <c r="BM65" s="108">
        <v>42948</v>
      </c>
      <c r="BN65" s="108">
        <v>42979</v>
      </c>
      <c r="BO65" s="108">
        <v>43009</v>
      </c>
      <c r="BP65" s="108">
        <v>43040</v>
      </c>
      <c r="BQ65" s="108">
        <v>43070</v>
      </c>
      <c r="BR65" s="29" t="s">
        <v>127</v>
      </c>
      <c r="BS65" s="29" t="s">
        <v>128</v>
      </c>
      <c r="BT65" s="29" t="s">
        <v>96</v>
      </c>
      <c r="BU65" s="29" t="s">
        <v>129</v>
      </c>
      <c r="BV65" s="112" t="s">
        <v>130</v>
      </c>
    </row>
    <row r="66" spans="1:74" x14ac:dyDescent="0.25">
      <c r="A66" t="s">
        <v>4</v>
      </c>
      <c r="B66" s="12">
        <f t="shared" ref="B66:B72" si="244">IFERROR(B54/B28,"")</f>
        <v>2.1578947368421053</v>
      </c>
      <c r="C66" s="12">
        <f t="shared" ref="C66:Y66" si="245">IFERROR(C54/C28,"")</f>
        <v>2.2000000000000002</v>
      </c>
      <c r="D66" s="12">
        <f t="shared" si="245"/>
        <v>3.8048780487804876</v>
      </c>
      <c r="E66" s="12">
        <f t="shared" si="245"/>
        <v>3.1886792452830188</v>
      </c>
      <c r="F66" s="12">
        <f t="shared" si="245"/>
        <v>2.0084745762711864</v>
      </c>
      <c r="G66" s="12">
        <f t="shared" si="245"/>
        <v>2.7314814814814814</v>
      </c>
      <c r="H66" s="12">
        <f t="shared" si="245"/>
        <v>3.3076923076923075</v>
      </c>
      <c r="I66" s="12">
        <f t="shared" si="245"/>
        <v>1.9893617021276595</v>
      </c>
      <c r="J66" s="12">
        <f t="shared" si="245"/>
        <v>2.976923076923077</v>
      </c>
      <c r="K66" s="12">
        <f t="shared" si="245"/>
        <v>2.877049180327869</v>
      </c>
      <c r="L66" s="12">
        <f t="shared" si="245"/>
        <v>3.2962962962962963</v>
      </c>
      <c r="M66" s="12">
        <f t="shared" si="245"/>
        <v>5.1315789473684212</v>
      </c>
      <c r="N66" s="12">
        <f t="shared" si="245"/>
        <v>1.4222222222222223</v>
      </c>
      <c r="O66" s="12">
        <f t="shared" si="245"/>
        <v>1.6341463414634145</v>
      </c>
      <c r="P66" s="12">
        <f t="shared" si="245"/>
        <v>2.523076923076923</v>
      </c>
      <c r="Q66" s="12">
        <f t="shared" si="245"/>
        <v>3.4705882352941178</v>
      </c>
      <c r="R66" s="12">
        <f t="shared" si="245"/>
        <v>2.2400000000000002</v>
      </c>
      <c r="S66" s="12">
        <f t="shared" si="245"/>
        <v>2.09375</v>
      </c>
      <c r="T66" s="12">
        <f t="shared" si="245"/>
        <v>2.3913043478260869</v>
      </c>
      <c r="U66" s="12">
        <f t="shared" si="245"/>
        <v>2.2021276595744679</v>
      </c>
      <c r="V66" s="12">
        <f t="shared" si="245"/>
        <v>2.8725490196078431</v>
      </c>
      <c r="W66" s="12">
        <f t="shared" si="245"/>
        <v>2.7857142857142856</v>
      </c>
      <c r="X66" s="12">
        <f t="shared" si="245"/>
        <v>3.2976190476190474</v>
      </c>
      <c r="Y66" s="12">
        <f t="shared" si="245"/>
        <v>4.2352941176470589</v>
      </c>
      <c r="Z66" s="21">
        <f t="shared" ref="Z66:AD66" si="246">IFERROR(Z54/Z28,"")</f>
        <v>2.2872928176795582</v>
      </c>
      <c r="AA66" s="21">
        <f t="shared" si="246"/>
        <v>1.9536423841059603</v>
      </c>
      <c r="AB66" s="21">
        <f t="shared" si="246"/>
        <v>2.5636363636363635</v>
      </c>
      <c r="AC66" s="21">
        <f t="shared" si="246"/>
        <v>2.5</v>
      </c>
      <c r="AD66" s="21">
        <f t="shared" si="246"/>
        <v>3.4925925925925925</v>
      </c>
      <c r="AE66" s="21">
        <f t="shared" ref="AE66:AI66" si="247">IFERROR(AE54/AE28,"")</f>
        <v>2.785932721712538</v>
      </c>
      <c r="AF66" s="21">
        <f t="shared" si="247"/>
        <v>2.7889908256880735</v>
      </c>
      <c r="AG66" s="21">
        <f t="shared" si="247"/>
        <v>2.6204819277108435</v>
      </c>
      <c r="AH66" s="21">
        <f t="shared" si="247"/>
        <v>2.7987804878048781</v>
      </c>
      <c r="AI66" s="21">
        <f t="shared" si="247"/>
        <v>3.7558139534883721</v>
      </c>
      <c r="AJ66" s="31">
        <f>Z66/AE66-1</f>
        <v>-0.17898490517978527</v>
      </c>
      <c r="AK66" s="31">
        <f t="shared" ref="AK66:AK74" si="248">AA66/AF66-1</f>
        <v>-0.29951638201463926</v>
      </c>
      <c r="AL66" s="31">
        <f t="shared" ref="AL66:AN74" si="249">AB66/AG66-1</f>
        <v>-2.1692789968652204E-2</v>
      </c>
      <c r="AM66" s="31">
        <f t="shared" si="249"/>
        <v>-0.10675381263616557</v>
      </c>
      <c r="AN66" s="31">
        <f t="shared" si="249"/>
        <v>-7.0083705997018741E-2</v>
      </c>
      <c r="AO66" s="10">
        <f t="shared" ref="AO66:AP72" si="250">IFERROR(AO54/AO28,"")</f>
        <v>2.7654320987654319</v>
      </c>
      <c r="AP66" s="10">
        <f t="shared" si="250"/>
        <v>2.87</v>
      </c>
      <c r="AQ66" s="10">
        <f t="shared" ref="AQ66:AR66" si="251">IFERROR(AQ54/AQ28,"")</f>
        <v>3.6509433962264151</v>
      </c>
      <c r="AR66" s="10">
        <f t="shared" si="251"/>
        <v>3.41</v>
      </c>
      <c r="AS66" s="10">
        <f t="shared" ref="AS66:AT66" si="252">IFERROR(AS54/AS28,"")</f>
        <v>3.8369565217391304</v>
      </c>
      <c r="AT66" s="10">
        <f t="shared" si="252"/>
        <v>4.1105263157894738</v>
      </c>
      <c r="AU66" s="10">
        <f t="shared" ref="AU66" si="253">IFERROR(AU54/AU28,"")</f>
        <v>3.625</v>
      </c>
      <c r="BA66" s="10">
        <f t="shared" ref="BA66:BE72" si="254">IFERROR(BA54/BA28,"")</f>
        <v>3.1289198606271778</v>
      </c>
      <c r="BB66" s="10">
        <f t="shared" si="254"/>
        <v>3.7787456445993031</v>
      </c>
      <c r="BC66" s="10">
        <f t="shared" si="254"/>
        <v>3.625</v>
      </c>
      <c r="BD66" s="10" t="str">
        <f t="shared" si="254"/>
        <v/>
      </c>
      <c r="BE66" s="10">
        <f t="shared" si="254"/>
        <v>3.4747706422018347</v>
      </c>
      <c r="BF66" s="122">
        <f t="shared" ref="BF66:BF74" si="255">AO66/N66</f>
        <v>1.9444444444444442</v>
      </c>
      <c r="BG66" s="111">
        <f t="shared" ref="BG66:BG74" si="256">AP66/O66</f>
        <v>1.7562686567164181</v>
      </c>
      <c r="BH66" s="111">
        <f t="shared" ref="BH66:BH74" si="257">AQ66/P66</f>
        <v>1.4470202485043719</v>
      </c>
      <c r="BI66" s="111">
        <f t="shared" ref="BI66:BI74" si="258">AR66/Q66</f>
        <v>0.98254237288135593</v>
      </c>
      <c r="BJ66" s="111">
        <f t="shared" ref="BJ66:BJ74" si="259">AS66/R66</f>
        <v>1.7129270186335401</v>
      </c>
      <c r="BK66" s="111">
        <f t="shared" ref="BK66:BK74" si="260">AT66/S66</f>
        <v>1.963236449332286</v>
      </c>
      <c r="BL66" s="111">
        <f t="shared" ref="BL66:BL74" si="261">AU66/T66</f>
        <v>1.5159090909090909</v>
      </c>
      <c r="BM66" s="111">
        <f t="shared" ref="BM66:BM74" si="262">AV66/U66</f>
        <v>0</v>
      </c>
      <c r="BN66" s="111">
        <f t="shared" ref="BN66:BN74" si="263">AW66/V66</f>
        <v>0</v>
      </c>
      <c r="BO66" s="111">
        <f t="shared" ref="BO66:BO74" si="264">AX66/W66</f>
        <v>0</v>
      </c>
      <c r="BP66" s="111">
        <f t="shared" ref="BP66:BP74" si="265">AY66/X66</f>
        <v>0</v>
      </c>
      <c r="BQ66" s="111">
        <f t="shared" ref="BQ66:BQ74" si="266">AZ66/Y66</f>
        <v>0</v>
      </c>
      <c r="BR66" s="111">
        <f>BA66/(SUM(N54:INDEX(N54:P54,IF($A$2&lt;3,$A$2,3)))/SUM(N28:INDEX(N28:P28,IF($A$2&lt;3,$A$2,3))))</f>
        <v>1.6015827083210299</v>
      </c>
      <c r="BS66" s="111">
        <f>BB66/(SUM(Q54:INDEX(Q54:S54,$B$2))/SUM(Q28:INDEX(Q28:S28,$B$2)))</f>
        <v>1.0887911179353924</v>
      </c>
      <c r="BV66" s="31">
        <f>BE66/Z66</f>
        <v>1.519163010238</v>
      </c>
    </row>
    <row r="67" spans="1:74" x14ac:dyDescent="0.25">
      <c r="A67" t="s">
        <v>5</v>
      </c>
      <c r="B67" s="12">
        <f t="shared" si="244"/>
        <v>1.2622950819672132</v>
      </c>
      <c r="C67" s="12">
        <f t="shared" ref="C67:Y67" si="267">IFERROR(C55/C29,"")</f>
        <v>1.1805555555555556</v>
      </c>
      <c r="D67" s="12">
        <f t="shared" si="267"/>
        <v>1.4214285714285715</v>
      </c>
      <c r="E67" s="12">
        <f t="shared" si="267"/>
        <v>1.4457831325301205</v>
      </c>
      <c r="F67" s="12">
        <f t="shared" si="267"/>
        <v>1.2358490566037736</v>
      </c>
      <c r="G67" s="12">
        <f t="shared" si="267"/>
        <v>1.3317073170731708</v>
      </c>
      <c r="H67" s="12">
        <f t="shared" si="267"/>
        <v>1.4462809917355373</v>
      </c>
      <c r="I67" s="12">
        <f t="shared" si="267"/>
        <v>1.2971428571428572</v>
      </c>
      <c r="J67" s="12">
        <f t="shared" si="267"/>
        <v>1.5092936802973977</v>
      </c>
      <c r="K67" s="12">
        <f t="shared" si="267"/>
        <v>1.3316831683168318</v>
      </c>
      <c r="L67" s="12">
        <f t="shared" si="267"/>
        <v>1.678191489361702</v>
      </c>
      <c r="M67" s="12">
        <f t="shared" si="267"/>
        <v>1.8985507246376812</v>
      </c>
      <c r="N67" s="12">
        <f t="shared" si="267"/>
        <v>1.3898305084745763</v>
      </c>
      <c r="O67" s="12">
        <f t="shared" si="267"/>
        <v>1.3015873015873016</v>
      </c>
      <c r="P67" s="12">
        <f t="shared" si="267"/>
        <v>1.7807308970099667</v>
      </c>
      <c r="Q67" s="12">
        <f t="shared" si="267"/>
        <v>1.4385245901639345</v>
      </c>
      <c r="R67" s="12">
        <f t="shared" si="267"/>
        <v>1.3578595317725752</v>
      </c>
      <c r="S67" s="12">
        <f t="shared" si="267"/>
        <v>1.6579861111111112</v>
      </c>
      <c r="T67" s="12">
        <f t="shared" si="267"/>
        <v>1.4011142061281336</v>
      </c>
      <c r="U67" s="12">
        <f t="shared" si="267"/>
        <v>1.4156479217603912</v>
      </c>
      <c r="V67" s="12">
        <f t="shared" si="267"/>
        <v>1.7211191335740073</v>
      </c>
      <c r="W67" s="12">
        <f t="shared" si="267"/>
        <v>1.4665898617511521</v>
      </c>
      <c r="X67" s="12">
        <f t="shared" si="267"/>
        <v>1.8132678132678133</v>
      </c>
      <c r="Y67" s="12">
        <f t="shared" si="267"/>
        <v>1.8475452196382429</v>
      </c>
      <c r="Z67" s="21">
        <f t="shared" ref="Z67:AD67" si="268">IFERROR(Z55/Z29,"")</f>
        <v>1.5334034718569174</v>
      </c>
      <c r="AA67" s="21">
        <f t="shared" si="268"/>
        <v>1.6548463356973995</v>
      </c>
      <c r="AB67" s="21">
        <f t="shared" si="268"/>
        <v>1.5299374441465594</v>
      </c>
      <c r="AC67" s="21">
        <f t="shared" si="268"/>
        <v>1.5397125567322238</v>
      </c>
      <c r="AD67" s="21">
        <f t="shared" si="268"/>
        <v>1.7365325077399381</v>
      </c>
      <c r="AE67" s="21">
        <f t="shared" ref="AE67:AI67" si="269">IFERROR(AE55/AE29,"")</f>
        <v>1.3539783001808319</v>
      </c>
      <c r="AF67" s="21">
        <f t="shared" si="269"/>
        <v>1.311377245508982</v>
      </c>
      <c r="AG67" s="21">
        <f t="shared" si="269"/>
        <v>1.338679245283019</v>
      </c>
      <c r="AH67" s="21">
        <f t="shared" si="269"/>
        <v>1.4329446064139941</v>
      </c>
      <c r="AI67" s="21">
        <f t="shared" si="269"/>
        <v>1.6674473067915692</v>
      </c>
      <c r="AJ67" s="31">
        <f t="shared" ref="AJ67:AJ74" si="270">Z67/AE67-1</f>
        <v>0.13251702161853118</v>
      </c>
      <c r="AK67" s="31">
        <f t="shared" si="248"/>
        <v>0.26191478566879312</v>
      </c>
      <c r="AL67" s="31">
        <f t="shared" si="249"/>
        <v>0.14287081803759882</v>
      </c>
      <c r="AM67" s="31">
        <f t="shared" si="249"/>
        <v>7.4509474993189828E-2</v>
      </c>
      <c r="AN67" s="31">
        <f t="shared" si="249"/>
        <v>4.1431714613698656E-2</v>
      </c>
      <c r="AO67" s="10">
        <f t="shared" si="250"/>
        <v>1.78125</v>
      </c>
      <c r="AP67" s="10">
        <f t="shared" si="250"/>
        <v>1.3107692307692307</v>
      </c>
      <c r="AQ67" s="10">
        <f t="shared" ref="AQ67:AR67" si="271">IFERROR(AQ55/AQ29,"")</f>
        <v>1.6683587140439933</v>
      </c>
      <c r="AR67" s="10">
        <f t="shared" si="271"/>
        <v>1.5717391304347825</v>
      </c>
      <c r="AS67" s="10">
        <f t="shared" ref="AS67:AT67" si="272">IFERROR(AS55/AS29,"")</f>
        <v>1.5769230769230769</v>
      </c>
      <c r="AT67" s="10">
        <f t="shared" si="272"/>
        <v>1.5207877461706782</v>
      </c>
      <c r="AU67" s="10">
        <f t="shared" ref="AU67" si="273">IFERROR(AU55/AU29,"")</f>
        <v>1.5378640776699029</v>
      </c>
      <c r="BA67" s="10">
        <f t="shared" si="254"/>
        <v>1.5771375464684014</v>
      </c>
      <c r="BB67" s="10">
        <f t="shared" si="254"/>
        <v>1.5471436494731003</v>
      </c>
      <c r="BC67" s="10">
        <f t="shared" si="254"/>
        <v>1.5378640776699029</v>
      </c>
      <c r="BD67" s="10" t="str">
        <f t="shared" si="254"/>
        <v/>
      </c>
      <c r="BE67" s="10">
        <f t="shared" si="254"/>
        <v>1.5552445492044784</v>
      </c>
      <c r="BF67" s="122">
        <f t="shared" si="255"/>
        <v>1.2816310975609755</v>
      </c>
      <c r="BG67" s="111">
        <f t="shared" si="256"/>
        <v>1.0070544090056284</v>
      </c>
      <c r="BH67" s="111">
        <f t="shared" si="257"/>
        <v>0.93689547187918287</v>
      </c>
      <c r="BI67" s="111">
        <f t="shared" si="258"/>
        <v>1.0926049795615012</v>
      </c>
      <c r="BJ67" s="111">
        <f t="shared" si="259"/>
        <v>1.1613300492610836</v>
      </c>
      <c r="BK67" s="111">
        <f t="shared" si="260"/>
        <v>0.91724999140765517</v>
      </c>
      <c r="BL67" s="111">
        <f t="shared" si="261"/>
        <v>1.0976008029492945</v>
      </c>
      <c r="BM67" s="111">
        <f t="shared" si="262"/>
        <v>0</v>
      </c>
      <c r="BN67" s="111">
        <f t="shared" si="263"/>
        <v>0</v>
      </c>
      <c r="BO67" s="111">
        <f t="shared" si="264"/>
        <v>0</v>
      </c>
      <c r="BP67" s="111">
        <f t="shared" si="265"/>
        <v>0</v>
      </c>
      <c r="BQ67" s="111">
        <f t="shared" si="266"/>
        <v>0</v>
      </c>
      <c r="BR67" s="111">
        <f>BA67/(SUM(N55:INDEX(N55:P55,IF($A$2&lt;3,$A$2,3)))/SUM(N29:INDEX(N29:P29,IF($A$2&lt;3,$A$2,3))))</f>
        <v>0.95304168879447693</v>
      </c>
      <c r="BS67" s="111">
        <f>BB67/(SUM(Q55:INDEX(Q55:S55,$B$2))/SUM(Q29:INDEX(Q29:S29,$B$2)))</f>
        <v>1.0755072663003888</v>
      </c>
      <c r="BV67" s="31">
        <f t="shared" ref="BV67:BV74" si="274">BE67/Z67</f>
        <v>1.014243529343984</v>
      </c>
    </row>
    <row r="68" spans="1:74" x14ac:dyDescent="0.25">
      <c r="A68" t="s">
        <v>6</v>
      </c>
      <c r="B68" s="12">
        <f t="shared" si="244"/>
        <v>1.3490566037735849</v>
      </c>
      <c r="C68" s="12">
        <f t="shared" ref="C68:Y68" si="275">IFERROR(C56/C30,"")</f>
        <v>1.2264150943396226</v>
      </c>
      <c r="D68" s="12">
        <f t="shared" si="275"/>
        <v>1.647887323943662</v>
      </c>
      <c r="E68" s="12">
        <f t="shared" si="275"/>
        <v>1.4142857142857144</v>
      </c>
      <c r="F68" s="12">
        <f t="shared" si="275"/>
        <v>1.4598765432098766</v>
      </c>
      <c r="G68" s="12">
        <f t="shared" si="275"/>
        <v>1.4697986577181208</v>
      </c>
      <c r="H68" s="12">
        <f t="shared" si="275"/>
        <v>1.4345238095238095</v>
      </c>
      <c r="I68" s="12">
        <f t="shared" si="275"/>
        <v>1.3333333333333333</v>
      </c>
      <c r="J68" s="12">
        <f t="shared" si="275"/>
        <v>1.7212643678160919</v>
      </c>
      <c r="K68" s="12">
        <f t="shared" si="275"/>
        <v>1.4187192118226601</v>
      </c>
      <c r="L68" s="12">
        <f t="shared" si="275"/>
        <v>1.9090909090909092</v>
      </c>
      <c r="M68" s="12">
        <f t="shared" si="275"/>
        <v>1.9171875</v>
      </c>
      <c r="N68" s="12">
        <f t="shared" si="275"/>
        <v>1.2980769230769231</v>
      </c>
      <c r="O68" s="12">
        <f t="shared" si="275"/>
        <v>1.4642857142857142</v>
      </c>
      <c r="P68" s="12">
        <f t="shared" si="275"/>
        <v>1.8367346938775511</v>
      </c>
      <c r="Q68" s="12">
        <f t="shared" si="275"/>
        <v>1.4792899408284024</v>
      </c>
      <c r="R68" s="12">
        <f t="shared" si="275"/>
        <v>1.5802469135802468</v>
      </c>
      <c r="S68" s="12">
        <f t="shared" si="275"/>
        <v>1.8685344827586208</v>
      </c>
      <c r="T68" s="12">
        <f t="shared" si="275"/>
        <v>1.33</v>
      </c>
      <c r="U68" s="12">
        <f t="shared" si="275"/>
        <v>1.4780701754385965</v>
      </c>
      <c r="V68" s="12">
        <f t="shared" si="275"/>
        <v>1.8032258064516129</v>
      </c>
      <c r="W68" s="12">
        <f t="shared" si="275"/>
        <v>1.4468438538205981</v>
      </c>
      <c r="X68" s="12">
        <f t="shared" si="275"/>
        <v>1.7076677316293929</v>
      </c>
      <c r="Y68" s="12">
        <f t="shared" si="275"/>
        <v>1.8010610079575597</v>
      </c>
      <c r="Z68" s="21">
        <f t="shared" ref="Z68:AD68" si="276">IFERROR(Z56/Z30,"")</f>
        <v>1.5349813432835822</v>
      </c>
      <c r="AA68" s="21">
        <f t="shared" si="276"/>
        <v>1.4688995215311005</v>
      </c>
      <c r="AB68" s="21">
        <f t="shared" si="276"/>
        <v>1.6687388987566607</v>
      </c>
      <c r="AC68" s="21">
        <f t="shared" si="276"/>
        <v>1.5453460620525059</v>
      </c>
      <c r="AD68" s="21">
        <f t="shared" si="276"/>
        <v>1.6639757820383452</v>
      </c>
      <c r="AE68" s="21">
        <f t="shared" ref="AE68:AI68" si="277">IFERROR(AE56/AE30,"")</f>
        <v>1.4240576496674058</v>
      </c>
      <c r="AF68" s="21">
        <f t="shared" si="277"/>
        <v>1.3780918727915195</v>
      </c>
      <c r="AG68" s="21">
        <f t="shared" si="277"/>
        <v>1.4490022172949002</v>
      </c>
      <c r="AH68" s="21">
        <f t="shared" si="277"/>
        <v>1.5116033755274261</v>
      </c>
      <c r="AI68" s="21">
        <f t="shared" si="277"/>
        <v>1.7585403726708075</v>
      </c>
      <c r="AJ68" s="31">
        <f t="shared" si="270"/>
        <v>7.7892698825839712E-2</v>
      </c>
      <c r="AK68" s="31">
        <f t="shared" si="248"/>
        <v>6.5893755367439466E-2</v>
      </c>
      <c r="AL68" s="31">
        <f t="shared" si="249"/>
        <v>0.15164689110826934</v>
      </c>
      <c r="AM68" s="31">
        <f t="shared" si="249"/>
        <v>2.2322447191748473E-2</v>
      </c>
      <c r="AN68" s="31">
        <f t="shared" si="249"/>
        <v>-5.3774478028526085E-2</v>
      </c>
      <c r="AO68" s="10">
        <f t="shared" si="250"/>
        <v>1.2477064220183487</v>
      </c>
      <c r="AP68" s="10">
        <f t="shared" si="250"/>
        <v>1.5811965811965811</v>
      </c>
      <c r="AQ68" s="10">
        <f t="shared" ref="AQ68:AR68" si="278">IFERROR(AQ56/AQ30,"")</f>
        <v>1.7591240875912408</v>
      </c>
      <c r="AR68" s="10">
        <f t="shared" si="278"/>
        <v>1.5638297872340425</v>
      </c>
      <c r="AS68" s="10">
        <f t="shared" ref="AS68:AT68" si="279">IFERROR(AS56/AS30,"")</f>
        <v>1.676056338028169</v>
      </c>
      <c r="AT68" s="10">
        <f t="shared" si="279"/>
        <v>1.5484693877551021</v>
      </c>
      <c r="AU68" s="10">
        <f t="shared" ref="AU68" si="280">IFERROR(AU56/AU30,"")</f>
        <v>1.4362139917695473</v>
      </c>
      <c r="BA68" s="10">
        <f t="shared" si="254"/>
        <v>1.541871921182266</v>
      </c>
      <c r="BB68" s="10">
        <f t="shared" si="254"/>
        <v>1.5940665701881331</v>
      </c>
      <c r="BC68" s="10">
        <f t="shared" si="254"/>
        <v>1.4362139917695473</v>
      </c>
      <c r="BD68" s="10" t="str">
        <f t="shared" si="254"/>
        <v/>
      </c>
      <c r="BE68" s="10">
        <f t="shared" si="254"/>
        <v>1.5486066104990279</v>
      </c>
      <c r="BF68" s="122">
        <f t="shared" si="255"/>
        <v>0.96119605844376488</v>
      </c>
      <c r="BG68" s="111">
        <f t="shared" si="256"/>
        <v>1.0798415676464457</v>
      </c>
      <c r="BH68" s="111">
        <f t="shared" si="257"/>
        <v>0.95774533657745331</v>
      </c>
      <c r="BI68" s="111">
        <f t="shared" si="258"/>
        <v>1.0571489361702127</v>
      </c>
      <c r="BJ68" s="111">
        <f t="shared" si="259"/>
        <v>1.0606294014084507</v>
      </c>
      <c r="BK68" s="111">
        <f t="shared" si="260"/>
        <v>0.82870795376974316</v>
      </c>
      <c r="BL68" s="111">
        <f t="shared" si="261"/>
        <v>1.0798601441876294</v>
      </c>
      <c r="BM68" s="111">
        <f t="shared" si="262"/>
        <v>0</v>
      </c>
      <c r="BN68" s="111">
        <f t="shared" si="263"/>
        <v>0</v>
      </c>
      <c r="BO68" s="111">
        <f t="shared" si="264"/>
        <v>0</v>
      </c>
      <c r="BP68" s="111">
        <f t="shared" si="265"/>
        <v>0</v>
      </c>
      <c r="BQ68" s="111">
        <f t="shared" si="266"/>
        <v>0</v>
      </c>
      <c r="BR68" s="111">
        <f>BA68/(SUM(N56:INDEX(N56:P56,IF($A$2&lt;3,$A$2,3)))/SUM(N30:INDEX(N30:P30,IF($A$2&lt;3,$A$2,3))))</f>
        <v>1.0496782785898815</v>
      </c>
      <c r="BS68" s="111">
        <f>BB68/(SUM(Q56:INDEX(Q56:S56,$B$2))/SUM(Q30:INDEX(Q30:S30,$B$2)))</f>
        <v>1.0775890014471781</v>
      </c>
      <c r="BV68" s="31">
        <f t="shared" si="274"/>
        <v>1.0088765034670057</v>
      </c>
    </row>
    <row r="69" spans="1:74" x14ac:dyDescent="0.25">
      <c r="A69" t="s">
        <v>7</v>
      </c>
      <c r="B69" s="12">
        <f t="shared" si="244"/>
        <v>1.2661290322580645</v>
      </c>
      <c r="C69" s="12">
        <f t="shared" ref="C69:Y69" si="281">IFERROR(C57/C31,"")</f>
        <v>1.3017241379310345</v>
      </c>
      <c r="D69" s="12">
        <f t="shared" si="281"/>
        <v>1.375</v>
      </c>
      <c r="E69" s="12">
        <f t="shared" si="281"/>
        <v>1.4454545454545455</v>
      </c>
      <c r="F69" s="12">
        <f t="shared" si="281"/>
        <v>1.275735294117647</v>
      </c>
      <c r="G69" s="12">
        <f t="shared" si="281"/>
        <v>1.3482490272373542</v>
      </c>
      <c r="H69" s="12">
        <f t="shared" si="281"/>
        <v>1.3803418803418803</v>
      </c>
      <c r="I69" s="12">
        <f t="shared" si="281"/>
        <v>1.1812499999999999</v>
      </c>
      <c r="J69" s="12">
        <f t="shared" si="281"/>
        <v>1.4481481481481482</v>
      </c>
      <c r="K69" s="12">
        <f t="shared" si="281"/>
        <v>1.3666666666666667</v>
      </c>
      <c r="L69" s="12">
        <f t="shared" si="281"/>
        <v>1.9097744360902256</v>
      </c>
      <c r="M69" s="12">
        <f t="shared" si="281"/>
        <v>1.6189655172413793</v>
      </c>
      <c r="N69" s="12">
        <f t="shared" si="281"/>
        <v>1.227891156462585</v>
      </c>
      <c r="O69" s="12">
        <f t="shared" si="281"/>
        <v>1.2824858757062148</v>
      </c>
      <c r="P69" s="12">
        <f t="shared" si="281"/>
        <v>1.9066666666666667</v>
      </c>
      <c r="Q69" s="12">
        <f t="shared" si="281"/>
        <v>2.064516129032258</v>
      </c>
      <c r="R69" s="12">
        <f t="shared" si="281"/>
        <v>1.7533333333333334</v>
      </c>
      <c r="S69" s="12">
        <f t="shared" si="281"/>
        <v>1.706</v>
      </c>
      <c r="T69" s="12">
        <f t="shared" si="281"/>
        <v>1.5763546798029557</v>
      </c>
      <c r="U69" s="12">
        <f t="shared" si="281"/>
        <v>1.4788273615635179</v>
      </c>
      <c r="V69" s="12">
        <f t="shared" si="281"/>
        <v>1.772594752186589</v>
      </c>
      <c r="W69" s="12">
        <f t="shared" si="281"/>
        <v>1.4650205761316872</v>
      </c>
      <c r="X69" s="12">
        <f t="shared" si="281"/>
        <v>1.736842105263158</v>
      </c>
      <c r="Y69" s="12">
        <f t="shared" si="281"/>
        <v>2.0738866396761133</v>
      </c>
      <c r="Z69" s="21">
        <f t="shared" ref="Z69:AD69" si="282">IFERROR(Z57/Z31,"")</f>
        <v>1.6075504828797191</v>
      </c>
      <c r="AA69" s="21">
        <f t="shared" si="282"/>
        <v>1.4630801687763713</v>
      </c>
      <c r="AB69" s="21">
        <f t="shared" si="282"/>
        <v>1.7694805194805194</v>
      </c>
      <c r="AC69" s="21">
        <f t="shared" si="282"/>
        <v>1.6201641266119577</v>
      </c>
      <c r="AD69" s="21">
        <f t="shared" si="282"/>
        <v>1.8316037735849056</v>
      </c>
      <c r="AE69" s="21">
        <f t="shared" ref="AE69:AI69" si="283">IFERROR(AE57/AE31,"")</f>
        <v>1.3460537727666955</v>
      </c>
      <c r="AF69" s="21">
        <f t="shared" si="283"/>
        <v>1.3221153846153846</v>
      </c>
      <c r="AG69" s="21">
        <f t="shared" si="283"/>
        <v>1.3499005964214712</v>
      </c>
      <c r="AH69" s="21">
        <f t="shared" si="283"/>
        <v>1.3599397590361446</v>
      </c>
      <c r="AI69" s="21">
        <f t="shared" si="283"/>
        <v>1.6507832898172323</v>
      </c>
      <c r="AJ69" s="31">
        <f t="shared" si="270"/>
        <v>0.19426914095381198</v>
      </c>
      <c r="AK69" s="31">
        <f t="shared" si="248"/>
        <v>0.10662063674721911</v>
      </c>
      <c r="AL69" s="31">
        <f t="shared" si="249"/>
        <v>0.31082282960044361</v>
      </c>
      <c r="AM69" s="31">
        <f t="shared" si="249"/>
        <v>0.19134992255851602</v>
      </c>
      <c r="AN69" s="31">
        <f t="shared" si="249"/>
        <v>0.10953617284779571</v>
      </c>
      <c r="AO69" s="10">
        <f t="shared" si="250"/>
        <v>1.7331932773109244</v>
      </c>
      <c r="AP69" s="10">
        <f t="shared" si="250"/>
        <v>1.4775413711583925</v>
      </c>
      <c r="AQ69" s="10">
        <f t="shared" ref="AQ69:AR69" si="284">IFERROR(AQ57/AQ31,"")</f>
        <v>1.6903914590747331</v>
      </c>
      <c r="AR69" s="10">
        <f t="shared" si="284"/>
        <v>1.6205357142857142</v>
      </c>
      <c r="AS69" s="10">
        <f t="shared" ref="AS69:AT69" si="285">IFERROR(AS57/AS31,"")</f>
        <v>1.7224334600760456</v>
      </c>
      <c r="AT69" s="10">
        <f t="shared" si="285"/>
        <v>1.8712446351931331</v>
      </c>
      <c r="AU69" s="10">
        <f t="shared" ref="AU69" si="286">IFERROR(AU57/AU31,"")</f>
        <v>1.8170103092783505</v>
      </c>
      <c r="BA69" s="10">
        <f t="shared" si="254"/>
        <v>1.6056263269639066</v>
      </c>
      <c r="BB69" s="10">
        <f t="shared" si="254"/>
        <v>1.7388888888888889</v>
      </c>
      <c r="BC69" s="10">
        <f t="shared" si="254"/>
        <v>1.8170103092783505</v>
      </c>
      <c r="BD69" s="10" t="str">
        <f t="shared" si="254"/>
        <v/>
      </c>
      <c r="BE69" s="10">
        <f t="shared" si="254"/>
        <v>1.6794181034482758</v>
      </c>
      <c r="BF69" s="122">
        <f t="shared" si="255"/>
        <v>1.4115202867850742</v>
      </c>
      <c r="BG69" s="111">
        <f t="shared" si="256"/>
        <v>1.1520917299340769</v>
      </c>
      <c r="BH69" s="111">
        <f t="shared" si="257"/>
        <v>0.88656894706716771</v>
      </c>
      <c r="BI69" s="111">
        <f t="shared" si="258"/>
        <v>0.78494698660714279</v>
      </c>
      <c r="BJ69" s="111">
        <f t="shared" si="259"/>
        <v>0.98237649814223127</v>
      </c>
      <c r="BK69" s="111">
        <f t="shared" si="260"/>
        <v>1.0968608647087532</v>
      </c>
      <c r="BL69" s="111">
        <f t="shared" si="261"/>
        <v>1.1526659149484535</v>
      </c>
      <c r="BM69" s="111">
        <f t="shared" si="262"/>
        <v>0</v>
      </c>
      <c r="BN69" s="111">
        <f t="shared" si="263"/>
        <v>0</v>
      </c>
      <c r="BO69" s="111">
        <f t="shared" si="264"/>
        <v>0</v>
      </c>
      <c r="BP69" s="111">
        <f t="shared" si="265"/>
        <v>0</v>
      </c>
      <c r="BQ69" s="111">
        <f t="shared" si="266"/>
        <v>0</v>
      </c>
      <c r="BR69" s="111">
        <f>BA69/(SUM(N57:INDEX(N57:P57,IF($A$2&lt;3,$A$2,3)))/SUM(N31:INDEX(N31:P31,IF($A$2&lt;3,$A$2,3))))</f>
        <v>1.0974288089126052</v>
      </c>
      <c r="BS69" s="111">
        <f>BB69/(SUM(Q57:INDEX(Q57:S57,$B$2))/SUM(Q31:INDEX(Q31:S31,$B$2)))</f>
        <v>0.8422743055555556</v>
      </c>
      <c r="BV69" s="31">
        <f t="shared" si="274"/>
        <v>1.0447062915497467</v>
      </c>
    </row>
    <row r="70" spans="1:74" x14ac:dyDescent="0.25">
      <c r="A70" t="s">
        <v>8</v>
      </c>
      <c r="B70" s="12">
        <f t="shared" si="244"/>
        <v>1.1111111111111112</v>
      </c>
      <c r="C70" s="12">
        <f t="shared" ref="C70:Y70" si="287">IFERROR(C58/C32,"")</f>
        <v>1.1846153846153846</v>
      </c>
      <c r="D70" s="12">
        <f t="shared" si="287"/>
        <v>1.2903225806451613</v>
      </c>
      <c r="E70" s="12">
        <f t="shared" si="287"/>
        <v>1.471830985915493</v>
      </c>
      <c r="F70" s="12">
        <f t="shared" si="287"/>
        <v>1.2417582417582418</v>
      </c>
      <c r="G70" s="12">
        <f t="shared" si="287"/>
        <v>1.2377622377622377</v>
      </c>
      <c r="H70" s="12">
        <f t="shared" si="287"/>
        <v>1.2727272727272727</v>
      </c>
      <c r="I70" s="12">
        <f t="shared" si="287"/>
        <v>1.2714285714285714</v>
      </c>
      <c r="J70" s="12">
        <f t="shared" si="287"/>
        <v>1.2423076923076923</v>
      </c>
      <c r="K70" s="12">
        <f t="shared" si="287"/>
        <v>1.2239583333333333</v>
      </c>
      <c r="L70" s="12">
        <f t="shared" si="287"/>
        <v>1.9547738693467336</v>
      </c>
      <c r="M70" s="12">
        <f t="shared" si="287"/>
        <v>1.742489270386266</v>
      </c>
      <c r="N70" s="12">
        <f t="shared" si="287"/>
        <v>1.2137096774193548</v>
      </c>
      <c r="O70" s="12">
        <f t="shared" si="287"/>
        <v>1.1900826446280992</v>
      </c>
      <c r="P70" s="12">
        <f t="shared" si="287"/>
        <v>1.546875</v>
      </c>
      <c r="Q70" s="12">
        <f t="shared" si="287"/>
        <v>1.4619565217391304</v>
      </c>
      <c r="R70" s="12">
        <f t="shared" si="287"/>
        <v>1.3863636363636365</v>
      </c>
      <c r="S70" s="12">
        <f t="shared" si="287"/>
        <v>1.5087719298245614</v>
      </c>
      <c r="T70" s="12">
        <f t="shared" si="287"/>
        <v>1.4601769911504425</v>
      </c>
      <c r="U70" s="12">
        <f t="shared" si="287"/>
        <v>1.4580645161290322</v>
      </c>
      <c r="V70" s="12">
        <f t="shared" si="287"/>
        <v>1.7661290322580645</v>
      </c>
      <c r="W70" s="12">
        <f t="shared" si="287"/>
        <v>1.8194444444444444</v>
      </c>
      <c r="X70" s="12">
        <f t="shared" si="287"/>
        <v>2.0032051282051282</v>
      </c>
      <c r="Y70" s="12">
        <f t="shared" si="287"/>
        <v>1.7772585669781931</v>
      </c>
      <c r="Z70" s="21">
        <f t="shared" ref="Z70:AD70" si="288">IFERROR(Z58/Z32,"")</f>
        <v>1.4171455938697317</v>
      </c>
      <c r="AA70" s="21">
        <f t="shared" si="288"/>
        <v>1.3782435129740518</v>
      </c>
      <c r="AB70" s="21">
        <f t="shared" si="288"/>
        <v>1.4511627906976745</v>
      </c>
      <c r="AC70" s="21">
        <f t="shared" si="288"/>
        <v>1.5848017621145374</v>
      </c>
      <c r="AD70" s="21">
        <f t="shared" si="288"/>
        <v>1.8424657534246576</v>
      </c>
      <c r="AE70" s="21">
        <f t="shared" ref="AE70:AI70" si="289">IFERROR(AE58/AE32,"")</f>
        <v>1.2738780207134637</v>
      </c>
      <c r="AF70" s="21">
        <f t="shared" si="289"/>
        <v>1.211111111111111</v>
      </c>
      <c r="AG70" s="21">
        <f t="shared" si="289"/>
        <v>1.310492505353319</v>
      </c>
      <c r="AH70" s="21">
        <f t="shared" si="289"/>
        <v>1.2575187969924813</v>
      </c>
      <c r="AI70" s="21">
        <f t="shared" si="289"/>
        <v>1.6506410256410255</v>
      </c>
      <c r="AJ70" s="31">
        <f t="shared" si="270"/>
        <v>0.11246569202601342</v>
      </c>
      <c r="AK70" s="31">
        <f t="shared" si="248"/>
        <v>0.13799923089600608</v>
      </c>
      <c r="AL70" s="31">
        <f t="shared" si="249"/>
        <v>0.10734154126766993</v>
      </c>
      <c r="AM70" s="31">
        <f t="shared" si="249"/>
        <v>0.2602608930417547</v>
      </c>
      <c r="AN70" s="31">
        <f t="shared" si="249"/>
        <v>0.11621226226891879</v>
      </c>
      <c r="AO70" s="10">
        <f t="shared" si="250"/>
        <v>1.2773972602739727</v>
      </c>
      <c r="AP70" s="10">
        <f t="shared" si="250"/>
        <v>1.5294117647058822</v>
      </c>
      <c r="AQ70" s="10">
        <f t="shared" ref="AQ70:AR70" si="290">IFERROR(AQ58/AQ32,"")</f>
        <v>1.7444751381215469</v>
      </c>
      <c r="AR70" s="10">
        <f t="shared" si="290"/>
        <v>1.6895973154362416</v>
      </c>
      <c r="AS70" s="10">
        <f t="shared" ref="AS70:AT70" si="291">IFERROR(AS58/AS32,"")</f>
        <v>1.7386363636363635</v>
      </c>
      <c r="AT70" s="10">
        <f t="shared" si="291"/>
        <v>2.370860927152318</v>
      </c>
      <c r="AU70" s="10">
        <f t="shared" ref="AU70" si="292">IFERROR(AU58/AU32,"")</f>
        <v>1.9927536231884058</v>
      </c>
      <c r="BA70" s="10">
        <f t="shared" si="254"/>
        <v>1.583224115334207</v>
      </c>
      <c r="BB70" s="10">
        <f t="shared" si="254"/>
        <v>1.8680000000000001</v>
      </c>
      <c r="BC70" s="10">
        <f t="shared" si="254"/>
        <v>1.9927536231884058</v>
      </c>
      <c r="BD70" s="10" t="str">
        <f t="shared" si="254"/>
        <v/>
      </c>
      <c r="BE70" s="10">
        <f t="shared" si="254"/>
        <v>1.7368938401048493</v>
      </c>
      <c r="BF70" s="122">
        <f t="shared" si="255"/>
        <v>1.0524734901925092</v>
      </c>
      <c r="BG70" s="111">
        <f t="shared" si="256"/>
        <v>1.2851307189542482</v>
      </c>
      <c r="BH70" s="111">
        <f t="shared" si="257"/>
        <v>1.1277415034321112</v>
      </c>
      <c r="BI70" s="111">
        <f t="shared" si="258"/>
        <v>1.155709687882039</v>
      </c>
      <c r="BJ70" s="111">
        <f t="shared" si="259"/>
        <v>1.2540983606557374</v>
      </c>
      <c r="BK70" s="111">
        <f t="shared" si="260"/>
        <v>1.5713845679963037</v>
      </c>
      <c r="BL70" s="111">
        <f t="shared" si="261"/>
        <v>1.3647342995169081</v>
      </c>
      <c r="BM70" s="111">
        <f t="shared" si="262"/>
        <v>0</v>
      </c>
      <c r="BN70" s="111">
        <f t="shared" si="263"/>
        <v>0</v>
      </c>
      <c r="BO70" s="111">
        <f t="shared" si="264"/>
        <v>0</v>
      </c>
      <c r="BP70" s="111">
        <f t="shared" si="265"/>
        <v>0</v>
      </c>
      <c r="BQ70" s="111">
        <f t="shared" si="266"/>
        <v>0</v>
      </c>
      <c r="BR70" s="111">
        <f>BA70/(SUM(N58:INDEX(N58:P58,IF($A$2&lt;3,$A$2,3)))/SUM(N32:INDEX(N32:P32,IF($A$2&lt;3,$A$2,3))))</f>
        <v>1.1487259692721763</v>
      </c>
      <c r="BS70" s="111">
        <f>BB70/(SUM(Q58:INDEX(Q58:S58,$B$2))/SUM(Q32:INDEX(Q32:S32,$B$2)))</f>
        <v>1.277739776951673</v>
      </c>
      <c r="BV70" s="31">
        <f t="shared" si="274"/>
        <v>1.2256283670628338</v>
      </c>
    </row>
    <row r="71" spans="1:74" x14ac:dyDescent="0.25">
      <c r="A71" t="s">
        <v>1</v>
      </c>
      <c r="B71" s="12">
        <f t="shared" si="244"/>
        <v>1</v>
      </c>
      <c r="C71" s="12">
        <f t="shared" ref="C71:Y71" si="293">IFERROR(C59/C33,"")</f>
        <v>1.1864406779661016</v>
      </c>
      <c r="D71" s="12">
        <f t="shared" si="293"/>
        <v>1.4428571428571428</v>
      </c>
      <c r="E71" s="12">
        <f t="shared" si="293"/>
        <v>1.375</v>
      </c>
      <c r="F71" s="12">
        <f t="shared" si="293"/>
        <v>1.1901408450704225</v>
      </c>
      <c r="G71" s="12">
        <f t="shared" si="293"/>
        <v>1.1499999999999999</v>
      </c>
      <c r="H71" s="12">
        <f t="shared" si="293"/>
        <v>1.3972602739726028</v>
      </c>
      <c r="I71" s="12">
        <f t="shared" si="293"/>
        <v>1.2063492063492063</v>
      </c>
      <c r="J71" s="12">
        <f t="shared" si="293"/>
        <v>1.4178403755868545</v>
      </c>
      <c r="K71" s="12">
        <f t="shared" si="293"/>
        <v>1.2486486486486486</v>
      </c>
      <c r="L71" s="12">
        <f t="shared" si="293"/>
        <v>2.03125</v>
      </c>
      <c r="M71" s="12">
        <f t="shared" si="293"/>
        <v>1.7857142857142858</v>
      </c>
      <c r="N71" s="12">
        <f t="shared" si="293"/>
        <v>1.1717171717171717</v>
      </c>
      <c r="O71" s="12">
        <f t="shared" si="293"/>
        <v>1.2636363636363637</v>
      </c>
      <c r="P71" s="12">
        <f t="shared" si="293"/>
        <v>1.5767195767195767</v>
      </c>
      <c r="Q71" s="12">
        <f t="shared" si="293"/>
        <v>1.1793478260869565</v>
      </c>
      <c r="R71" s="12">
        <f t="shared" si="293"/>
        <v>1.4301075268817205</v>
      </c>
      <c r="S71" s="12">
        <f t="shared" si="293"/>
        <v>1.6779661016949152</v>
      </c>
      <c r="T71" s="12">
        <f t="shared" si="293"/>
        <v>1.347305389221557</v>
      </c>
      <c r="U71" s="12">
        <f t="shared" si="293"/>
        <v>1.5072992700729928</v>
      </c>
      <c r="V71" s="12">
        <f t="shared" si="293"/>
        <v>1.9202898550724639</v>
      </c>
      <c r="W71" s="12">
        <f t="shared" si="293"/>
        <v>1.7053571428571428</v>
      </c>
      <c r="X71" s="12">
        <f t="shared" si="293"/>
        <v>2.3006993006993008</v>
      </c>
      <c r="Y71" s="12">
        <f t="shared" si="293"/>
        <v>2.344758064516129</v>
      </c>
      <c r="Z71" s="21">
        <f t="shared" ref="Z71:AD71" si="294">IFERROR(Z59/Z33,"")</f>
        <v>1.4150298889837745</v>
      </c>
      <c r="AA71" s="21">
        <f t="shared" si="294"/>
        <v>1.3894472361809045</v>
      </c>
      <c r="AB71" s="21">
        <f t="shared" si="294"/>
        <v>1.4504950495049505</v>
      </c>
      <c r="AC71" s="21">
        <f t="shared" si="294"/>
        <v>1.5757918552036199</v>
      </c>
      <c r="AD71" s="21">
        <f t="shared" si="294"/>
        <v>2.1898608349900597</v>
      </c>
      <c r="AE71" s="21">
        <f t="shared" ref="AE71:AI71" si="295">IFERROR(AE59/AE33,"")</f>
        <v>1.2580862533692723</v>
      </c>
      <c r="AF71" s="21">
        <f t="shared" si="295"/>
        <v>1.21875</v>
      </c>
      <c r="AG71" s="21">
        <f t="shared" si="295"/>
        <v>1.2264851485148516</v>
      </c>
      <c r="AH71" s="21">
        <f t="shared" si="295"/>
        <v>1.3567010309278351</v>
      </c>
      <c r="AI71" s="21">
        <f t="shared" si="295"/>
        <v>1.718608169440242</v>
      </c>
      <c r="AJ71" s="31">
        <f t="shared" si="270"/>
        <v>0.12474791390033269</v>
      </c>
      <c r="AK71" s="31">
        <f t="shared" si="248"/>
        <v>0.14005927071253699</v>
      </c>
      <c r="AL71" s="31">
        <f t="shared" si="249"/>
        <v>0.18264379414732579</v>
      </c>
      <c r="AM71" s="31">
        <f t="shared" si="249"/>
        <v>0.16148791758929426</v>
      </c>
      <c r="AN71" s="31">
        <f t="shared" si="249"/>
        <v>0.27420599641587096</v>
      </c>
      <c r="AO71" s="10">
        <f t="shared" si="250"/>
        <v>1.0273972602739727</v>
      </c>
      <c r="AP71" s="10">
        <f t="shared" si="250"/>
        <v>1.1682242990654206</v>
      </c>
      <c r="AQ71" s="10">
        <f t="shared" ref="AQ71:AR71" si="296">IFERROR(AQ59/AQ33,"")</f>
        <v>1.3765060240963856</v>
      </c>
      <c r="AR71" s="10">
        <f t="shared" si="296"/>
        <v>1.6033519553072626</v>
      </c>
      <c r="AS71" s="10">
        <f t="shared" ref="AS71:AT71" si="297">IFERROR(AS59/AS33,"")</f>
        <v>5.6804733727810648</v>
      </c>
      <c r="AT71" s="10">
        <f t="shared" si="297"/>
        <v>2.0359116022099446</v>
      </c>
      <c r="AU71" s="10">
        <f>IFERROR(AU59/AU33,"")</f>
        <v>2.1644295302013421</v>
      </c>
      <c r="BA71" s="10">
        <f t="shared" si="254"/>
        <v>1.2384393063583814</v>
      </c>
      <c r="BB71" s="10">
        <f t="shared" si="254"/>
        <v>3.0538752362948962</v>
      </c>
      <c r="BC71" s="10">
        <f t="shared" si="254"/>
        <v>2.1644295302013421</v>
      </c>
      <c r="BD71" s="10" t="str">
        <f t="shared" si="254"/>
        <v/>
      </c>
      <c r="BE71" s="10">
        <f t="shared" si="254"/>
        <v>2.31103515625</v>
      </c>
      <c r="BF71" s="122">
        <f t="shared" si="255"/>
        <v>0.87683042040623538</v>
      </c>
      <c r="BG71" s="111">
        <f t="shared" si="256"/>
        <v>0.92449404962011694</v>
      </c>
      <c r="BH71" s="111">
        <f t="shared" si="257"/>
        <v>0.8730189213228754</v>
      </c>
      <c r="BI71" s="111">
        <f t="shared" si="258"/>
        <v>1.3595242386015498</v>
      </c>
      <c r="BJ71" s="111">
        <f t="shared" si="259"/>
        <v>3.9720603283356315</v>
      </c>
      <c r="BK71" s="111">
        <f t="shared" si="260"/>
        <v>1.2133210558624923</v>
      </c>
      <c r="BL71" s="111">
        <f t="shared" si="261"/>
        <v>1.6064876957494405</v>
      </c>
      <c r="BM71" s="111">
        <f t="shared" si="262"/>
        <v>0</v>
      </c>
      <c r="BN71" s="111">
        <f t="shared" si="263"/>
        <v>0</v>
      </c>
      <c r="BO71" s="111">
        <f t="shared" si="264"/>
        <v>0</v>
      </c>
      <c r="BP71" s="111">
        <f t="shared" si="265"/>
        <v>0</v>
      </c>
      <c r="BQ71" s="111">
        <f t="shared" si="266"/>
        <v>0</v>
      </c>
      <c r="BR71" s="111">
        <f>BA71/(SUM(N59:INDEX(N59:P59,IF($A$2&lt;3,$A$2,3)))/SUM(N33:INDEX(N33:P33,IF($A$2&lt;3,$A$2,3))))</f>
        <v>0.89131798179138477</v>
      </c>
      <c r="BS71" s="111">
        <f>BB71/(SUM(Q59:INDEX(Q59:S59,$B$2))/SUM(Q33:INDEX(Q33:S33,$B$2)))</f>
        <v>2.5894610298537368</v>
      </c>
      <c r="BV71" s="31">
        <f t="shared" si="274"/>
        <v>1.6332058949720882</v>
      </c>
    </row>
    <row r="72" spans="1:74" x14ac:dyDescent="0.25">
      <c r="A72" t="s">
        <v>2</v>
      </c>
      <c r="B72" s="12">
        <f t="shared" si="244"/>
        <v>1.1304347826086956</v>
      </c>
      <c r="C72" s="12">
        <f t="shared" ref="C72:Y72" si="298">IFERROR(C60/C34,"")</f>
        <v>1.1764705882352942</v>
      </c>
      <c r="D72" s="12">
        <f t="shared" si="298"/>
        <v>1.3</v>
      </c>
      <c r="E72" s="12">
        <f t="shared" si="298"/>
        <v>1</v>
      </c>
      <c r="F72" s="12">
        <f t="shared" si="298"/>
        <v>1.0487804878048781</v>
      </c>
      <c r="G72" s="12">
        <f t="shared" si="298"/>
        <v>1.2124999999999999</v>
      </c>
      <c r="H72" s="12">
        <f t="shared" si="298"/>
        <v>1.2045454545454546</v>
      </c>
      <c r="I72" s="12">
        <f t="shared" si="298"/>
        <v>1.1634615384615385</v>
      </c>
      <c r="J72" s="12">
        <f t="shared" si="298"/>
        <v>1.2389380530973451</v>
      </c>
      <c r="K72" s="12">
        <f t="shared" si="298"/>
        <v>1.1623376623376624</v>
      </c>
      <c r="L72" s="12">
        <f t="shared" si="298"/>
        <v>2</v>
      </c>
      <c r="M72" s="12">
        <f t="shared" si="298"/>
        <v>2.0107142857142857</v>
      </c>
      <c r="N72" s="12">
        <f t="shared" si="298"/>
        <v>1.5614035087719298</v>
      </c>
      <c r="O72" s="12">
        <f t="shared" si="298"/>
        <v>1.4615384615384615</v>
      </c>
      <c r="P72" s="12">
        <f t="shared" si="298"/>
        <v>1.7358490566037736</v>
      </c>
      <c r="Q72" s="12">
        <f t="shared" si="298"/>
        <v>1.3294117647058823</v>
      </c>
      <c r="R72" s="12">
        <f t="shared" si="298"/>
        <v>1.3119266055045871</v>
      </c>
      <c r="S72" s="12">
        <f t="shared" si="298"/>
        <v>1.5485714285714285</v>
      </c>
      <c r="T72" s="12">
        <f t="shared" si="298"/>
        <v>1.2868852459016393</v>
      </c>
      <c r="U72" s="12">
        <f t="shared" si="298"/>
        <v>1.3576642335766422</v>
      </c>
      <c r="V72" s="12">
        <f t="shared" si="298"/>
        <v>1.8848684210526316</v>
      </c>
      <c r="W72" s="12">
        <f t="shared" si="298"/>
        <v>1.5227272727272727</v>
      </c>
      <c r="X72" s="12">
        <f t="shared" si="298"/>
        <v>1.9645161290322581</v>
      </c>
      <c r="Y72" s="12">
        <f t="shared" si="298"/>
        <v>2.3588235294117648</v>
      </c>
      <c r="Z72" s="21">
        <f t="shared" ref="Z72:AD72" si="299">IFERROR(Z60/Z34,"")</f>
        <v>1.4631728045325778</v>
      </c>
      <c r="AA72" s="21">
        <f t="shared" si="299"/>
        <v>1.6232558139534883</v>
      </c>
      <c r="AB72" s="21">
        <f t="shared" si="299"/>
        <v>1.4281842818428185</v>
      </c>
      <c r="AC72" s="21">
        <f t="shared" si="299"/>
        <v>1.5316301703163018</v>
      </c>
      <c r="AD72" s="21">
        <f t="shared" si="299"/>
        <v>2.022163120567376</v>
      </c>
      <c r="AE72" s="21">
        <f t="shared" ref="AE72:AI72" si="300">IFERROR(AE60/AE34,"")</f>
        <v>1.1529126213592233</v>
      </c>
      <c r="AF72" s="21">
        <f t="shared" si="300"/>
        <v>1.2</v>
      </c>
      <c r="AG72" s="21">
        <f t="shared" si="300"/>
        <v>1.1029411764705883</v>
      </c>
      <c r="AH72" s="21">
        <f t="shared" si="300"/>
        <v>1.2129186602870814</v>
      </c>
      <c r="AI72" s="21">
        <f t="shared" si="300"/>
        <v>1.8157894736842106</v>
      </c>
      <c r="AJ72" s="31">
        <f t="shared" si="270"/>
        <v>0.2691098851945728</v>
      </c>
      <c r="AK72" s="31">
        <f t="shared" si="248"/>
        <v>0.3527131782945736</v>
      </c>
      <c r="AL72" s="31">
        <f t="shared" si="249"/>
        <v>0.29488708220415538</v>
      </c>
      <c r="AM72" s="31">
        <f t="shared" si="249"/>
        <v>0.26276412463947563</v>
      </c>
      <c r="AN72" s="31">
        <f t="shared" si="249"/>
        <v>0.1136550519066708</v>
      </c>
      <c r="AO72" s="10">
        <f t="shared" si="250"/>
        <v>1.4</v>
      </c>
      <c r="AP72" s="10">
        <f t="shared" si="250"/>
        <v>1.4565217391304348</v>
      </c>
      <c r="AQ72" s="10">
        <f t="shared" ref="AQ72:AR72" si="301">IFERROR(AQ60/AQ34,"")</f>
        <v>1.7</v>
      </c>
      <c r="AR72" s="10">
        <f t="shared" si="301"/>
        <v>1.8571428571428572</v>
      </c>
      <c r="AS72" s="10">
        <f t="shared" ref="AS72:AT72" si="302">IFERROR(AS60/AS34,"")</f>
        <v>1.732</v>
      </c>
      <c r="AT72" s="10">
        <f t="shared" si="302"/>
        <v>1.8347457627118644</v>
      </c>
      <c r="AU72" s="10">
        <f t="shared" ref="AU72" si="303">IFERROR(AU60/AU34,"")</f>
        <v>1.9017857142857142</v>
      </c>
      <c r="BA72" s="10">
        <f t="shared" si="254"/>
        <v>1.5323943661971831</v>
      </c>
      <c r="BB72" s="10">
        <f t="shared" si="254"/>
        <v>1.8093994778067886</v>
      </c>
      <c r="BC72" s="10">
        <f t="shared" si="254"/>
        <v>1.9017857142857142</v>
      </c>
      <c r="BD72" s="10" t="str">
        <f t="shared" si="254"/>
        <v/>
      </c>
      <c r="BE72" s="10">
        <f t="shared" si="254"/>
        <v>1.7058823529411764</v>
      </c>
      <c r="BF72" s="122">
        <f t="shared" si="255"/>
        <v>0.89662921348314606</v>
      </c>
      <c r="BG72" s="111">
        <f t="shared" si="256"/>
        <v>0.99656750572082387</v>
      </c>
      <c r="BH72" s="111">
        <f t="shared" si="257"/>
        <v>0.97934782608695647</v>
      </c>
      <c r="BI72" s="111">
        <f t="shared" si="258"/>
        <v>1.3969658659924147</v>
      </c>
      <c r="BJ72" s="111">
        <f t="shared" si="259"/>
        <v>1.3201958041958042</v>
      </c>
      <c r="BK72" s="111">
        <f t="shared" si="260"/>
        <v>1.1847989242604291</v>
      </c>
      <c r="BL72" s="111">
        <f t="shared" si="261"/>
        <v>1.4778207461328481</v>
      </c>
      <c r="BM72" s="111">
        <f t="shared" si="262"/>
        <v>0</v>
      </c>
      <c r="BN72" s="111">
        <f t="shared" si="263"/>
        <v>0</v>
      </c>
      <c r="BO72" s="111">
        <f t="shared" si="264"/>
        <v>0</v>
      </c>
      <c r="BP72" s="111">
        <f t="shared" si="265"/>
        <v>0</v>
      </c>
      <c r="BQ72" s="111">
        <f t="shared" si="266"/>
        <v>0</v>
      </c>
      <c r="BR72" s="111">
        <f>BA72/(SUM(N60:INDEX(N60:P60,IF($A$2&lt;3,$A$2,3)))/SUM(N34:INDEX(N34:P34,IF($A$2&lt;3,$A$2,3))))</f>
        <v>0.94402518261431057</v>
      </c>
      <c r="BS72" s="111">
        <f>BB72/(SUM(Q60:INDEX(Q60:S60,$B$2))/SUM(Q34:INDEX(Q34:S34,$B$2)))</f>
        <v>1.3610527045449294</v>
      </c>
      <c r="BV72" s="31">
        <f t="shared" si="274"/>
        <v>1.1658789362792552</v>
      </c>
    </row>
    <row r="73" spans="1:74" x14ac:dyDescent="0.25">
      <c r="A73" s="135" t="s">
        <v>136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31"/>
      <c r="AK73" s="31"/>
      <c r="AL73" s="31"/>
      <c r="AM73" s="31"/>
      <c r="AN73" s="31"/>
      <c r="AO73" s="10"/>
      <c r="AP73" s="10">
        <f t="shared" ref="AP73:AU73" si="304">IFERROR(AP61/AP35,"")</f>
        <v>1.1989795918367347</v>
      </c>
      <c r="AQ73" s="10">
        <f t="shared" si="304"/>
        <v>1.361842105263158</v>
      </c>
      <c r="AR73" s="10">
        <f t="shared" si="304"/>
        <v>1.4366666666666668</v>
      </c>
      <c r="AS73" s="10">
        <f t="shared" si="304"/>
        <v>1.2835820895522387</v>
      </c>
      <c r="AT73" s="10">
        <f t="shared" si="304"/>
        <v>1.0877192982456141</v>
      </c>
      <c r="AU73" s="10">
        <f t="shared" si="304"/>
        <v>1.4230769230769231</v>
      </c>
      <c r="BA73" s="10"/>
      <c r="BB73" s="10"/>
      <c r="BC73" s="10"/>
      <c r="BD73" s="10"/>
      <c r="BE73" s="10"/>
      <c r="BF73" s="122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V73" s="31"/>
    </row>
    <row r="74" spans="1:74" s="17" customFormat="1" x14ac:dyDescent="0.25">
      <c r="A74" s="1" t="s">
        <v>3</v>
      </c>
      <c r="B74" s="13">
        <f t="shared" ref="B74:Y74" si="305">IFERROR(B62/B36,"")</f>
        <v>1.2836624775583483</v>
      </c>
      <c r="C74" s="13">
        <f t="shared" si="305"/>
        <v>1.2881720430107526</v>
      </c>
      <c r="D74" s="13">
        <f t="shared" si="305"/>
        <v>1.5591900311526479</v>
      </c>
      <c r="E74" s="13">
        <f t="shared" si="305"/>
        <v>1.5456989247311828</v>
      </c>
      <c r="F74" s="13">
        <f t="shared" si="305"/>
        <v>1.3200908059023837</v>
      </c>
      <c r="G74" s="13">
        <f t="shared" si="305"/>
        <v>1.3867735470941884</v>
      </c>
      <c r="H74" s="13">
        <f t="shared" si="305"/>
        <v>1.4842829076620825</v>
      </c>
      <c r="I74" s="13">
        <f t="shared" si="305"/>
        <v>1.2932692307692308</v>
      </c>
      <c r="J74" s="13">
        <f t="shared" si="305"/>
        <v>1.5065982404692082</v>
      </c>
      <c r="K74" s="13">
        <f t="shared" si="305"/>
        <v>1.3938053097345133</v>
      </c>
      <c r="L74" s="13">
        <f t="shared" si="305"/>
        <v>1.9355311355311355</v>
      </c>
      <c r="M74" s="13">
        <f t="shared" si="305"/>
        <v>1.9368622448979591</v>
      </c>
      <c r="N74" s="5">
        <f t="shared" si="305"/>
        <v>1.2866141732283465</v>
      </c>
      <c r="O74" s="5">
        <f t="shared" si="305"/>
        <v>1.3177419354838709</v>
      </c>
      <c r="P74" s="5">
        <f t="shared" si="305"/>
        <v>1.7508960573476702</v>
      </c>
      <c r="Q74" s="5">
        <f t="shared" si="305"/>
        <v>1.5372829417773237</v>
      </c>
      <c r="R74" s="5">
        <f t="shared" si="305"/>
        <v>1.4972426470588236</v>
      </c>
      <c r="S74" s="5">
        <f t="shared" si="305"/>
        <v>1.6927747419550698</v>
      </c>
      <c r="T74" s="5">
        <f t="shared" si="305"/>
        <v>1.4343511450381679</v>
      </c>
      <c r="U74" s="5">
        <f t="shared" si="305"/>
        <v>1.4732394366197183</v>
      </c>
      <c r="V74" s="5">
        <f t="shared" si="305"/>
        <v>1.814878892733564</v>
      </c>
      <c r="W74" s="5">
        <f t="shared" si="305"/>
        <v>1.5675306957708048</v>
      </c>
      <c r="X74" s="5">
        <f t="shared" si="305"/>
        <v>1.8960363872644574</v>
      </c>
      <c r="Y74" s="5">
        <f t="shared" si="305"/>
        <v>2.0249999999999999</v>
      </c>
      <c r="Z74" s="23">
        <f t="shared" ref="Z74:AD74" si="306">IFERROR(Z62/Z36,"")</f>
        <v>1.5400946585530764</v>
      </c>
      <c r="AA74" s="23">
        <f t="shared" si="306"/>
        <v>1.513285533530156</v>
      </c>
      <c r="AB74" s="23">
        <f t="shared" si="306"/>
        <v>1.5945072697899838</v>
      </c>
      <c r="AC74" s="23">
        <f t="shared" si="306"/>
        <v>1.5945340501792116</v>
      </c>
      <c r="AD74" s="23">
        <f t="shared" si="306"/>
        <v>1.8676923076923078</v>
      </c>
      <c r="AE74" s="23">
        <f t="shared" ref="AE74:AI74" si="307">IFERROR(AE62/AE36,"")</f>
        <v>1.418096135721018</v>
      </c>
      <c r="AF74" s="23">
        <f t="shared" si="307"/>
        <v>1.3912259615384615</v>
      </c>
      <c r="AG74" s="23">
        <f t="shared" si="307"/>
        <v>1.409454822722074</v>
      </c>
      <c r="AH74" s="23">
        <f t="shared" si="307"/>
        <v>1.4443061605476042</v>
      </c>
      <c r="AI74" s="23">
        <f t="shared" si="307"/>
        <v>1.7853802608909672</v>
      </c>
      <c r="AJ74" s="32">
        <f t="shared" si="270"/>
        <v>8.6029797105419359E-2</v>
      </c>
      <c r="AK74" s="32">
        <f t="shared" si="248"/>
        <v>8.7735260386254676E-2</v>
      </c>
      <c r="AL74" s="32">
        <f t="shared" si="249"/>
        <v>0.1312936350173457</v>
      </c>
      <c r="AM74" s="31">
        <f t="shared" si="249"/>
        <v>0.10401388136061751</v>
      </c>
      <c r="AN74" s="31">
        <f t="shared" si="249"/>
        <v>4.6103370023965695E-2</v>
      </c>
      <c r="AO74" s="11">
        <f t="shared" ref="AO74:AP74" si="308">IFERROR(AO62/AO36,"")</f>
        <v>1.5690499510284035</v>
      </c>
      <c r="AP74" s="11">
        <f t="shared" si="308"/>
        <v>1.6109570041608876</v>
      </c>
      <c r="AQ74" s="11">
        <f t="shared" ref="AQ74:AR74" si="309">IFERROR(AQ62/AQ36,"")</f>
        <v>1.839686684073107</v>
      </c>
      <c r="AR74" s="11">
        <f t="shared" si="309"/>
        <v>1.8621509209744505</v>
      </c>
      <c r="AS74" s="11">
        <f t="shared" ref="AS74:AT74" si="310">IFERROR(AS62/AS36,"")</f>
        <v>2.2644853442399455</v>
      </c>
      <c r="AT74" s="11">
        <f t="shared" si="310"/>
        <v>1.8342161016949152</v>
      </c>
      <c r="AU74" s="11">
        <f t="shared" ref="AU74" si="311">IFERROR(AU62/AU36,"")</f>
        <v>1.8127183787561145</v>
      </c>
      <c r="BA74" s="11">
        <f t="shared" ref="BA74:BE74" si="312">IFERROR(BA62/BA36,"")</f>
        <v>1.7012334399269073</v>
      </c>
      <c r="BB74" s="11">
        <f t="shared" si="312"/>
        <v>1.9688368400158793</v>
      </c>
      <c r="BC74" s="11">
        <f t="shared" si="312"/>
        <v>1.8127183787561145</v>
      </c>
      <c r="BD74" s="11" t="str">
        <f t="shared" si="312"/>
        <v/>
      </c>
      <c r="BE74" s="11">
        <f t="shared" si="312"/>
        <v>1.840232322301097</v>
      </c>
      <c r="BF74" s="123">
        <f t="shared" si="255"/>
        <v>1.2195186277882941</v>
      </c>
      <c r="BG74" s="118">
        <f t="shared" si="256"/>
        <v>1.2225132712114448</v>
      </c>
      <c r="BH74" s="118">
        <f t="shared" si="257"/>
        <v>1.0507115350182126</v>
      </c>
      <c r="BI74" s="118">
        <f t="shared" si="258"/>
        <v>1.2113260808199249</v>
      </c>
      <c r="BJ74" s="118">
        <f t="shared" si="259"/>
        <v>1.512437111438343</v>
      </c>
      <c r="BK74" s="118">
        <f t="shared" si="260"/>
        <v>1.0835559252121683</v>
      </c>
      <c r="BL74" s="118">
        <f t="shared" si="261"/>
        <v>1.2637898223366206</v>
      </c>
      <c r="BM74" s="118">
        <f t="shared" si="262"/>
        <v>0</v>
      </c>
      <c r="BN74" s="118">
        <f t="shared" si="263"/>
        <v>0</v>
      </c>
      <c r="BO74" s="118">
        <f t="shared" si="264"/>
        <v>0</v>
      </c>
      <c r="BP74" s="118">
        <f t="shared" si="265"/>
        <v>0</v>
      </c>
      <c r="BQ74" s="118">
        <f t="shared" si="266"/>
        <v>0</v>
      </c>
      <c r="BR74" s="118">
        <f>BA74/(SUM(N62:INDEX(N62:P62,IF($A$2&lt;3,$A$2,3)))/SUM(N36:INDEX(N36:P36,IF($A$2&lt;3,$A$2,3))))</f>
        <v>1.1241985747120116</v>
      </c>
      <c r="BS74" s="111">
        <f>BB74/(SUM(Q62:INDEX(Q62:S62,$B$2))/SUM(Q36:INDEX(Q36:S36,$B$2)))</f>
        <v>1.2807250939372399</v>
      </c>
      <c r="BV74" s="32">
        <f t="shared" si="274"/>
        <v>1.1948826080794286</v>
      </c>
    </row>
    <row r="75" spans="1:74" x14ac:dyDescent="0.25">
      <c r="W75" s="8"/>
      <c r="BF75" s="124"/>
    </row>
    <row r="76" spans="1:74" x14ac:dyDescent="0.25">
      <c r="BF76" s="124"/>
    </row>
    <row r="77" spans="1:74" s="17" customFormat="1" x14ac:dyDescent="0.25">
      <c r="A77" s="2" t="s">
        <v>14</v>
      </c>
      <c r="B77" s="3">
        <f t="shared" ref="B77:Y77" si="313">B40</f>
        <v>42005</v>
      </c>
      <c r="C77" s="3">
        <f t="shared" si="313"/>
        <v>42036</v>
      </c>
      <c r="D77" s="3">
        <f t="shared" si="313"/>
        <v>42064</v>
      </c>
      <c r="E77" s="3">
        <f t="shared" si="313"/>
        <v>42095</v>
      </c>
      <c r="F77" s="3">
        <f t="shared" si="313"/>
        <v>42125</v>
      </c>
      <c r="G77" s="3">
        <f t="shared" si="313"/>
        <v>42156</v>
      </c>
      <c r="H77" s="3">
        <f t="shared" si="313"/>
        <v>42186</v>
      </c>
      <c r="I77" s="3">
        <f t="shared" si="313"/>
        <v>42217</v>
      </c>
      <c r="J77" s="3">
        <f t="shared" si="313"/>
        <v>42248</v>
      </c>
      <c r="K77" s="3">
        <f t="shared" si="313"/>
        <v>42278</v>
      </c>
      <c r="L77" s="3">
        <f t="shared" si="313"/>
        <v>42309</v>
      </c>
      <c r="M77" s="3">
        <f t="shared" si="313"/>
        <v>42339</v>
      </c>
      <c r="N77" s="3">
        <f t="shared" si="313"/>
        <v>42370</v>
      </c>
      <c r="O77" s="3">
        <f t="shared" si="313"/>
        <v>42401</v>
      </c>
      <c r="P77" s="3">
        <f t="shared" si="313"/>
        <v>42430</v>
      </c>
      <c r="Q77" s="3">
        <f t="shared" si="313"/>
        <v>42461</v>
      </c>
      <c r="R77" s="3">
        <f t="shared" si="313"/>
        <v>42491</v>
      </c>
      <c r="S77" s="3">
        <f t="shared" si="313"/>
        <v>42522</v>
      </c>
      <c r="T77" s="3">
        <f t="shared" si="313"/>
        <v>42552</v>
      </c>
      <c r="U77" s="3">
        <f t="shared" si="313"/>
        <v>42583</v>
      </c>
      <c r="V77" s="3">
        <f t="shared" si="313"/>
        <v>42614</v>
      </c>
      <c r="W77" s="3">
        <f t="shared" si="313"/>
        <v>42644</v>
      </c>
      <c r="X77" s="3">
        <f t="shared" si="313"/>
        <v>42675</v>
      </c>
      <c r="Y77" s="3">
        <f t="shared" si="313"/>
        <v>42705</v>
      </c>
      <c r="Z77" s="29" t="s">
        <v>18</v>
      </c>
      <c r="AA77" s="29" t="s">
        <v>19</v>
      </c>
      <c r="AB77" s="29" t="s">
        <v>20</v>
      </c>
      <c r="AC77" s="29" t="s">
        <v>21</v>
      </c>
      <c r="AD77" s="29" t="s">
        <v>22</v>
      </c>
      <c r="AE77" s="26" t="str">
        <f t="shared" ref="AE77:AI77" si="314">AE53</f>
        <v>YTD 7/15</v>
      </c>
      <c r="AF77" s="26" t="str">
        <f t="shared" si="314"/>
        <v>Q1 '15</v>
      </c>
      <c r="AG77" s="26" t="str">
        <f t="shared" si="314"/>
        <v>Q2 '15</v>
      </c>
      <c r="AH77" s="26" t="str">
        <f t="shared" si="314"/>
        <v>Q3 '15</v>
      </c>
      <c r="AI77" s="26" t="str">
        <f t="shared" si="314"/>
        <v>Q4 '15</v>
      </c>
      <c r="AJ77" s="30" t="s">
        <v>27</v>
      </c>
      <c r="AK77" s="30" t="s">
        <v>29</v>
      </c>
      <c r="AL77" s="30" t="s">
        <v>30</v>
      </c>
      <c r="AM77" s="30" t="s">
        <v>31</v>
      </c>
      <c r="AN77" s="30" t="s">
        <v>32</v>
      </c>
      <c r="AO77" s="108">
        <v>42736</v>
      </c>
      <c r="AP77" s="108">
        <v>42767</v>
      </c>
      <c r="AQ77" s="108">
        <v>42795</v>
      </c>
      <c r="AR77" s="108">
        <v>42826</v>
      </c>
      <c r="AS77" s="108">
        <v>42856</v>
      </c>
      <c r="AT77" s="108">
        <v>42887</v>
      </c>
      <c r="AU77" s="108">
        <v>42917</v>
      </c>
      <c r="AV77" s="108">
        <v>42948</v>
      </c>
      <c r="AW77" s="108">
        <v>42979</v>
      </c>
      <c r="AX77" s="108">
        <v>43009</v>
      </c>
      <c r="AY77" s="108">
        <v>43040</v>
      </c>
      <c r="AZ77" s="108">
        <v>43070</v>
      </c>
      <c r="BA77" s="29" t="s">
        <v>123</v>
      </c>
      <c r="BB77" s="29" t="s">
        <v>124</v>
      </c>
      <c r="BC77" s="29" t="s">
        <v>125</v>
      </c>
      <c r="BD77" s="29" t="s">
        <v>126</v>
      </c>
      <c r="BE77" s="29" t="str">
        <f>"YTD " &amp; A76 &amp;"/17"</f>
        <v>YTD /17</v>
      </c>
      <c r="BF77" s="121">
        <v>42736</v>
      </c>
      <c r="BG77" s="108">
        <v>42767</v>
      </c>
      <c r="BH77" s="108">
        <v>42795</v>
      </c>
      <c r="BI77" s="108">
        <v>42826</v>
      </c>
      <c r="BJ77" s="108">
        <v>42856</v>
      </c>
      <c r="BK77" s="108">
        <v>42887</v>
      </c>
      <c r="BL77" s="108">
        <v>42917</v>
      </c>
      <c r="BM77" s="108">
        <v>42948</v>
      </c>
      <c r="BN77" s="108">
        <v>42979</v>
      </c>
      <c r="BO77" s="108">
        <v>43009</v>
      </c>
      <c r="BP77" s="108">
        <v>43040</v>
      </c>
      <c r="BQ77" s="108">
        <v>43070</v>
      </c>
      <c r="BR77" s="29" t="s">
        <v>127</v>
      </c>
      <c r="BS77" s="29" t="s">
        <v>128</v>
      </c>
      <c r="BT77" s="29" t="s">
        <v>96</v>
      </c>
      <c r="BU77" s="29" t="s">
        <v>129</v>
      </c>
      <c r="BV77" s="112" t="s">
        <v>130</v>
      </c>
    </row>
    <row r="78" spans="1:74" x14ac:dyDescent="0.25">
      <c r="A78" t="s">
        <v>4</v>
      </c>
      <c r="B78" s="4">
        <f t="shared" ref="B78:B84" si="315">IFERROR(B4/B54,"")</f>
        <v>25.032451219512197</v>
      </c>
      <c r="C78" s="4">
        <f t="shared" ref="C78:Y78" si="316">IFERROR(C4/C54,"")</f>
        <v>19.755242424242425</v>
      </c>
      <c r="D78" s="4">
        <f t="shared" si="316"/>
        <v>33.425615384615384</v>
      </c>
      <c r="E78" s="4">
        <f t="shared" si="316"/>
        <v>33.375156804733727</v>
      </c>
      <c r="F78" s="4">
        <f t="shared" si="316"/>
        <v>27.285160337552746</v>
      </c>
      <c r="G78" s="4">
        <f t="shared" si="316"/>
        <v>32.193661016949157</v>
      </c>
      <c r="H78" s="4">
        <f t="shared" si="316"/>
        <v>43.875194767441855</v>
      </c>
      <c r="I78" s="4">
        <f t="shared" si="316"/>
        <v>25.721978609625669</v>
      </c>
      <c r="J78" s="4">
        <f t="shared" si="316"/>
        <v>35.026007751937982</v>
      </c>
      <c r="K78" s="4">
        <f t="shared" si="316"/>
        <v>27.151162393162334</v>
      </c>
      <c r="L78" s="4">
        <f t="shared" si="316"/>
        <v>27.188452247191012</v>
      </c>
      <c r="M78" s="4">
        <f t="shared" si="316"/>
        <v>31.669962393162354</v>
      </c>
      <c r="N78" s="4">
        <f t="shared" si="316"/>
        <v>35.149828124999999</v>
      </c>
      <c r="O78" s="4">
        <f t="shared" si="316"/>
        <v>31.867835820895074</v>
      </c>
      <c r="P78" s="4">
        <f t="shared" si="316"/>
        <v>26.925121951219452</v>
      </c>
      <c r="Q78" s="4">
        <f t="shared" si="316"/>
        <v>37.592350282485882</v>
      </c>
      <c r="R78" s="4">
        <f t="shared" si="316"/>
        <v>31.795125000000002</v>
      </c>
      <c r="S78" s="4">
        <f t="shared" si="316"/>
        <v>27.800063432835824</v>
      </c>
      <c r="T78" s="4">
        <f t="shared" si="316"/>
        <v>31.257836363636365</v>
      </c>
      <c r="U78" s="4">
        <f t="shared" si="316"/>
        <v>25.938352657004828</v>
      </c>
      <c r="V78" s="4">
        <f t="shared" si="316"/>
        <v>25.281529010238909</v>
      </c>
      <c r="W78" s="4">
        <f t="shared" si="316"/>
        <v>27.026854700854699</v>
      </c>
      <c r="X78" s="4">
        <f t="shared" si="316"/>
        <v>28.059678700361012</v>
      </c>
      <c r="Y78" s="4">
        <f t="shared" si="316"/>
        <v>32.110261574074073</v>
      </c>
      <c r="Z78" s="4">
        <f t="shared" ref="Z78:AD78" si="317">IFERROR(Z4/Z54,"")</f>
        <v>31.617058574879181</v>
      </c>
      <c r="AA78" s="4">
        <f t="shared" si="317"/>
        <v>29.832047457626981</v>
      </c>
      <c r="AB78" s="4">
        <f t="shared" si="317"/>
        <v>32.95533924349882</v>
      </c>
      <c r="AC78" s="4">
        <f t="shared" si="317"/>
        <v>27.296459722222224</v>
      </c>
      <c r="AD78" s="4">
        <f t="shared" si="317"/>
        <v>29.659011664899253</v>
      </c>
      <c r="AE78" s="4">
        <f t="shared" ref="AE78:AI78" si="318">IFERROR(AE4/AE54,"")</f>
        <v>32.645109220636662</v>
      </c>
      <c r="AF78" s="4">
        <f t="shared" si="318"/>
        <v>28.193759868421054</v>
      </c>
      <c r="AG78" s="4">
        <f t="shared" si="318"/>
        <v>31.315535632183909</v>
      </c>
      <c r="AH78" s="4">
        <f t="shared" si="318"/>
        <v>36.446777777777768</v>
      </c>
      <c r="AI78" s="4">
        <f t="shared" si="318"/>
        <v>29.207488390092845</v>
      </c>
      <c r="AJ78" s="31">
        <f>Z78/AE78-1</f>
        <v>-3.1491720208661422E-2</v>
      </c>
      <c r="AK78" s="31">
        <f t="shared" ref="AK78:AK86" si="319">AA78/AF78-1</f>
        <v>5.8108162829354271E-2</v>
      </c>
      <c r="AL78" s="31">
        <f t="shared" ref="AL78:AN86" si="320">AB78/AG78-1</f>
        <v>5.236390111844802E-2</v>
      </c>
      <c r="AM78" s="31">
        <f t="shared" si="320"/>
        <v>-0.25105972635898288</v>
      </c>
      <c r="AN78" s="31">
        <f t="shared" si="320"/>
        <v>1.5459161321093484E-2</v>
      </c>
      <c r="AO78" s="4">
        <f t="shared" ref="AO78:AP78" si="321">IFERROR(AO4/AO54,"")</f>
        <v>22.4601875</v>
      </c>
      <c r="AP78" s="4">
        <f t="shared" si="321"/>
        <v>32.71586585365857</v>
      </c>
      <c r="AQ78" s="4">
        <f t="shared" ref="AQ78:AR78" si="322">IFERROR(AQ4/AQ54,"")</f>
        <v>26.061524547803621</v>
      </c>
      <c r="AR78" s="4">
        <f t="shared" si="322"/>
        <v>25.610891495601233</v>
      </c>
      <c r="AS78" s="4">
        <f t="shared" ref="AS78:AT78" si="323">IFERROR(AS4/AS54,"")</f>
        <v>23.589915014164305</v>
      </c>
      <c r="AT78" s="4">
        <f t="shared" si="323"/>
        <v>24.274827144686299</v>
      </c>
      <c r="AU78" s="4">
        <f t="shared" ref="AU78" si="324">IFERROR(AU4/AU54,"")</f>
        <v>25.155434482758679</v>
      </c>
      <c r="BA78" s="4">
        <f t="shared" ref="BA78:BE78" si="325">IFERROR(BA4/BA54,"")</f>
        <v>27.289917037861926</v>
      </c>
      <c r="BB78" s="4">
        <f t="shared" si="325"/>
        <v>24.471990779160919</v>
      </c>
      <c r="BC78" s="4">
        <f t="shared" si="325"/>
        <v>25.155434482758679</v>
      </c>
      <c r="BD78" s="4" t="str">
        <f t="shared" si="325"/>
        <v/>
      </c>
      <c r="BE78" s="4">
        <f t="shared" si="325"/>
        <v>25.672737293729391</v>
      </c>
      <c r="BF78" s="122">
        <f t="shared" ref="BF78:BF86" si="326">AO78/N78</f>
        <v>0.63898427668342972</v>
      </c>
      <c r="BG78" s="111">
        <f t="shared" ref="BG78:BG86" si="327">AP78/O78</f>
        <v>1.0266108447881315</v>
      </c>
      <c r="BH78" s="111">
        <f t="shared" ref="BH78:BH86" si="328">AQ78/P78</f>
        <v>0.9679259613018496</v>
      </c>
      <c r="BI78" s="111">
        <f t="shared" ref="BI78:BI86" si="329">AR78/Q78</f>
        <v>0.68127933750216307</v>
      </c>
      <c r="BJ78" s="111">
        <f t="shared" ref="BJ78:BJ86" si="330">AS78/R78</f>
        <v>0.74193496689081428</v>
      </c>
      <c r="BK78" s="111">
        <f t="shared" ref="BK78:BK86" si="331">AT78/S78</f>
        <v>0.87319322861739512</v>
      </c>
      <c r="BL78" s="111">
        <f t="shared" ref="BL78:BL86" si="332">AU78/T78</f>
        <v>0.80477209587107312</v>
      </c>
      <c r="BM78" s="111">
        <f t="shared" ref="BM78:BM86" si="333">AV78/U78</f>
        <v>0</v>
      </c>
      <c r="BN78" s="111">
        <f t="shared" ref="BN78:BN86" si="334">AW78/V78</f>
        <v>0</v>
      </c>
      <c r="BO78" s="111">
        <f t="shared" ref="BO78:BO86" si="335">AX78/W78</f>
        <v>0</v>
      </c>
      <c r="BP78" s="111">
        <f t="shared" ref="BP78:BP86" si="336">AY78/X78</f>
        <v>0</v>
      </c>
      <c r="BQ78" s="111">
        <f t="shared" ref="BQ78:BQ86" si="337">AZ78/Y78</f>
        <v>0</v>
      </c>
      <c r="BR78" s="111">
        <f>IFERROR(BA78/(SUM(N4:INDEX(N4:P4,IF($A$2&lt;3,$A$2,3)))/SUM(N54:INDEX(N54:P54,IF($A$2&lt;3,$A$2,3)))),0)</f>
        <v>0.91478525155285229</v>
      </c>
      <c r="BS78" s="111">
        <f>IFERROR(BB78/(SUM(Q4:INDEX(Q4:S4,IF($A$2&lt;7,$A$2-3,3)))/SUM(Q54:INDEX(Q54:S54,IF($A$2&lt;7,$A$2-3,3)))),0)</f>
        <v>0.74258045406067452</v>
      </c>
      <c r="BT78" s="111"/>
      <c r="BU78" s="111"/>
      <c r="BV78" s="111">
        <f>IFERROR(BE78/Z78,0)</f>
        <v>0.81199006014200337</v>
      </c>
    </row>
    <row r="79" spans="1:74" x14ac:dyDescent="0.25">
      <c r="A79" t="s">
        <v>5</v>
      </c>
      <c r="B79" s="4">
        <f t="shared" si="315"/>
        <v>14.38318181818182</v>
      </c>
      <c r="C79" s="4">
        <f t="shared" ref="C79:Y79" si="338">IFERROR(C5/C55,"")</f>
        <v>13.360600000000002</v>
      </c>
      <c r="D79" s="4">
        <f t="shared" si="338"/>
        <v>14.565520100502512</v>
      </c>
      <c r="E79" s="4">
        <f t="shared" si="338"/>
        <v>20.581070833333335</v>
      </c>
      <c r="F79" s="4">
        <f t="shared" si="338"/>
        <v>16.455992366412215</v>
      </c>
      <c r="G79" s="4">
        <f t="shared" si="338"/>
        <v>14.468648351648351</v>
      </c>
      <c r="H79" s="4">
        <f t="shared" si="338"/>
        <v>13.00454</v>
      </c>
      <c r="I79" s="4">
        <f t="shared" si="338"/>
        <v>13.077528634361235</v>
      </c>
      <c r="J79" s="4">
        <f t="shared" si="338"/>
        <v>15.813219211822659</v>
      </c>
      <c r="K79" s="4">
        <f t="shared" si="338"/>
        <v>14.314713754646842</v>
      </c>
      <c r="L79" s="4">
        <f t="shared" si="338"/>
        <v>14.269789223454881</v>
      </c>
      <c r="M79" s="4">
        <f t="shared" si="338"/>
        <v>17.062187022900762</v>
      </c>
      <c r="N79" s="4">
        <f t="shared" si="338"/>
        <v>16.685963414634145</v>
      </c>
      <c r="O79" s="4">
        <f t="shared" si="338"/>
        <v>13.424341463414635</v>
      </c>
      <c r="P79" s="4">
        <f t="shared" si="338"/>
        <v>17.039792910447765</v>
      </c>
      <c r="Q79" s="4">
        <f t="shared" si="338"/>
        <v>21.221091168091196</v>
      </c>
      <c r="R79" s="4">
        <f t="shared" si="338"/>
        <v>15.061581280788179</v>
      </c>
      <c r="S79" s="4">
        <f t="shared" si="338"/>
        <v>13.264700523560283</v>
      </c>
      <c r="T79" s="4">
        <f t="shared" si="338"/>
        <v>13.084938369781332</v>
      </c>
      <c r="U79" s="4">
        <f t="shared" si="338"/>
        <v>13.785278065630431</v>
      </c>
      <c r="V79" s="4">
        <f t="shared" si="338"/>
        <v>14.281856843209281</v>
      </c>
      <c r="W79" s="4">
        <f t="shared" si="338"/>
        <v>13.349836606441508</v>
      </c>
      <c r="X79" s="4">
        <f t="shared" si="338"/>
        <v>15.22481029810305</v>
      </c>
      <c r="Y79" s="4">
        <f t="shared" si="338"/>
        <v>14.360200000000079</v>
      </c>
      <c r="Z79" s="4">
        <f t="shared" ref="Z79:AD79" si="339">IFERROR(Z5/Z55,"")</f>
        <v>15.236875471698145</v>
      </c>
      <c r="AA79" s="4">
        <f t="shared" si="339"/>
        <v>16.574820000000003</v>
      </c>
      <c r="AB79" s="4">
        <f t="shared" si="339"/>
        <v>15.322075934579486</v>
      </c>
      <c r="AC79" s="4">
        <f t="shared" si="339"/>
        <v>13.844829525915047</v>
      </c>
      <c r="AD79" s="4">
        <f t="shared" si="339"/>
        <v>14.358412194687176</v>
      </c>
      <c r="AE79" s="4">
        <f t="shared" ref="AE79:AI79" si="340">IFERROR(AE5/AE55,"")</f>
        <v>15.30803939899833</v>
      </c>
      <c r="AF79" s="4">
        <f t="shared" si="340"/>
        <v>14.26757876712329</v>
      </c>
      <c r="AG79" s="4">
        <f t="shared" si="340"/>
        <v>17.086681465821002</v>
      </c>
      <c r="AH79" s="4">
        <f t="shared" si="340"/>
        <v>14.181439471007121</v>
      </c>
      <c r="AI79" s="4">
        <f t="shared" si="340"/>
        <v>15.305815308988784</v>
      </c>
      <c r="AJ79" s="31">
        <f t="shared" ref="AJ79:AJ86" si="341">Z79/AE79-1</f>
        <v>-4.6487943651910557E-3</v>
      </c>
      <c r="AK79" s="31">
        <f t="shared" si="319"/>
        <v>0.16171217769571933</v>
      </c>
      <c r="AL79" s="31">
        <f t="shared" si="320"/>
        <v>-0.10327374187733929</v>
      </c>
      <c r="AM79" s="31">
        <f t="shared" si="320"/>
        <v>-2.3735950485156754E-2</v>
      </c>
      <c r="AN79" s="31">
        <f t="shared" si="320"/>
        <v>-6.1898245547574171E-2</v>
      </c>
      <c r="AO79" s="4">
        <f t="shared" ref="AO79:AP79" si="342">IFERROR(AO5/AO55,"")</f>
        <v>14.10920350877193</v>
      </c>
      <c r="AP79" s="4">
        <f t="shared" si="342"/>
        <v>13.761591549295796</v>
      </c>
      <c r="AQ79" s="4">
        <f t="shared" ref="AQ79:AR79" si="343">IFERROR(AQ5/AQ55,"")</f>
        <v>14.575081135902636</v>
      </c>
      <c r="AR79" s="4">
        <f t="shared" si="343"/>
        <v>14.734713692946084</v>
      </c>
      <c r="AS79" s="4">
        <f t="shared" ref="AS79:AT79" si="344">IFERROR(AS5/AS55,"")</f>
        <v>14.356526237989653</v>
      </c>
      <c r="AT79" s="4">
        <f t="shared" si="344"/>
        <v>13.787705035971223</v>
      </c>
      <c r="AU79" s="4">
        <f t="shared" ref="AU79" si="345">IFERROR(AU5/AU55,"")</f>
        <v>14.037919191919277</v>
      </c>
      <c r="BA79" s="4">
        <f t="shared" ref="BA79:BE79" si="346">IFERROR(BA5/BA55,"")</f>
        <v>14.29262875662935</v>
      </c>
      <c r="BB79" s="4">
        <f t="shared" si="346"/>
        <v>14.171105215988538</v>
      </c>
      <c r="BC79" s="4">
        <f t="shared" si="346"/>
        <v>14.037919191919277</v>
      </c>
      <c r="BD79" s="4" t="str">
        <f t="shared" si="346"/>
        <v/>
      </c>
      <c r="BE79" s="4">
        <f t="shared" si="346"/>
        <v>14.190190584446356</v>
      </c>
      <c r="BF79" s="122">
        <f t="shared" si="326"/>
        <v>0.84557320174858408</v>
      </c>
      <c r="BG79" s="111">
        <f t="shared" si="327"/>
        <v>1.0251222815510368</v>
      </c>
      <c r="BH79" s="111">
        <f t="shared" si="328"/>
        <v>0.85535553234136319</v>
      </c>
      <c r="BI79" s="111">
        <f t="shared" si="329"/>
        <v>0.69434288634044117</v>
      </c>
      <c r="BJ79" s="111">
        <f t="shared" si="330"/>
        <v>0.95318851124231829</v>
      </c>
      <c r="BK79" s="111">
        <f t="shared" si="331"/>
        <v>1.0394282940260882</v>
      </c>
      <c r="BL79" s="111">
        <f t="shared" si="332"/>
        <v>1.0728303638279857</v>
      </c>
      <c r="BM79" s="111">
        <f t="shared" si="333"/>
        <v>0</v>
      </c>
      <c r="BN79" s="111">
        <f t="shared" si="334"/>
        <v>0</v>
      </c>
      <c r="BO79" s="111">
        <f t="shared" si="335"/>
        <v>0</v>
      </c>
      <c r="BP79" s="111">
        <f t="shared" si="336"/>
        <v>0</v>
      </c>
      <c r="BQ79" s="111">
        <f t="shared" si="337"/>
        <v>0</v>
      </c>
      <c r="BR79" s="111">
        <f>IFERROR(BA79/(SUM(N5:INDEX(N5:P5,IF($A$2&lt;3,$A$2,3)))/SUM(N55:INDEX(N55:P55,IF($A$2&lt;3,$A$2,3)))),0)</f>
        <v>0.86230974192355314</v>
      </c>
      <c r="BS79" s="111">
        <f>IFERROR(BB79/(SUM(Q5:INDEX(Q5:S5,IF($A$2&lt;7,$A$2-3,3)))/SUM(Q55:INDEX(Q55:S55,IF($A$2&lt;7,$A$2-3,3)))),0)</f>
        <v>0.92488154193300987</v>
      </c>
      <c r="BT79" s="111"/>
      <c r="BU79" s="111"/>
      <c r="BV79" s="111">
        <f t="shared" ref="BV79:BV86" si="347">IFERROR(BE79/Z79,0)</f>
        <v>0.93130580549824915</v>
      </c>
    </row>
    <row r="80" spans="1:74" x14ac:dyDescent="0.25">
      <c r="A80" t="s">
        <v>6</v>
      </c>
      <c r="B80" s="4">
        <f t="shared" si="315"/>
        <v>12.821111888111886</v>
      </c>
      <c r="C80" s="4">
        <f t="shared" ref="C80:Y80" si="348">IFERROR(C6/C56,"")</f>
        <v>14.199015384615377</v>
      </c>
      <c r="D80" s="4">
        <f t="shared" si="348"/>
        <v>18.394213675213674</v>
      </c>
      <c r="E80" s="4">
        <f t="shared" si="348"/>
        <v>16.393338383838383</v>
      </c>
      <c r="F80" s="4">
        <f t="shared" si="348"/>
        <v>14.638915433403806</v>
      </c>
      <c r="G80" s="4">
        <f t="shared" si="348"/>
        <v>16.364360730593607</v>
      </c>
      <c r="H80" s="4">
        <f t="shared" si="348"/>
        <v>14.968020746887968</v>
      </c>
      <c r="I80" s="4">
        <f t="shared" si="348"/>
        <v>14.499375000000002</v>
      </c>
      <c r="J80" s="4">
        <f t="shared" si="348"/>
        <v>15.49359265442404</v>
      </c>
      <c r="K80" s="4">
        <f t="shared" si="348"/>
        <v>16.29332638888889</v>
      </c>
      <c r="L80" s="4">
        <f t="shared" si="348"/>
        <v>13.280004329004329</v>
      </c>
      <c r="M80" s="4">
        <f t="shared" si="348"/>
        <v>14.402994295028542</v>
      </c>
      <c r="N80" s="4">
        <f t="shared" si="348"/>
        <v>14.015318518518503</v>
      </c>
      <c r="O80" s="4">
        <f t="shared" si="348"/>
        <v>12.947682926829268</v>
      </c>
      <c r="P80" s="4">
        <f t="shared" si="348"/>
        <v>17.606922222222224</v>
      </c>
      <c r="Q80" s="4">
        <f t="shared" si="348"/>
        <v>15.754151999999999</v>
      </c>
      <c r="R80" s="4">
        <f t="shared" si="348"/>
        <v>14.32756640625</v>
      </c>
      <c r="S80" s="4">
        <f t="shared" si="348"/>
        <v>14.885038062283739</v>
      </c>
      <c r="T80" s="4">
        <f t="shared" si="348"/>
        <v>13.415937343358395</v>
      </c>
      <c r="U80" s="4">
        <f t="shared" si="348"/>
        <v>11.805724035608309</v>
      </c>
      <c r="V80" s="4">
        <f t="shared" si="348"/>
        <v>14.304618962432953</v>
      </c>
      <c r="W80" s="4">
        <f t="shared" si="348"/>
        <v>17.98480137772675</v>
      </c>
      <c r="X80" s="4">
        <f t="shared" si="348"/>
        <v>15.971150608044923</v>
      </c>
      <c r="Y80" s="4">
        <f t="shared" si="348"/>
        <v>14.917952871870428</v>
      </c>
      <c r="Z80" s="4">
        <f t="shared" ref="Z80:AD80" si="349">IFERROR(Z6/Z56,"")</f>
        <v>14.555101185050136</v>
      </c>
      <c r="AA80" s="4">
        <f t="shared" si="349"/>
        <v>14.783065146579798</v>
      </c>
      <c r="AB80" s="4">
        <f t="shared" si="349"/>
        <v>14.964405534858969</v>
      </c>
      <c r="AC80" s="4">
        <f t="shared" si="349"/>
        <v>13.380517374517389</v>
      </c>
      <c r="AD80" s="4">
        <f t="shared" si="349"/>
        <v>16.069285021225006</v>
      </c>
      <c r="AE80" s="4">
        <f t="shared" ref="AE80:AI80" si="350">IFERROR(AE6/AE56,"")</f>
        <v>15.360441027637211</v>
      </c>
      <c r="AF80" s="4">
        <f t="shared" si="350"/>
        <v>14.952343589743586</v>
      </c>
      <c r="AG80" s="4">
        <f t="shared" si="350"/>
        <v>15.748706197398624</v>
      </c>
      <c r="AH80" s="4">
        <f t="shared" si="350"/>
        <v>15.072594556873693</v>
      </c>
      <c r="AI80" s="4">
        <f t="shared" si="350"/>
        <v>14.654654304635768</v>
      </c>
      <c r="AJ80" s="31">
        <f t="shared" si="341"/>
        <v>-5.2429473941410398E-2</v>
      </c>
      <c r="AK80" s="31">
        <f t="shared" si="319"/>
        <v>-1.1321198054858983E-2</v>
      </c>
      <c r="AL80" s="31">
        <f t="shared" si="320"/>
        <v>-4.9800958422172248E-2</v>
      </c>
      <c r="AM80" s="31">
        <f t="shared" si="320"/>
        <v>-0.112261838927038</v>
      </c>
      <c r="AN80" s="31">
        <f t="shared" si="320"/>
        <v>9.6531155712198613E-2</v>
      </c>
      <c r="AO80" s="4">
        <f t="shared" ref="AO80:AP80" si="351">IFERROR(AO6/AO56,"")</f>
        <v>13.037231617647059</v>
      </c>
      <c r="AP80" s="4">
        <f t="shared" si="351"/>
        <v>14.310935135135136</v>
      </c>
      <c r="AQ80" s="4">
        <f t="shared" ref="AQ80:AR80" si="352">IFERROR(AQ6/AQ56,"")</f>
        <v>14.639875518672198</v>
      </c>
      <c r="AR80" s="4">
        <f t="shared" si="352"/>
        <v>14.17033560090703</v>
      </c>
      <c r="AS80" s="4">
        <f t="shared" ref="AS80:AT80" si="353">IFERROR(AS6/AS56,"")</f>
        <v>16.369635854341738</v>
      </c>
      <c r="AT80" s="4">
        <f t="shared" si="353"/>
        <v>14.090345963756178</v>
      </c>
      <c r="AU80" s="4">
        <f t="shared" ref="AU80" si="354">IFERROR(AU6/AU56,"")</f>
        <v>15.488541547277928</v>
      </c>
      <c r="BA80" s="4">
        <f t="shared" ref="BA80:BE80" si="355">IFERROR(BA6/BA56,"")</f>
        <v>14.110830670926518</v>
      </c>
      <c r="BB80" s="4">
        <f t="shared" si="355"/>
        <v>14.861096686336815</v>
      </c>
      <c r="BC80" s="4">
        <f t="shared" si="355"/>
        <v>15.488541547277928</v>
      </c>
      <c r="BD80" s="4" t="str">
        <f t="shared" si="355"/>
        <v/>
      </c>
      <c r="BE80" s="4">
        <f t="shared" si="355"/>
        <v>14.657907093534211</v>
      </c>
      <c r="BF80" s="122">
        <f t="shared" si="326"/>
        <v>0.93021300945967844</v>
      </c>
      <c r="BG80" s="111">
        <f t="shared" si="327"/>
        <v>1.1052892796348166</v>
      </c>
      <c r="BH80" s="111">
        <f t="shared" si="328"/>
        <v>0.83148407960789272</v>
      </c>
      <c r="BI80" s="111">
        <f t="shared" si="329"/>
        <v>0.89946673111361575</v>
      </c>
      <c r="BJ80" s="111">
        <f t="shared" si="330"/>
        <v>1.1425273064657333</v>
      </c>
      <c r="BK80" s="111">
        <f t="shared" si="331"/>
        <v>0.9466113492486673</v>
      </c>
      <c r="BL80" s="111">
        <f t="shared" si="332"/>
        <v>1.1544882143434863</v>
      </c>
      <c r="BM80" s="111">
        <f t="shared" si="333"/>
        <v>0</v>
      </c>
      <c r="BN80" s="111">
        <f t="shared" si="334"/>
        <v>0</v>
      </c>
      <c r="BO80" s="111">
        <f t="shared" si="335"/>
        <v>0</v>
      </c>
      <c r="BP80" s="111">
        <f t="shared" si="336"/>
        <v>0</v>
      </c>
      <c r="BQ80" s="111">
        <f t="shared" si="337"/>
        <v>0</v>
      </c>
      <c r="BR80" s="111">
        <f>IFERROR(BA80/(SUM(N6:INDEX(N6:P6,IF($A$2&lt;3,$A$2,3)))/SUM(N56:INDEX(N56:P56,IF($A$2&lt;3,$A$2,3)))),0)</f>
        <v>0.9545267189863661</v>
      </c>
      <c r="BS80" s="111">
        <f>IFERROR(BB80/(SUM(Q6:INDEX(Q6:S6,IF($A$2&lt;7,$A$2-3,3)))/SUM(Q56:INDEX(Q56:S56,IF($A$2&lt;7,$A$2-3,3)))),0)</f>
        <v>0.99309636134348933</v>
      </c>
      <c r="BT80" s="111"/>
      <c r="BU80" s="111"/>
      <c r="BV80" s="111">
        <f t="shared" si="347"/>
        <v>1.0070632218338453</v>
      </c>
    </row>
    <row r="81" spans="1:74" x14ac:dyDescent="0.25">
      <c r="A81" t="s">
        <v>7</v>
      </c>
      <c r="B81" s="4">
        <f t="shared" si="315"/>
        <v>13.623292993630573</v>
      </c>
      <c r="C81" s="4">
        <f t="shared" ref="C81:Y81" si="356">IFERROR(C7/C57,"")</f>
        <v>13.41305298013245</v>
      </c>
      <c r="D81" s="4">
        <f t="shared" si="356"/>
        <v>16.542400826446279</v>
      </c>
      <c r="E81" s="4">
        <f t="shared" si="356"/>
        <v>14.258792452830189</v>
      </c>
      <c r="F81" s="4">
        <f t="shared" si="356"/>
        <v>14.454697406340056</v>
      </c>
      <c r="G81" s="4">
        <f t="shared" si="356"/>
        <v>16.507064935064907</v>
      </c>
      <c r="H81" s="4">
        <f t="shared" si="356"/>
        <v>14.52706811145511</v>
      </c>
      <c r="I81" s="4">
        <f t="shared" si="356"/>
        <v>13.658375661375661</v>
      </c>
      <c r="J81" s="4">
        <f t="shared" si="356"/>
        <v>14.382189258312019</v>
      </c>
      <c r="K81" s="4">
        <f t="shared" si="356"/>
        <v>16.290571428571429</v>
      </c>
      <c r="L81" s="4">
        <f t="shared" si="356"/>
        <v>14.782255905511812</v>
      </c>
      <c r="M81" s="4">
        <f t="shared" si="356"/>
        <v>15.924003194888178</v>
      </c>
      <c r="N81" s="4">
        <f t="shared" si="356"/>
        <v>12.943695290858725</v>
      </c>
      <c r="O81" s="4">
        <f t="shared" si="356"/>
        <v>15.047127753303966</v>
      </c>
      <c r="P81" s="4">
        <f t="shared" si="356"/>
        <v>17.881479020979022</v>
      </c>
      <c r="Q81" s="4">
        <f t="shared" si="356"/>
        <v>16.666140624999993</v>
      </c>
      <c r="R81" s="4">
        <f t="shared" si="356"/>
        <v>17.071319391634979</v>
      </c>
      <c r="S81" s="4">
        <f t="shared" si="356"/>
        <v>15.519449003517</v>
      </c>
      <c r="T81" s="4">
        <f t="shared" si="356"/>
        <v>17.0267625</v>
      </c>
      <c r="U81" s="4">
        <f t="shared" si="356"/>
        <v>13.299110132158612</v>
      </c>
      <c r="V81" s="4">
        <f t="shared" si="356"/>
        <v>13.886956414473685</v>
      </c>
      <c r="W81" s="4">
        <f t="shared" si="356"/>
        <v>14.546522471910112</v>
      </c>
      <c r="X81" s="4">
        <f t="shared" si="356"/>
        <v>19.605523172905563</v>
      </c>
      <c r="Y81" s="4">
        <f t="shared" si="356"/>
        <v>22.160822840410084</v>
      </c>
      <c r="Z81" s="4">
        <f t="shared" ref="Z81:AD81" si="357">IFERROR(Z7/Z57,"")</f>
        <v>16.142419442927359</v>
      </c>
      <c r="AA81" s="4">
        <f t="shared" si="357"/>
        <v>15.668547945205479</v>
      </c>
      <c r="AB81" s="4">
        <f t="shared" si="357"/>
        <v>16.198248318042811</v>
      </c>
      <c r="AC81" s="4">
        <f t="shared" si="357"/>
        <v>14.420860709117228</v>
      </c>
      <c r="AD81" s="4">
        <f t="shared" si="357"/>
        <v>20.026280453257868</v>
      </c>
      <c r="AE81" s="4">
        <f t="shared" ref="AE81:AI81" si="358">IFERROR(AE7/AE57,"")</f>
        <v>15.047981958762877</v>
      </c>
      <c r="AF81" s="4">
        <f t="shared" si="358"/>
        <v>14.849979999999999</v>
      </c>
      <c r="AG81" s="4">
        <f t="shared" si="358"/>
        <v>15.456164948453594</v>
      </c>
      <c r="AH81" s="4">
        <f t="shared" si="358"/>
        <v>14.282516057585827</v>
      </c>
      <c r="AI81" s="4">
        <f t="shared" si="358"/>
        <v>15.54851680506129</v>
      </c>
      <c r="AJ81" s="31">
        <f t="shared" si="341"/>
        <v>7.2729850897193415E-2</v>
      </c>
      <c r="AK81" s="31">
        <f t="shared" si="319"/>
        <v>5.5122494791607801E-2</v>
      </c>
      <c r="AL81" s="31">
        <f t="shared" si="320"/>
        <v>4.8012127980263442E-2</v>
      </c>
      <c r="AM81" s="31">
        <f t="shared" si="320"/>
        <v>9.6862941356836707E-3</v>
      </c>
      <c r="AN81" s="31">
        <f t="shared" si="320"/>
        <v>0.2879865458767743</v>
      </c>
      <c r="AO81" s="4">
        <f t="shared" ref="AO81:AP81" si="359">IFERROR(AO7/AO57,"")</f>
        <v>14.96110787878788</v>
      </c>
      <c r="AP81" s="4">
        <f t="shared" si="359"/>
        <v>15.934097600000014</v>
      </c>
      <c r="AQ81" s="4">
        <f t="shared" ref="AQ81:AR81" si="360">IFERROR(AQ7/AQ57,"")</f>
        <v>13.984021052631579</v>
      </c>
      <c r="AR81" s="4">
        <f t="shared" si="360"/>
        <v>14.962928374655647</v>
      </c>
      <c r="AS81" s="4">
        <f t="shared" ref="AS81:AT81" si="361">IFERROR(AS7/AS57,"")</f>
        <v>15.810507726269316</v>
      </c>
      <c r="AT81" s="4">
        <f t="shared" si="361"/>
        <v>16.677706422018346</v>
      </c>
      <c r="AU81" s="4">
        <f t="shared" ref="AU81" si="362">IFERROR(AU7/AU57,"")</f>
        <v>17.256781560283667</v>
      </c>
      <c r="BA81" s="4">
        <f t="shared" ref="BA81:BE81" si="363">IFERROR(BA7/BA57,"")</f>
        <v>15.056316033057856</v>
      </c>
      <c r="BB81" s="4">
        <f t="shared" si="363"/>
        <v>15.866759584664534</v>
      </c>
      <c r="BC81" s="4">
        <f t="shared" si="363"/>
        <v>17.256781560283667</v>
      </c>
      <c r="BD81" s="4" t="str">
        <f t="shared" si="363"/>
        <v/>
      </c>
      <c r="BE81" s="4">
        <f t="shared" si="363"/>
        <v>15.630695059351941</v>
      </c>
      <c r="BF81" s="122">
        <f t="shared" si="326"/>
        <v>1.1558606365953252</v>
      </c>
      <c r="BG81" s="111">
        <f t="shared" si="327"/>
        <v>1.0589461232228383</v>
      </c>
      <c r="BH81" s="111">
        <f t="shared" si="328"/>
        <v>0.78203939597083427</v>
      </c>
      <c r="BI81" s="111">
        <f t="shared" si="329"/>
        <v>0.89780403941933329</v>
      </c>
      <c r="BJ81" s="111">
        <f t="shared" si="330"/>
        <v>0.92614445102682186</v>
      </c>
      <c r="BK81" s="111">
        <f t="shared" si="331"/>
        <v>1.0746326379395856</v>
      </c>
      <c r="BL81" s="111">
        <f t="shared" si="332"/>
        <v>1.0135092657975153</v>
      </c>
      <c r="BM81" s="111">
        <f t="shared" si="333"/>
        <v>0</v>
      </c>
      <c r="BN81" s="111">
        <f t="shared" si="334"/>
        <v>0</v>
      </c>
      <c r="BO81" s="111">
        <f t="shared" si="335"/>
        <v>0</v>
      </c>
      <c r="BP81" s="111">
        <f t="shared" si="336"/>
        <v>0</v>
      </c>
      <c r="BQ81" s="111">
        <f t="shared" si="337"/>
        <v>0</v>
      </c>
      <c r="BR81" s="111">
        <f>IFERROR(BA81/(SUM(N7:INDEX(N7:P7,IF($A$2&lt;3,$A$2,3)))/SUM(N57:INDEX(N57:P57,IF($A$2&lt;3,$A$2,3)))),0)</f>
        <v>0.96092605937138142</v>
      </c>
      <c r="BS81" s="111">
        <f>IFERROR(BB81/(SUM(Q7:INDEX(Q7:S7,IF($A$2&lt;7,$A$2-3,3)))/SUM(Q57:INDEX(Q57:S57,IF($A$2&lt;7,$A$2-3,3)))),0)</f>
        <v>0.97953551971363217</v>
      </c>
      <c r="BT81" s="111"/>
      <c r="BU81" s="111"/>
      <c r="BV81" s="111">
        <f t="shared" si="347"/>
        <v>0.9682993998895485</v>
      </c>
    </row>
    <row r="82" spans="1:74" x14ac:dyDescent="0.25">
      <c r="A82" t="s">
        <v>8</v>
      </c>
      <c r="B82" s="4">
        <f t="shared" si="315"/>
        <v>9.9205000000000005</v>
      </c>
      <c r="C82" s="4">
        <f t="shared" ref="C82:Y82" si="364">IFERROR(C8/C58,"")</f>
        <v>14.821272727272728</v>
      </c>
      <c r="D82" s="4">
        <f t="shared" si="364"/>
        <v>16.569893749999999</v>
      </c>
      <c r="E82" s="4">
        <f t="shared" si="364"/>
        <v>18.924866028708134</v>
      </c>
      <c r="F82" s="4">
        <f t="shared" si="364"/>
        <v>13.80003982300885</v>
      </c>
      <c r="G82" s="4">
        <f t="shared" si="364"/>
        <v>16.231237288135592</v>
      </c>
      <c r="H82" s="4">
        <f t="shared" si="364"/>
        <v>21.444955357142856</v>
      </c>
      <c r="I82" s="4">
        <f t="shared" si="364"/>
        <v>16.448185393258427</v>
      </c>
      <c r="J82" s="4">
        <f t="shared" si="364"/>
        <v>14.69251083591328</v>
      </c>
      <c r="K82" s="4">
        <f t="shared" si="364"/>
        <v>16.266487234042554</v>
      </c>
      <c r="L82" s="4">
        <f t="shared" si="364"/>
        <v>15.04112853470437</v>
      </c>
      <c r="M82" s="4">
        <f t="shared" si="364"/>
        <v>20.783073891625616</v>
      </c>
      <c r="N82" s="4">
        <f t="shared" si="364"/>
        <v>13.189109634551496</v>
      </c>
      <c r="O82" s="4">
        <f t="shared" si="364"/>
        <v>12.130409722222222</v>
      </c>
      <c r="P82" s="4">
        <f t="shared" si="364"/>
        <v>14.262681818181818</v>
      </c>
      <c r="Q82" s="4">
        <f t="shared" si="364"/>
        <v>20.813052044609663</v>
      </c>
      <c r="R82" s="4">
        <f t="shared" si="364"/>
        <v>16.29884699453552</v>
      </c>
      <c r="S82" s="4">
        <f t="shared" si="364"/>
        <v>15.619860465116279</v>
      </c>
      <c r="T82" s="4">
        <f t="shared" si="364"/>
        <v>15.944375757575758</v>
      </c>
      <c r="U82" s="4">
        <f t="shared" si="364"/>
        <v>17.497730088495576</v>
      </c>
      <c r="V82" s="4">
        <f t="shared" si="364"/>
        <v>18.37955707762557</v>
      </c>
      <c r="W82" s="4">
        <f t="shared" si="364"/>
        <v>21.015051908396948</v>
      </c>
      <c r="X82" s="4">
        <f t="shared" si="364"/>
        <v>14.7541008</v>
      </c>
      <c r="Y82" s="4">
        <f t="shared" si="364"/>
        <v>16.40985188431204</v>
      </c>
      <c r="Z82" s="4">
        <f t="shared" ref="Z82:AD82" si="365">IFERROR(Z8/Z58,"")</f>
        <v>15.734099357891179</v>
      </c>
      <c r="AA82" s="4">
        <f t="shared" si="365"/>
        <v>13.584014482259233</v>
      </c>
      <c r="AB82" s="4">
        <f t="shared" si="365"/>
        <v>18.057717948717947</v>
      </c>
      <c r="AC82" s="4">
        <f t="shared" si="365"/>
        <v>17.544118832522585</v>
      </c>
      <c r="AD82" s="4">
        <f t="shared" si="365"/>
        <v>17.228340768277587</v>
      </c>
      <c r="AE82" s="4">
        <f t="shared" ref="AE82:AI82" si="366">IFERROR(AE8/AE58,"")</f>
        <v>16.472496386630532</v>
      </c>
      <c r="AF82" s="4">
        <f t="shared" si="366"/>
        <v>14.328030581039755</v>
      </c>
      <c r="AG82" s="4">
        <f t="shared" si="366"/>
        <v>16.253325163398692</v>
      </c>
      <c r="AH82" s="4">
        <f t="shared" si="366"/>
        <v>16.855322122570985</v>
      </c>
      <c r="AI82" s="4">
        <f t="shared" si="366"/>
        <v>17.584030582524274</v>
      </c>
      <c r="AJ82" s="31">
        <f t="shared" si="341"/>
        <v>-4.482605498330261E-2</v>
      </c>
      <c r="AK82" s="31">
        <f t="shared" si="319"/>
        <v>-5.1927310914947067E-2</v>
      </c>
      <c r="AL82" s="31">
        <f t="shared" si="320"/>
        <v>0.11101683915009697</v>
      </c>
      <c r="AM82" s="31">
        <f t="shared" si="320"/>
        <v>4.0865235617729923E-2</v>
      </c>
      <c r="AN82" s="31">
        <f t="shared" si="320"/>
        <v>-2.0228002480852547E-2</v>
      </c>
      <c r="AO82" s="4">
        <f t="shared" ref="AO82:AP82" si="367">IFERROR(AO8/AO58,"")</f>
        <v>15.878233243967829</v>
      </c>
      <c r="AP82" s="4">
        <f t="shared" si="367"/>
        <v>17.531092307692308</v>
      </c>
      <c r="AQ82" s="4">
        <f t="shared" ref="AQ82:AR82" si="368">IFERROR(AQ8/AQ58,"")</f>
        <v>16.372525732383213</v>
      </c>
      <c r="AR82" s="4">
        <f t="shared" si="368"/>
        <v>16.181865938430981</v>
      </c>
      <c r="AS82" s="4">
        <f t="shared" ref="AS82:AT82" si="369">IFERROR(AS8/AS58,"")</f>
        <v>17.347843137254905</v>
      </c>
      <c r="AT82" s="4">
        <f t="shared" si="369"/>
        <v>17.723100558659219</v>
      </c>
      <c r="AU82" s="4">
        <f t="shared" ref="AU82" si="370">IFERROR(AU8/AU58,"")</f>
        <v>16.352949090909082</v>
      </c>
      <c r="BA82" s="4">
        <f t="shared" ref="BA82:BE82" si="371">IFERROR(BA8/BA58,"")</f>
        <v>16.670253725165562</v>
      </c>
      <c r="BB82" s="4">
        <f t="shared" si="371"/>
        <v>16.960068094218414</v>
      </c>
      <c r="BC82" s="4">
        <f t="shared" si="371"/>
        <v>16.352949090909082</v>
      </c>
      <c r="BD82" s="4" t="str">
        <f t="shared" si="371"/>
        <v/>
      </c>
      <c r="BE82" s="4">
        <f t="shared" si="371"/>
        <v>16.764990379173742</v>
      </c>
      <c r="BF82" s="122">
        <f t="shared" si="326"/>
        <v>1.203889700209303</v>
      </c>
      <c r="BG82" s="111">
        <f t="shared" si="327"/>
        <v>1.4452184805906714</v>
      </c>
      <c r="BH82" s="111">
        <f t="shared" si="328"/>
        <v>1.147927573586603</v>
      </c>
      <c r="BI82" s="111">
        <f t="shared" si="329"/>
        <v>0.77748644954846469</v>
      </c>
      <c r="BJ82" s="111">
        <f t="shared" si="330"/>
        <v>1.0643601441912474</v>
      </c>
      <c r="BK82" s="111">
        <f t="shared" si="331"/>
        <v>1.1346516569875955</v>
      </c>
      <c r="BL82" s="111">
        <f t="shared" si="332"/>
        <v>1.0256249187516291</v>
      </c>
      <c r="BM82" s="111">
        <f t="shared" si="333"/>
        <v>0</v>
      </c>
      <c r="BN82" s="111">
        <f t="shared" si="334"/>
        <v>0</v>
      </c>
      <c r="BO82" s="111">
        <f t="shared" si="335"/>
        <v>0</v>
      </c>
      <c r="BP82" s="111">
        <f t="shared" si="336"/>
        <v>0</v>
      </c>
      <c r="BQ82" s="111">
        <f t="shared" si="337"/>
        <v>0</v>
      </c>
      <c r="BR82" s="111">
        <f>IFERROR(BA82/(SUM(N8:INDEX(N8:P8,IF($A$2&lt;3,$A$2,3)))/SUM(N58:INDEX(N58:P58,IF($A$2&lt;3,$A$2,3)))),0)</f>
        <v>1.2271964040480792</v>
      </c>
      <c r="BS82" s="111">
        <f>IFERROR(BB82/(SUM(Q8:INDEX(Q8:S8,IF($A$2&lt;7,$A$2-3,3)))/SUM(Q58:INDEX(Q58:S58,IF($A$2&lt;7,$A$2-3,3)))),0)</f>
        <v>0.93921436487064724</v>
      </c>
      <c r="BT82" s="111"/>
      <c r="BU82" s="111"/>
      <c r="BV82" s="111">
        <f t="shared" si="347"/>
        <v>1.0655195443878736</v>
      </c>
    </row>
    <row r="83" spans="1:74" x14ac:dyDescent="0.25">
      <c r="A83" t="s">
        <v>1</v>
      </c>
      <c r="B83" s="4">
        <f t="shared" si="315"/>
        <v>14.515539682539684</v>
      </c>
      <c r="C83" s="4">
        <f t="shared" ref="C83:Y83" si="372">IFERROR(C9/C59,"")</f>
        <v>17.330071428571429</v>
      </c>
      <c r="D83" s="4">
        <f t="shared" si="372"/>
        <v>14.175559405940595</v>
      </c>
      <c r="E83" s="4">
        <f t="shared" si="372"/>
        <v>21.785724025974027</v>
      </c>
      <c r="F83" s="4">
        <f t="shared" si="372"/>
        <v>15.040053254437872</v>
      </c>
      <c r="G83" s="4">
        <f t="shared" si="372"/>
        <v>30.79588115942029</v>
      </c>
      <c r="H83" s="4">
        <f t="shared" si="372"/>
        <v>20.45842156862745</v>
      </c>
      <c r="I83" s="4">
        <f t="shared" si="372"/>
        <v>14.96850657894737</v>
      </c>
      <c r="J83" s="4">
        <f t="shared" si="372"/>
        <v>18.397269867549671</v>
      </c>
      <c r="K83" s="4">
        <f t="shared" si="372"/>
        <v>20.364541125541123</v>
      </c>
      <c r="L83" s="4">
        <f t="shared" si="372"/>
        <v>17.526171428571452</v>
      </c>
      <c r="M83" s="4">
        <f t="shared" si="372"/>
        <v>19.476502222222244</v>
      </c>
      <c r="N83" s="4">
        <f t="shared" si="372"/>
        <v>13.938275862068966</v>
      </c>
      <c r="O83" s="4">
        <f t="shared" si="372"/>
        <v>14.878309352517986</v>
      </c>
      <c r="P83" s="4">
        <f t="shared" si="372"/>
        <v>16.780355704697989</v>
      </c>
      <c r="Q83" s="4">
        <f t="shared" si="372"/>
        <v>15.887009216589862</v>
      </c>
      <c r="R83" s="4">
        <f t="shared" si="372"/>
        <v>17.507304511278193</v>
      </c>
      <c r="S83" s="4">
        <f t="shared" si="372"/>
        <v>14.745431818181819</v>
      </c>
      <c r="T83" s="4">
        <f t="shared" si="372"/>
        <v>18.476511111111112</v>
      </c>
      <c r="U83" s="4">
        <f t="shared" si="372"/>
        <v>17.759150121065378</v>
      </c>
      <c r="V83" s="4">
        <f t="shared" si="372"/>
        <v>17.430626415094341</v>
      </c>
      <c r="W83" s="4">
        <f t="shared" si="372"/>
        <v>18.974675392670157</v>
      </c>
      <c r="X83" s="4">
        <f t="shared" si="372"/>
        <v>21.009267477203643</v>
      </c>
      <c r="Y83" s="4">
        <f t="shared" si="372"/>
        <v>23.733288048151369</v>
      </c>
      <c r="Z83" s="4">
        <f t="shared" ref="Z83:AD83" si="373">IFERROR(Z9/Z59,"")</f>
        <v>16.165540736270369</v>
      </c>
      <c r="AA83" s="4">
        <f t="shared" si="373"/>
        <v>15.706095840867995</v>
      </c>
      <c r="AB83" s="4">
        <f t="shared" si="373"/>
        <v>15.863043230944255</v>
      </c>
      <c r="AC83" s="4">
        <f t="shared" si="373"/>
        <v>17.865894472361809</v>
      </c>
      <c r="AD83" s="4">
        <f t="shared" si="373"/>
        <v>22.094524738992302</v>
      </c>
      <c r="AE83" s="4">
        <f t="shared" ref="AE83:AI83" si="374">IFERROR(AE9/AE59,"")</f>
        <v>20.291262453133367</v>
      </c>
      <c r="AF83" s="4">
        <f t="shared" si="374"/>
        <v>15.210749999999999</v>
      </c>
      <c r="AG83" s="4">
        <f t="shared" si="374"/>
        <v>22.621715438950556</v>
      </c>
      <c r="AH83" s="4">
        <f t="shared" si="374"/>
        <v>18.24423480243161</v>
      </c>
      <c r="AI83" s="4">
        <f t="shared" si="374"/>
        <v>18.875918133802834</v>
      </c>
      <c r="AJ83" s="31">
        <f t="shared" si="341"/>
        <v>-0.203325038370193</v>
      </c>
      <c r="AK83" s="31">
        <f t="shared" si="319"/>
        <v>3.2565510633466133E-2</v>
      </c>
      <c r="AL83" s="31">
        <f t="shared" si="320"/>
        <v>-0.29876921696084435</v>
      </c>
      <c r="AM83" s="31">
        <f t="shared" si="320"/>
        <v>-2.0737528000866035E-2</v>
      </c>
      <c r="AN83" s="31">
        <f t="shared" si="320"/>
        <v>0.17051390996582128</v>
      </c>
      <c r="AO83" s="4">
        <f t="shared" ref="AO83:AP83" si="375">IFERROR(AO9/AO59,"")</f>
        <v>13.23024</v>
      </c>
      <c r="AP83" s="4">
        <f t="shared" si="375"/>
        <v>13.600952000000001</v>
      </c>
      <c r="AQ83" s="4">
        <f t="shared" ref="AQ83:AR83" si="376">IFERROR(AQ9/AQ59,"")</f>
        <v>15.020087527352299</v>
      </c>
      <c r="AR83" s="4">
        <f t="shared" si="376"/>
        <v>17.0701393728223</v>
      </c>
      <c r="AS83" s="4">
        <f t="shared" ref="AS83:AT83" si="377">IFERROR(AS9/AS59,"")</f>
        <v>11.927249999999999</v>
      </c>
      <c r="AT83" s="4">
        <f t="shared" si="377"/>
        <v>17.862659430122115</v>
      </c>
      <c r="AU83" s="4">
        <f t="shared" ref="AU83" si="378">IFERROR(AU9/AU59,"")</f>
        <v>17.915156589147291</v>
      </c>
      <c r="BA83" s="4">
        <f t="shared" ref="BA83:BE83" si="379">IFERROR(BA9/BA59,"")</f>
        <v>14.292828471411903</v>
      </c>
      <c r="BB83" s="4">
        <f t="shared" si="379"/>
        <v>14.194787991333952</v>
      </c>
      <c r="BC83" s="4">
        <f t="shared" si="379"/>
        <v>17.915156589147291</v>
      </c>
      <c r="BD83" s="4" t="str">
        <f t="shared" si="379"/>
        <v/>
      </c>
      <c r="BE83" s="4">
        <f t="shared" si="379"/>
        <v>14.719541517008238</v>
      </c>
      <c r="BF83" s="122">
        <f t="shared" si="326"/>
        <v>0.9492020484401672</v>
      </c>
      <c r="BG83" s="111">
        <f t="shared" si="327"/>
        <v>0.91414633731205441</v>
      </c>
      <c r="BH83" s="111">
        <f t="shared" si="328"/>
        <v>0.89509947176787985</v>
      </c>
      <c r="BI83" s="111">
        <f t="shared" si="329"/>
        <v>1.074471547168045</v>
      </c>
      <c r="BJ83" s="111">
        <f t="shared" si="330"/>
        <v>0.68127277916006279</v>
      </c>
      <c r="BK83" s="111">
        <f t="shared" si="331"/>
        <v>1.2114029382372244</v>
      </c>
      <c r="BL83" s="111">
        <f t="shared" si="332"/>
        <v>0.96961793714256783</v>
      </c>
      <c r="BM83" s="111">
        <f t="shared" si="333"/>
        <v>0</v>
      </c>
      <c r="BN83" s="111">
        <f t="shared" si="334"/>
        <v>0</v>
      </c>
      <c r="BO83" s="111">
        <f t="shared" si="335"/>
        <v>0</v>
      </c>
      <c r="BP83" s="111">
        <f t="shared" si="336"/>
        <v>0</v>
      </c>
      <c r="BQ83" s="111">
        <f t="shared" si="337"/>
        <v>0</v>
      </c>
      <c r="BR83" s="111">
        <f>IFERROR(BA83/(SUM(N9:INDEX(N9:P9,IF($A$2&lt;3,$A$2,3)))/SUM(N59:INDEX(N59:P59,IF($A$2&lt;3,$A$2,3)))),0)</f>
        <v>0.91001790745611622</v>
      </c>
      <c r="BS83" s="111">
        <f>IFERROR(BB83/(SUM(Q9:INDEX(Q9:S9,IF($A$2&lt;7,$A$2-3,3)))/SUM(Q59:INDEX(Q59:S59,IF($A$2&lt;7,$A$2-3,3)))),0)</f>
        <v>0.89483384648690767</v>
      </c>
      <c r="BT83" s="111"/>
      <c r="BU83" s="111"/>
      <c r="BV83" s="111">
        <f t="shared" si="347"/>
        <v>0.91055051959890432</v>
      </c>
    </row>
    <row r="84" spans="1:74" x14ac:dyDescent="0.25">
      <c r="A84" t="s">
        <v>2</v>
      </c>
      <c r="B84" s="4">
        <f t="shared" si="315"/>
        <v>14.244923076923076</v>
      </c>
      <c r="C84" s="4">
        <f t="shared" ref="C84:Y84" si="380">IFERROR(C10/C60,"")</f>
        <v>19.196199999999997</v>
      </c>
      <c r="D84" s="4">
        <f t="shared" si="380"/>
        <v>25.099384615384615</v>
      </c>
      <c r="E84" s="4">
        <f t="shared" si="380"/>
        <v>20.727619047619051</v>
      </c>
      <c r="F84" s="4">
        <f t="shared" si="380"/>
        <v>11.367197674418604</v>
      </c>
      <c r="G84" s="4">
        <f t="shared" si="380"/>
        <v>23.063701030927835</v>
      </c>
      <c r="H84" s="4">
        <f t="shared" si="380"/>
        <v>19.34801886792453</v>
      </c>
      <c r="I84" s="4">
        <f t="shared" si="380"/>
        <v>18.10702479338843</v>
      </c>
      <c r="J84" s="4">
        <f t="shared" si="380"/>
        <v>36.527242857142859</v>
      </c>
      <c r="K84" s="4">
        <f t="shared" si="380"/>
        <v>-8.5061955307262558</v>
      </c>
      <c r="L84" s="4">
        <f t="shared" si="380"/>
        <v>17.967310000000001</v>
      </c>
      <c r="M84" s="4">
        <f t="shared" si="380"/>
        <v>23.5915044404973</v>
      </c>
      <c r="N84" s="4">
        <f t="shared" si="380"/>
        <v>15.620685393258427</v>
      </c>
      <c r="O84" s="4">
        <f t="shared" si="380"/>
        <v>29.54078947368421</v>
      </c>
      <c r="P84" s="4">
        <f t="shared" si="380"/>
        <v>17.873385869565219</v>
      </c>
      <c r="Q84" s="4">
        <f t="shared" si="380"/>
        <v>14.394761061946902</v>
      </c>
      <c r="R84" s="4">
        <f t="shared" si="380"/>
        <v>18.74334965034965</v>
      </c>
      <c r="S84" s="4">
        <f t="shared" si="380"/>
        <v>15.425485239852398</v>
      </c>
      <c r="T84" s="4">
        <f t="shared" si="380"/>
        <v>15.309630573248409</v>
      </c>
      <c r="U84" s="4">
        <f t="shared" si="380"/>
        <v>19.093811827956991</v>
      </c>
      <c r="V84" s="4">
        <f t="shared" si="380"/>
        <v>16.193139616055845</v>
      </c>
      <c r="W84" s="4">
        <f t="shared" si="380"/>
        <v>21.071503198294241</v>
      </c>
      <c r="X84" s="4">
        <f t="shared" si="380"/>
        <v>15.918067323481115</v>
      </c>
      <c r="Y84" s="4">
        <f t="shared" si="380"/>
        <v>21.330109725685819</v>
      </c>
      <c r="Z84" s="4">
        <f t="shared" ref="Z84:AD84" si="381">IFERROR(Z10/Z60,"")</f>
        <v>17.245759438528559</v>
      </c>
      <c r="AA84" s="4">
        <f t="shared" si="381"/>
        <v>19.839667621776503</v>
      </c>
      <c r="AB84" s="4">
        <f t="shared" si="381"/>
        <v>16.10476944971537</v>
      </c>
      <c r="AC84" s="4">
        <f t="shared" si="381"/>
        <v>16.829857823669581</v>
      </c>
      <c r="AD84" s="4">
        <f t="shared" si="381"/>
        <v>19.83198597106534</v>
      </c>
      <c r="AE84" s="4">
        <f t="shared" ref="AE84:AI84" si="382">IFERROR(AE10/AE60,"")</f>
        <v>18.842021052631576</v>
      </c>
      <c r="AF84" s="4">
        <f t="shared" si="382"/>
        <v>19.539944444444441</v>
      </c>
      <c r="AG84" s="4">
        <f t="shared" si="382"/>
        <v>18.15696888888889</v>
      </c>
      <c r="AH84" s="4">
        <f t="shared" si="382"/>
        <v>28.539384615384616</v>
      </c>
      <c r="AI84" s="4">
        <f t="shared" si="382"/>
        <v>16.701338969404169</v>
      </c>
      <c r="AJ84" s="31">
        <f t="shared" si="341"/>
        <v>-8.4718173790601647E-2</v>
      </c>
      <c r="AK84" s="31">
        <f t="shared" si="319"/>
        <v>1.533899843902975E-2</v>
      </c>
      <c r="AL84" s="31">
        <f t="shared" si="320"/>
        <v>-0.11302544228234912</v>
      </c>
      <c r="AM84" s="31">
        <f t="shared" si="320"/>
        <v>-0.4102935977604375</v>
      </c>
      <c r="AN84" s="31">
        <f t="shared" si="320"/>
        <v>0.18744886307596809</v>
      </c>
      <c r="AO84" s="4">
        <f>IFERROR(AO10/AO60,"")</f>
        <v>19.774513605442177</v>
      </c>
      <c r="AP84" s="4">
        <f>IFERROR(AP10/AP60,"")</f>
        <v>17.623847761194028</v>
      </c>
      <c r="AQ84" s="4">
        <f>IFERROR(AQ10/AQ60,"")</f>
        <v>17.462570806100221</v>
      </c>
      <c r="AR84" s="4">
        <f>IFERROR(AR10/AR60,"")</f>
        <v>15.698523076923077</v>
      </c>
      <c r="AS84" s="4">
        <f t="shared" ref="AS84:AT84" si="383">IFERROR(AS10/AS60,"")</f>
        <v>18.294041570438797</v>
      </c>
      <c r="AT84" s="4">
        <f t="shared" si="383"/>
        <v>18.914180138568131</v>
      </c>
      <c r="AU84" s="4">
        <f t="shared" ref="AU84" si="384">IFERROR(AU10/AU60,"")</f>
        <v>19.524049295774638</v>
      </c>
      <c r="BA84" s="4">
        <f t="shared" ref="BA84:BE84" si="385">IFERROR(BA10/BA60,"")</f>
        <v>18.136963235294118</v>
      </c>
      <c r="BB84" s="4">
        <f t="shared" si="385"/>
        <v>17.513991341991343</v>
      </c>
      <c r="BC84" s="4">
        <f t="shared" si="385"/>
        <v>19.524049295774638</v>
      </c>
      <c r="BD84" s="4" t="str">
        <f t="shared" si="385"/>
        <v/>
      </c>
      <c r="BE84" s="4">
        <f t="shared" si="385"/>
        <v>18.042983793103446</v>
      </c>
      <c r="BF84" s="122">
        <f t="shared" si="326"/>
        <v>1.2659184349219694</v>
      </c>
      <c r="BG84" s="111">
        <f t="shared" si="327"/>
        <v>0.59659366168578065</v>
      </c>
      <c r="BH84" s="111">
        <f t="shared" si="328"/>
        <v>0.97701526356209134</v>
      </c>
      <c r="BI84" s="111">
        <f t="shared" si="329"/>
        <v>1.0905719802757075</v>
      </c>
      <c r="BJ84" s="111">
        <f t="shared" si="330"/>
        <v>0.97602840003027569</v>
      </c>
      <c r="BK84" s="111">
        <f t="shared" si="331"/>
        <v>1.226164353630999</v>
      </c>
      <c r="BL84" s="111">
        <f t="shared" si="332"/>
        <v>1.2752789299756442</v>
      </c>
      <c r="BM84" s="111">
        <f t="shared" si="333"/>
        <v>0</v>
      </c>
      <c r="BN84" s="111">
        <f t="shared" si="334"/>
        <v>0</v>
      </c>
      <c r="BO84" s="111">
        <f t="shared" si="335"/>
        <v>0</v>
      </c>
      <c r="BP84" s="111">
        <f t="shared" si="336"/>
        <v>0</v>
      </c>
      <c r="BQ84" s="111">
        <f t="shared" si="337"/>
        <v>0</v>
      </c>
      <c r="BR84" s="111">
        <f>IFERROR(BA84/(SUM(N10:INDEX(N10:P10,IF($A$2&lt;3,$A$2,3)))/SUM(N60:INDEX(N60:P60,IF($A$2&lt;3,$A$2,3)))),0)</f>
        <v>0.91417676853550434</v>
      </c>
      <c r="BS84" s="111">
        <f>IFERROR(BB84/(SUM(Q10:INDEX(Q10:S10,IF($A$2&lt;7,$A$2-3,3)))/SUM(Q60:INDEX(Q60:S60,IF($A$2&lt;7,$A$2-3,3)))),0)</f>
        <v>1.0875033881531833</v>
      </c>
      <c r="BT84" s="111"/>
      <c r="BU84" s="111"/>
      <c r="BV84" s="111">
        <f t="shared" si="347"/>
        <v>1.0462272686463328</v>
      </c>
    </row>
    <row r="85" spans="1:74" x14ac:dyDescent="0.25">
      <c r="A85" s="135" t="s">
        <v>136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31"/>
      <c r="AK85" s="31"/>
      <c r="AL85" s="31"/>
      <c r="AM85" s="31"/>
      <c r="AN85" s="31"/>
      <c r="AO85" s="4"/>
      <c r="AP85" s="4">
        <f>IFERROR(AP11/AP61,"")</f>
        <v>13.753489361702128</v>
      </c>
      <c r="AQ85" s="4">
        <f>IFERROR(AQ11/AQ61,"")</f>
        <v>13.615748792270532</v>
      </c>
      <c r="AR85" s="4">
        <f>IFERROR(AR11/AR61,"")</f>
        <v>13.966280742459396</v>
      </c>
      <c r="AS85" s="4">
        <f t="shared" ref="AS85:AT85" si="386">IFERROR(AS11/AS61,"")</f>
        <v>16.018604651162789</v>
      </c>
      <c r="AT85" s="4">
        <f t="shared" si="386"/>
        <v>14.664032258064516</v>
      </c>
      <c r="AU85" s="4">
        <f t="shared" ref="AU85" si="387">IFERROR(AU11/AU61,"")</f>
        <v>15.408351351351349</v>
      </c>
      <c r="BA85" s="4"/>
      <c r="BB85" s="4"/>
      <c r="BC85" s="4"/>
      <c r="BD85" s="4"/>
      <c r="BE85" s="4"/>
      <c r="BF85" s="122"/>
      <c r="BG85" s="111"/>
      <c r="BH85" s="111"/>
      <c r="BI85" s="111"/>
      <c r="BJ85" s="111"/>
      <c r="BK85" s="111"/>
      <c r="BL85" s="111"/>
      <c r="BM85" s="111"/>
      <c r="BN85" s="111"/>
      <c r="BO85" s="111"/>
      <c r="BP85" s="111"/>
      <c r="BQ85" s="111"/>
      <c r="BR85" s="111"/>
      <c r="BS85" s="111"/>
      <c r="BT85" s="111"/>
      <c r="BU85" s="111"/>
      <c r="BV85" s="111"/>
    </row>
    <row r="86" spans="1:74" s="17" customFormat="1" x14ac:dyDescent="0.25">
      <c r="A86" s="1" t="s">
        <v>3</v>
      </c>
      <c r="B86" s="5">
        <f t="shared" ref="B86" si="388">IFERROR(B12/B62,"")</f>
        <v>14.570124475524475</v>
      </c>
      <c r="C86" s="5">
        <f t="shared" ref="C86:Y86" si="389">IFERROR(C12/C62,"")</f>
        <v>15.106856427378961</v>
      </c>
      <c r="D86" s="5">
        <f t="shared" si="389"/>
        <v>18.984832167832167</v>
      </c>
      <c r="E86" s="5">
        <f t="shared" si="389"/>
        <v>20.729100869565215</v>
      </c>
      <c r="F86" s="5">
        <f t="shared" si="389"/>
        <v>15.981302665520207</v>
      </c>
      <c r="G86" s="5">
        <f t="shared" si="389"/>
        <v>19.72962933526011</v>
      </c>
      <c r="H86" s="5">
        <f t="shared" si="389"/>
        <v>19.324536068828589</v>
      </c>
      <c r="I86" s="5">
        <f t="shared" si="389"/>
        <v>15.618394052044609</v>
      </c>
      <c r="J86" s="5">
        <f t="shared" si="389"/>
        <v>18.91821751824817</v>
      </c>
      <c r="K86" s="5">
        <f t="shared" si="389"/>
        <v>16.348627301587296</v>
      </c>
      <c r="L86" s="5">
        <f t="shared" si="389"/>
        <v>16.17641294473885</v>
      </c>
      <c r="M86" s="5">
        <f t="shared" si="389"/>
        <v>19.216321699045107</v>
      </c>
      <c r="N86" s="5">
        <f t="shared" si="389"/>
        <v>15.713935128518969</v>
      </c>
      <c r="O86" s="5">
        <f t="shared" si="389"/>
        <v>16.858400244798005</v>
      </c>
      <c r="P86" s="5">
        <f t="shared" si="389"/>
        <v>17.49490583418628</v>
      </c>
      <c r="Q86" s="5">
        <f t="shared" si="389"/>
        <v>20.496380730897016</v>
      </c>
      <c r="R86" s="5">
        <f t="shared" si="389"/>
        <v>17.282750767341923</v>
      </c>
      <c r="S86" s="5">
        <f t="shared" si="389"/>
        <v>15.125832137733168</v>
      </c>
      <c r="T86" s="5">
        <f t="shared" si="389"/>
        <v>15.972995210218208</v>
      </c>
      <c r="U86" s="5">
        <f t="shared" si="389"/>
        <v>15.227447896749537</v>
      </c>
      <c r="V86" s="5">
        <f t="shared" si="389"/>
        <v>15.588554496345745</v>
      </c>
      <c r="W86" s="5">
        <f t="shared" si="389"/>
        <v>17.457839860748486</v>
      </c>
      <c r="X86" s="5">
        <f t="shared" si="389"/>
        <v>17.487049691569595</v>
      </c>
      <c r="Y86" s="5">
        <f t="shared" si="389"/>
        <v>18.870614148540138</v>
      </c>
      <c r="Z86" s="5">
        <f>IFERROR(Z12/Z62,"")</f>
        <v>16.856736851347797</v>
      </c>
      <c r="AA86" s="5">
        <f t="shared" ref="AA86:AD86" si="390">IFERROR(AA12/AA62,"")</f>
        <v>16.94443812709029</v>
      </c>
      <c r="AB86" s="5">
        <f t="shared" si="390"/>
        <v>17.084004390408662</v>
      </c>
      <c r="AC86" s="5">
        <f t="shared" si="390"/>
        <v>15.583908401236316</v>
      </c>
      <c r="AD86" s="5">
        <f t="shared" si="390"/>
        <v>18.164751526310727</v>
      </c>
      <c r="AE86" s="5">
        <f t="shared" ref="AE86:AI86" si="391">IFERROR(AE12/AE62,"")</f>
        <v>18.264038947228499</v>
      </c>
      <c r="AF86" s="5">
        <f t="shared" si="391"/>
        <v>16.617910583153346</v>
      </c>
      <c r="AG86" s="5">
        <f t="shared" si="391"/>
        <v>18.861381660806057</v>
      </c>
      <c r="AH86" s="5">
        <f t="shared" si="391"/>
        <v>18.285588754847044</v>
      </c>
      <c r="AI86" s="5">
        <f t="shared" si="391"/>
        <v>17.486509511993386</v>
      </c>
      <c r="AJ86" s="32">
        <f t="shared" si="341"/>
        <v>-7.7053169890127449E-2</v>
      </c>
      <c r="AK86" s="32">
        <f t="shared" si="319"/>
        <v>1.9649133523919948E-2</v>
      </c>
      <c r="AL86" s="32">
        <f t="shared" si="320"/>
        <v>-9.4233672928149437E-2</v>
      </c>
      <c r="AM86" s="31">
        <f t="shared" si="320"/>
        <v>-0.14774915863152516</v>
      </c>
      <c r="AN86" s="31">
        <f t="shared" si="320"/>
        <v>3.8786586531300626E-2</v>
      </c>
      <c r="AO86" s="5">
        <f t="shared" ref="AO86:AP86" si="392">IFERROR(AO12/AO62,"")</f>
        <v>15.998877028714109</v>
      </c>
      <c r="AP86" s="5">
        <f t="shared" si="392"/>
        <v>17.633878605251844</v>
      </c>
      <c r="AQ86" s="5">
        <f t="shared" ref="AQ86:AR86" si="393">IFERROR(AQ12/AQ62,"")</f>
        <v>16.27700823162078</v>
      </c>
      <c r="AR86" s="5">
        <f t="shared" si="393"/>
        <v>16.338615826419922</v>
      </c>
      <c r="AS86" s="5">
        <f t="shared" ref="AS86:AT86" si="394">IFERROR(AS12/AS62,"")</f>
        <v>15.997113184828416</v>
      </c>
      <c r="AT86" s="5">
        <f t="shared" si="394"/>
        <v>16.78414091827895</v>
      </c>
      <c r="AU86" s="5">
        <f t="shared" ref="AU86" si="395">IFERROR(AU12/AU62,"")</f>
        <v>17.530903623747133</v>
      </c>
      <c r="BA86" s="5">
        <f t="shared" ref="BA86:BE86" si="396">IFERROR(BA12/BA62,"")</f>
        <v>16.64038681525242</v>
      </c>
      <c r="BB86" s="5">
        <f t="shared" si="396"/>
        <v>16.379787478576475</v>
      </c>
      <c r="BC86" s="5">
        <f t="shared" si="396"/>
        <v>17.530903623747133</v>
      </c>
      <c r="BD86" s="5" t="str">
        <f t="shared" si="396"/>
        <v/>
      </c>
      <c r="BE86" s="5">
        <f t="shared" si="396"/>
        <v>16.626615750713896</v>
      </c>
      <c r="BF86" s="123">
        <f t="shared" si="326"/>
        <v>1.0181330709249272</v>
      </c>
      <c r="BG86" s="118">
        <f t="shared" si="327"/>
        <v>1.0459995224453831</v>
      </c>
      <c r="BH86" s="118">
        <f t="shared" si="328"/>
        <v>0.93038558686119688</v>
      </c>
      <c r="BI86" s="118">
        <f t="shared" si="329"/>
        <v>0.79714638603441224</v>
      </c>
      <c r="BJ86" s="118">
        <f t="shared" si="330"/>
        <v>0.92561151868585112</v>
      </c>
      <c r="BK86" s="118">
        <f t="shared" si="331"/>
        <v>1.1096342181670082</v>
      </c>
      <c r="BL86" s="118">
        <f t="shared" si="332"/>
        <v>1.0975338934886991</v>
      </c>
      <c r="BM86" s="118">
        <f t="shared" si="333"/>
        <v>0</v>
      </c>
      <c r="BN86" s="118">
        <f t="shared" si="334"/>
        <v>0</v>
      </c>
      <c r="BO86" s="118">
        <f t="shared" si="335"/>
        <v>0</v>
      </c>
      <c r="BP86" s="118">
        <f t="shared" si="336"/>
        <v>0</v>
      </c>
      <c r="BQ86" s="118">
        <f t="shared" si="337"/>
        <v>0</v>
      </c>
      <c r="BR86" s="118">
        <f>IFERROR(BA86/(SUM(N12:INDEX(N12:P12,IF($A$2&lt;3,$A$2,3)))/SUM(N62:INDEX(N62:P62,IF($A$2&lt;3,$A$2,3)))),0)</f>
        <v>0.98205598146380779</v>
      </c>
      <c r="BS86" s="118">
        <f>IFERROR(BB86/(SUM(Q12:INDEX(Q12:S12,IF($A$2&lt;7,$A$2-3,3)))/SUM(Q62:INDEX(Q62:S62,IF($A$2&lt;7,$A$2-3,3)))),0)</f>
        <v>0.95877916583611122</v>
      </c>
      <c r="BT86" s="118"/>
      <c r="BU86" s="118"/>
      <c r="BV86" s="118">
        <f t="shared" si="347"/>
        <v>0.98634841946794094</v>
      </c>
    </row>
    <row r="87" spans="1:74" x14ac:dyDescent="0.25">
      <c r="W87" s="33"/>
      <c r="BF87" s="124"/>
    </row>
    <row r="88" spans="1:74" x14ac:dyDescent="0.25"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BF88" s="124"/>
    </row>
    <row r="89" spans="1:74" x14ac:dyDescent="0.25">
      <c r="A89" s="2" t="s">
        <v>15</v>
      </c>
      <c r="B89" s="3">
        <f t="shared" ref="B89:Y89" si="397">B27</f>
        <v>42005</v>
      </c>
      <c r="C89" s="3">
        <f t="shared" si="397"/>
        <v>42036</v>
      </c>
      <c r="D89" s="3">
        <f t="shared" si="397"/>
        <v>42064</v>
      </c>
      <c r="E89" s="3">
        <f t="shared" si="397"/>
        <v>42095</v>
      </c>
      <c r="F89" s="3">
        <f t="shared" si="397"/>
        <v>42125</v>
      </c>
      <c r="G89" s="3">
        <f t="shared" si="397"/>
        <v>42156</v>
      </c>
      <c r="H89" s="3">
        <f t="shared" si="397"/>
        <v>42186</v>
      </c>
      <c r="I89" s="3">
        <f t="shared" si="397"/>
        <v>42217</v>
      </c>
      <c r="J89" s="3">
        <f t="shared" si="397"/>
        <v>42248</v>
      </c>
      <c r="K89" s="3">
        <f t="shared" si="397"/>
        <v>42278</v>
      </c>
      <c r="L89" s="3">
        <f t="shared" si="397"/>
        <v>42309</v>
      </c>
      <c r="M89" s="3">
        <f t="shared" si="397"/>
        <v>42339</v>
      </c>
      <c r="N89" s="3">
        <f t="shared" si="397"/>
        <v>42370</v>
      </c>
      <c r="O89" s="3">
        <f t="shared" si="397"/>
        <v>42401</v>
      </c>
      <c r="P89" s="3">
        <f t="shared" si="397"/>
        <v>42430</v>
      </c>
      <c r="Q89" s="3">
        <f t="shared" si="397"/>
        <v>42461</v>
      </c>
      <c r="R89" s="3">
        <f t="shared" si="397"/>
        <v>42491</v>
      </c>
      <c r="S89" s="3">
        <f t="shared" si="397"/>
        <v>42522</v>
      </c>
      <c r="T89" s="3">
        <f t="shared" si="397"/>
        <v>42552</v>
      </c>
      <c r="U89" s="3">
        <f t="shared" si="397"/>
        <v>42583</v>
      </c>
      <c r="V89" s="3">
        <f t="shared" si="397"/>
        <v>42614</v>
      </c>
      <c r="W89" s="3">
        <f t="shared" si="397"/>
        <v>42644</v>
      </c>
      <c r="X89" s="3">
        <f t="shared" si="397"/>
        <v>42675</v>
      </c>
      <c r="Y89" s="3">
        <f t="shared" si="397"/>
        <v>42705</v>
      </c>
      <c r="Z89" s="29" t="s">
        <v>18</v>
      </c>
      <c r="AA89" s="29" t="s">
        <v>19</v>
      </c>
      <c r="AB89" s="29" t="s">
        <v>20</v>
      </c>
      <c r="AC89" s="29" t="s">
        <v>21</v>
      </c>
      <c r="AD89" s="29" t="s">
        <v>22</v>
      </c>
      <c r="AE89" s="26" t="str">
        <f t="shared" ref="AE89:AI89" si="398">AE65</f>
        <v>YTD 7/15</v>
      </c>
      <c r="AF89" s="26" t="str">
        <f t="shared" si="398"/>
        <v>Q1 '15</v>
      </c>
      <c r="AG89" s="26" t="str">
        <f t="shared" si="398"/>
        <v>Q2 '15</v>
      </c>
      <c r="AH89" s="26" t="str">
        <f t="shared" si="398"/>
        <v>Q3 '15</v>
      </c>
      <c r="AI89" s="26" t="str">
        <f t="shared" si="398"/>
        <v>Q4 '15</v>
      </c>
      <c r="AJ89" s="30" t="s">
        <v>27</v>
      </c>
      <c r="AK89" s="30" t="s">
        <v>29</v>
      </c>
      <c r="AL89" s="30" t="s">
        <v>30</v>
      </c>
      <c r="AM89" s="30" t="s">
        <v>31</v>
      </c>
      <c r="AN89" s="30" t="s">
        <v>32</v>
      </c>
      <c r="AO89" s="108">
        <v>42736</v>
      </c>
      <c r="AP89" s="108">
        <v>42767</v>
      </c>
      <c r="AQ89" s="108">
        <v>42795</v>
      </c>
      <c r="AR89" s="108">
        <v>42826</v>
      </c>
      <c r="AS89" s="108">
        <v>42856</v>
      </c>
      <c r="AT89" s="108">
        <v>42887</v>
      </c>
      <c r="AU89" s="108">
        <v>42917</v>
      </c>
      <c r="AV89" s="108">
        <v>42948</v>
      </c>
      <c r="AW89" s="108">
        <v>42979</v>
      </c>
      <c r="AX89" s="108">
        <v>43009</v>
      </c>
      <c r="AY89" s="108">
        <v>43040</v>
      </c>
      <c r="AZ89" s="108">
        <v>43070</v>
      </c>
      <c r="BA89" s="29" t="s">
        <v>123</v>
      </c>
      <c r="BB89" s="29" t="s">
        <v>124</v>
      </c>
      <c r="BC89" s="29" t="s">
        <v>125</v>
      </c>
      <c r="BD89" s="29" t="s">
        <v>126</v>
      </c>
      <c r="BE89" s="29" t="str">
        <f>"YTD " &amp; A88 &amp;"/17"</f>
        <v>YTD /17</v>
      </c>
      <c r="BF89" s="121">
        <v>42736</v>
      </c>
      <c r="BG89" s="108">
        <v>42767</v>
      </c>
      <c r="BH89" s="108">
        <v>42795</v>
      </c>
      <c r="BI89" s="108">
        <v>42826</v>
      </c>
      <c r="BJ89" s="108">
        <v>42856</v>
      </c>
      <c r="BK89" s="108">
        <v>42887</v>
      </c>
      <c r="BL89" s="108">
        <v>42917</v>
      </c>
      <c r="BM89" s="108">
        <v>42948</v>
      </c>
      <c r="BN89" s="108">
        <v>42979</v>
      </c>
      <c r="BO89" s="108">
        <v>43009</v>
      </c>
      <c r="BP89" s="108">
        <v>43040</v>
      </c>
      <c r="BQ89" s="108">
        <v>43070</v>
      </c>
      <c r="BR89" s="29" t="s">
        <v>127</v>
      </c>
      <c r="BS89" s="29" t="s">
        <v>128</v>
      </c>
      <c r="BT89" s="29" t="s">
        <v>96</v>
      </c>
      <c r="BU89" s="29" t="s">
        <v>129</v>
      </c>
      <c r="BV89" s="112" t="s">
        <v>130</v>
      </c>
    </row>
    <row r="90" spans="1:74" x14ac:dyDescent="0.25">
      <c r="A90" t="s">
        <v>16</v>
      </c>
      <c r="B90" s="6">
        <f>'Agency North'!C90+'Agency South'!C90</f>
        <v>98</v>
      </c>
      <c r="C90" s="6">
        <f>'Agency North'!D90+'Agency South'!D90</f>
        <v>35</v>
      </c>
      <c r="D90" s="6">
        <f>'Agency North'!E90+'Agency South'!E90</f>
        <v>76</v>
      </c>
      <c r="E90" s="6">
        <f>'Agency North'!F90+'Agency South'!F90</f>
        <v>118</v>
      </c>
      <c r="F90" s="6">
        <f>'Agency North'!G90+'Agency South'!G90</f>
        <v>72</v>
      </c>
      <c r="G90" s="6">
        <f>'Agency North'!H90+'Agency South'!H90</f>
        <v>78</v>
      </c>
      <c r="H90" s="6">
        <f>'Agency North'!I90+'Agency South'!I90</f>
        <v>62</v>
      </c>
      <c r="I90" s="6">
        <f>'Agency North'!J90+'Agency South'!J90</f>
        <v>63</v>
      </c>
      <c r="J90" s="6">
        <f>'Agency North'!K90+'Agency South'!K90</f>
        <v>102</v>
      </c>
      <c r="K90" s="6">
        <f>'Agency North'!L90+'Agency South'!L90</f>
        <v>58</v>
      </c>
      <c r="L90" s="6">
        <f>'Agency North'!M90+'Agency South'!M90</f>
        <v>67</v>
      </c>
      <c r="M90" s="6">
        <f>'Agency North'!N90+'Agency South'!N90</f>
        <v>52</v>
      </c>
      <c r="N90" s="6">
        <f>'Agency North'!O90+'Agency South'!O90</f>
        <v>14</v>
      </c>
      <c r="O90" s="6">
        <f>'Agency North'!P90+'Agency South'!P90</f>
        <v>11</v>
      </c>
      <c r="P90" s="6">
        <f>'Agency North'!Q90+'Agency South'!Q90</f>
        <v>65</v>
      </c>
      <c r="Q90" s="6">
        <f>'Agency North'!R90+'Agency South'!R90</f>
        <v>74</v>
      </c>
      <c r="R90" s="6">
        <f>'Agency North'!S90+'Agency South'!S90</f>
        <v>131</v>
      </c>
      <c r="S90" s="6">
        <f>'Agency North'!T90+'Agency South'!T90</f>
        <v>180</v>
      </c>
      <c r="T90" s="6">
        <f>'Agency North'!U90+'Agency South'!U90</f>
        <v>103</v>
      </c>
      <c r="U90" s="6">
        <f>'Agency North'!V90+'Agency South'!V90</f>
        <v>112</v>
      </c>
      <c r="V90" s="6">
        <f>'Agency North'!W90+'Agency South'!W90</f>
        <v>192</v>
      </c>
      <c r="W90" s="6">
        <f>'Agency North'!X90+'Agency South'!X90</f>
        <v>176</v>
      </c>
      <c r="X90" s="6">
        <f>'Agency North'!Y90+'Agency South'!Y90</f>
        <v>219</v>
      </c>
      <c r="Y90" s="6">
        <f>'Agency North'!Z90+'Agency South'!Z90</f>
        <v>153</v>
      </c>
      <c r="Z90" s="22">
        <f>SUM(N90:INDEX(N90:Y90,$A$2))</f>
        <v>578</v>
      </c>
      <c r="AA90" s="22">
        <f>SUM(N90:P90)</f>
        <v>90</v>
      </c>
      <c r="AB90" s="22">
        <f>SUM(Q90:S90)</f>
        <v>385</v>
      </c>
      <c r="AC90" s="22">
        <f>SUM(T90:V90)</f>
        <v>407</v>
      </c>
      <c r="AD90" s="22">
        <f>SUM(W90:Y90)</f>
        <v>548</v>
      </c>
      <c r="AE90" s="22">
        <f>SUM(B90                                                                                : INDEX(B90:M90,$A$2))</f>
        <v>539</v>
      </c>
      <c r="AF90" s="22">
        <f t="shared" ref="AF90:AF92" si="399">SUM(B90:D90)</f>
        <v>209</v>
      </c>
      <c r="AG90" s="22">
        <f t="shared" ref="AG90:AG92" si="400">SUM(E90:G90)</f>
        <v>268</v>
      </c>
      <c r="AH90" s="22">
        <f t="shared" ref="AH90:AH92" si="401">SUM(H90:J90)</f>
        <v>227</v>
      </c>
      <c r="AI90" s="22">
        <f t="shared" ref="AI90:AI92" si="402">SUM(K90:M90)</f>
        <v>177</v>
      </c>
      <c r="AJ90" s="31">
        <f>Z90/AE90-1</f>
        <v>7.235621521335811E-2</v>
      </c>
      <c r="AK90" s="31">
        <f t="shared" ref="AK90:AK92" si="403">AA90/AF90-1</f>
        <v>-0.56937799043062198</v>
      </c>
      <c r="AL90" s="31">
        <f t="shared" ref="AL90:AL92" si="404">AB90/AG90-1</f>
        <v>0.43656716417910446</v>
      </c>
      <c r="AM90" s="31">
        <f t="shared" ref="AM90:AM92" si="405">AC90/AH90-1</f>
        <v>0.79295154185022021</v>
      </c>
      <c r="AN90" s="31">
        <f>AD90/SUM(K90:INDEX(K90:M90,MOD($A$2,3)))-1</f>
        <v>8.4482758620689662</v>
      </c>
      <c r="AO90" s="6">
        <f>'Agency North'!AP90+'Agency South'!AP90</f>
        <v>78</v>
      </c>
      <c r="AP90" s="6">
        <f>'Agency North'!AQ90+'Agency South'!AQ90</f>
        <v>132</v>
      </c>
      <c r="AQ90" s="6">
        <f>'Agency North'!AR90+'Agency South'!AR90</f>
        <v>58</v>
      </c>
      <c r="AR90" s="6">
        <f>'Agency North'!AS90+'Agency South'!AS90</f>
        <v>57</v>
      </c>
      <c r="AS90" s="6">
        <f>'Agency North'!AT90+'Agency South'!AT90</f>
        <v>54</v>
      </c>
      <c r="AT90" s="6">
        <f>'Agency North'!AU90+'Agency South'!AU90</f>
        <v>55</v>
      </c>
      <c r="AU90" s="6">
        <f>'Agency North'!AV90+'Agency South'!AV90</f>
        <v>61</v>
      </c>
      <c r="BA90" s="110">
        <f>SUM(AO90:INDEX(AO90:AQ90,IF($A$2&lt;3,$A$2,3)))</f>
        <v>268</v>
      </c>
      <c r="BB90" s="110">
        <f>SUM(AR90:AT90)</f>
        <v>166</v>
      </c>
      <c r="BC90" s="110">
        <f>SUM(AU90:INDEX(AU90:AW90,IF(AND($A$2&gt;6,$A$2&lt;10),$A$2-6,0)))</f>
        <v>61</v>
      </c>
      <c r="BD90" s="110">
        <f>SUM(AX90:INDEX(AX90:AZ90,IF($A$2&gt;9,$A$2-9,0)))</f>
        <v>0</v>
      </c>
      <c r="BE90" s="110">
        <f>SUM($AO90:INDEX(AO90:AZ90,$A$2))</f>
        <v>495</v>
      </c>
      <c r="BF90" s="122">
        <f t="shared" ref="BF90:BF92" si="406">AO90/N90</f>
        <v>5.5714285714285712</v>
      </c>
      <c r="BG90" s="111">
        <f t="shared" ref="BG90:BG92" si="407">AP90/O90</f>
        <v>12</v>
      </c>
      <c r="BH90" s="111">
        <f t="shared" ref="BH90:BH92" si="408">AQ90/P90</f>
        <v>0.89230769230769236</v>
      </c>
      <c r="BI90" s="111">
        <f t="shared" ref="BI90:BI92" si="409">AR90/Q90</f>
        <v>0.77027027027027029</v>
      </c>
      <c r="BJ90" s="111">
        <f t="shared" ref="BJ90:BJ92" si="410">AS90/R90</f>
        <v>0.41221374045801529</v>
      </c>
      <c r="BK90" s="111">
        <f t="shared" ref="BK90:BK92" si="411">AT90/S90</f>
        <v>0.30555555555555558</v>
      </c>
      <c r="BL90" s="111">
        <f t="shared" ref="BL90:BL92" si="412">AU90/T90</f>
        <v>0.59223300970873782</v>
      </c>
      <c r="BM90" s="111">
        <f t="shared" ref="BM90:BM92" si="413">AV90/U90</f>
        <v>0</v>
      </c>
      <c r="BN90" s="111">
        <f t="shared" ref="BN90:BN92" si="414">AW90/V90</f>
        <v>0</v>
      </c>
      <c r="BO90" s="111">
        <f t="shared" ref="BO90:BO92" si="415">AX90/W90</f>
        <v>0</v>
      </c>
      <c r="BP90" s="111">
        <f t="shared" ref="BP90:BP92" si="416">AY90/X90</f>
        <v>0</v>
      </c>
      <c r="BQ90" s="111">
        <f t="shared" ref="BQ90:BQ92" si="417">AZ90/Y90</f>
        <v>0</v>
      </c>
      <c r="BR90" s="111">
        <f>BA90/SUM(N90:INDEX(N90:P90,IF($A$2&lt;3,$A$2,3)))</f>
        <v>2.9777777777777779</v>
      </c>
      <c r="BS90" s="111">
        <f>BB90/SUM(Q90:INDEX(Q90:S90,$B$2))</f>
        <v>2.2432432432432434</v>
      </c>
      <c r="BT90" s="111">
        <f t="shared" ref="BT90:BT92" si="418">BC90/AC90</f>
        <v>0.14987714987714987</v>
      </c>
      <c r="BU90" s="111">
        <f t="shared" ref="BU90:BU92" si="419">BD90/AD90</f>
        <v>0</v>
      </c>
      <c r="BV90" s="111">
        <f t="shared" ref="BV90:BV92" si="420">BE90/Z90</f>
        <v>0.856401384083045</v>
      </c>
    </row>
    <row r="91" spans="1:74" x14ac:dyDescent="0.25">
      <c r="A91" t="s">
        <v>17</v>
      </c>
      <c r="B91" s="6">
        <f>'Agency North'!C91+'Agency South'!C91</f>
        <v>350</v>
      </c>
      <c r="C91" s="6">
        <f>'Agency North'!D91+'Agency South'!D91</f>
        <v>184</v>
      </c>
      <c r="D91" s="6">
        <f>'Agency North'!E91+'Agency South'!E91</f>
        <v>386</v>
      </c>
      <c r="E91" s="6">
        <f>'Agency North'!F91+'Agency South'!F91</f>
        <v>477</v>
      </c>
      <c r="F91" s="6">
        <f>'Agency North'!G91+'Agency South'!G91</f>
        <v>404</v>
      </c>
      <c r="G91" s="6">
        <f>'Agency North'!H91+'Agency South'!H91</f>
        <v>429</v>
      </c>
      <c r="H91" s="6">
        <f>'Agency North'!I91+'Agency South'!I91</f>
        <v>446</v>
      </c>
      <c r="I91" s="6">
        <f>'Agency North'!J91+'Agency South'!J91</f>
        <v>429</v>
      </c>
      <c r="J91" s="6">
        <f>'Agency North'!K91+'Agency South'!K91</f>
        <v>473</v>
      </c>
      <c r="K91" s="6">
        <f>'Agency North'!L91+'Agency South'!L91</f>
        <v>406</v>
      </c>
      <c r="L91" s="6">
        <f>'Agency North'!M91+'Agency South'!M91</f>
        <v>742</v>
      </c>
      <c r="M91" s="6">
        <f>'Agency North'!N91+'Agency South'!N91</f>
        <v>558</v>
      </c>
      <c r="N91" s="6">
        <f>'Agency North'!O91+'Agency South'!O91</f>
        <v>192</v>
      </c>
      <c r="O91" s="6">
        <f>'Agency North'!P91+'Agency South'!P91</f>
        <v>187</v>
      </c>
      <c r="P91" s="6">
        <f>'Agency North'!Q91+'Agency South'!Q91</f>
        <v>620</v>
      </c>
      <c r="Q91" s="6">
        <f>'Agency North'!R91+'Agency South'!R91</f>
        <v>471</v>
      </c>
      <c r="R91" s="6">
        <f>'Agency North'!S91+'Agency South'!S91</f>
        <v>618</v>
      </c>
      <c r="S91" s="6">
        <f>'Agency North'!T91+'Agency South'!T91</f>
        <v>1120</v>
      </c>
      <c r="T91" s="6">
        <f>'Agency North'!U91+'Agency South'!U91</f>
        <v>826</v>
      </c>
      <c r="U91" s="6">
        <f>'Agency North'!V91+'Agency South'!V91</f>
        <v>949</v>
      </c>
      <c r="V91" s="6">
        <f>'Agency North'!W91+'Agency South'!W91</f>
        <v>1083</v>
      </c>
      <c r="W91" s="6">
        <f>'Agency North'!X91+'Agency South'!X91</f>
        <v>1014</v>
      </c>
      <c r="X91" s="6">
        <f>'Agency North'!Y91+'Agency South'!Y91</f>
        <v>1100</v>
      </c>
      <c r="Y91" s="6">
        <f>'Agency North'!Z91+'Agency South'!Z91</f>
        <v>1354</v>
      </c>
      <c r="Z91" s="22">
        <f>SUM(N91:INDEX(N91:Y91,$A$2))</f>
        <v>4034</v>
      </c>
      <c r="AA91" s="22">
        <f>SUM(N91:P91)</f>
        <v>999</v>
      </c>
      <c r="AB91" s="22">
        <f>SUM(Q91:S91)</f>
        <v>2209</v>
      </c>
      <c r="AC91" s="22">
        <f>SUM(T91:V91)</f>
        <v>2858</v>
      </c>
      <c r="AD91" s="22">
        <f>SUM(W91:Y91)</f>
        <v>3468</v>
      </c>
      <c r="AE91" s="22">
        <f>SUM(B91                                                                                : INDEX(B91:M91,$A$2))</f>
        <v>2676</v>
      </c>
      <c r="AF91" s="22">
        <f t="shared" si="399"/>
        <v>920</v>
      </c>
      <c r="AG91" s="22">
        <f t="shared" si="400"/>
        <v>1310</v>
      </c>
      <c r="AH91" s="22">
        <f t="shared" si="401"/>
        <v>1348</v>
      </c>
      <c r="AI91" s="22">
        <f t="shared" si="402"/>
        <v>1706</v>
      </c>
      <c r="AJ91" s="31">
        <f t="shared" ref="AJ91:AJ92" si="421">Z91/AE91-1</f>
        <v>0.50747384155455899</v>
      </c>
      <c r="AK91" s="31">
        <f t="shared" si="403"/>
        <v>8.5869565217391308E-2</v>
      </c>
      <c r="AL91" s="31">
        <f t="shared" si="404"/>
        <v>0.68625954198473282</v>
      </c>
      <c r="AM91" s="31">
        <f t="shared" si="405"/>
        <v>1.1201780415430269</v>
      </c>
      <c r="AN91" s="31">
        <f>AD91/SUM(K91:INDEX(K91:M91,MOD($A$2,3)))-1</f>
        <v>7.5418719211822651</v>
      </c>
      <c r="AO91" s="6">
        <f>'Agency North'!AP91+'Agency South'!AP91</f>
        <v>431</v>
      </c>
      <c r="AP91" s="6">
        <f>'Agency North'!AQ91+'Agency South'!AQ91</f>
        <v>920</v>
      </c>
      <c r="AQ91" s="6">
        <f>'Agency North'!AR91+'Agency South'!AR91</f>
        <v>1151</v>
      </c>
      <c r="AR91" s="6">
        <f>'Agency North'!AS91+'Agency South'!AS91</f>
        <v>905</v>
      </c>
      <c r="AS91" s="6">
        <f>'Agency North'!AT91+'Agency South'!AT91</f>
        <v>899</v>
      </c>
      <c r="AT91" s="6">
        <f>'Agency North'!AU91+'Agency South'!AU91</f>
        <v>1684</v>
      </c>
      <c r="AU91" s="6">
        <f>'Agency North'!AV91+'Agency South'!AV91</f>
        <v>1103</v>
      </c>
      <c r="BA91" s="110">
        <f>SUM(AO91:INDEX(AO91:AQ91,IF($A$2&lt;3,$A$2,3)))</f>
        <v>2502</v>
      </c>
      <c r="BB91" s="110">
        <f>SUM(AR91:INDEX(AR91:AT91,IF(AND($A$2&gt;3,A89&lt;7),$A$2-3,0)))</f>
        <v>3488</v>
      </c>
      <c r="BC91" s="110">
        <f>SUM(AU91:INDEX(AU91:AW91,IF(AND($A$2&gt;6,$A$2&lt;10),$A$2-6,0)))</f>
        <v>1103</v>
      </c>
      <c r="BD91" s="110">
        <f>SUM(AX91:INDEX(AX91:AZ91,IF($A$2&gt;9,$A$2-9,0)))</f>
        <v>0</v>
      </c>
      <c r="BE91" s="110">
        <f>SUM($AO91:INDEX(AO91:AZ91,$A$2))</f>
        <v>7093</v>
      </c>
      <c r="BF91" s="122">
        <f t="shared" si="406"/>
        <v>2.2447916666666665</v>
      </c>
      <c r="BG91" s="111">
        <f t="shared" si="407"/>
        <v>4.9197860962566846</v>
      </c>
      <c r="BH91" s="111">
        <f t="shared" si="408"/>
        <v>1.8564516129032258</v>
      </c>
      <c r="BI91" s="111">
        <f t="shared" si="409"/>
        <v>1.921443736730361</v>
      </c>
      <c r="BJ91" s="111">
        <f t="shared" si="410"/>
        <v>1.4546925566343043</v>
      </c>
      <c r="BK91" s="111">
        <f t="shared" si="411"/>
        <v>1.5035714285714286</v>
      </c>
      <c r="BL91" s="111">
        <f t="shared" si="412"/>
        <v>1.3353510895883778</v>
      </c>
      <c r="BM91" s="111">
        <f t="shared" si="413"/>
        <v>0</v>
      </c>
      <c r="BN91" s="111">
        <f t="shared" si="414"/>
        <v>0</v>
      </c>
      <c r="BO91" s="111">
        <f t="shared" si="415"/>
        <v>0</v>
      </c>
      <c r="BP91" s="111">
        <f t="shared" si="416"/>
        <v>0</v>
      </c>
      <c r="BQ91" s="111">
        <f t="shared" si="417"/>
        <v>0</v>
      </c>
      <c r="BR91" s="111">
        <f>BA91/SUM(N91:INDEX(N91:P91,IF($A$2&lt;3,$A$2,3)))</f>
        <v>2.5045045045045047</v>
      </c>
      <c r="BS91" s="111">
        <f>BB91/SUM(Q91:INDEX(Q91:S91,$B$2))</f>
        <v>7.4055201698513802</v>
      </c>
      <c r="BT91" s="111">
        <f t="shared" si="418"/>
        <v>0.38593421973407976</v>
      </c>
      <c r="BU91" s="111">
        <f t="shared" si="419"/>
        <v>0</v>
      </c>
      <c r="BV91" s="111">
        <f t="shared" si="420"/>
        <v>1.7583044124938028</v>
      </c>
    </row>
    <row r="92" spans="1:74" x14ac:dyDescent="0.25">
      <c r="B92" s="7">
        <f>SUM(B90:B91)</f>
        <v>448</v>
      </c>
      <c r="C92" s="7">
        <f t="shared" ref="C92:Y92" si="422">SUM(C90:C91)</f>
        <v>219</v>
      </c>
      <c r="D92" s="7">
        <f t="shared" si="422"/>
        <v>462</v>
      </c>
      <c r="E92" s="7">
        <f t="shared" si="422"/>
        <v>595</v>
      </c>
      <c r="F92" s="7">
        <f t="shared" si="422"/>
        <v>476</v>
      </c>
      <c r="G92" s="7">
        <f t="shared" si="422"/>
        <v>507</v>
      </c>
      <c r="H92" s="7">
        <f t="shared" si="422"/>
        <v>508</v>
      </c>
      <c r="I92" s="7">
        <f t="shared" si="422"/>
        <v>492</v>
      </c>
      <c r="J92" s="7">
        <f t="shared" si="422"/>
        <v>575</v>
      </c>
      <c r="K92" s="7">
        <f t="shared" si="422"/>
        <v>464</v>
      </c>
      <c r="L92" s="7">
        <f t="shared" si="422"/>
        <v>809</v>
      </c>
      <c r="M92" s="7">
        <f t="shared" si="422"/>
        <v>610</v>
      </c>
      <c r="N92" s="7">
        <f t="shared" si="422"/>
        <v>206</v>
      </c>
      <c r="O92" s="7">
        <f t="shared" si="422"/>
        <v>198</v>
      </c>
      <c r="P92" s="7">
        <f t="shared" si="422"/>
        <v>685</v>
      </c>
      <c r="Q92" s="7">
        <f t="shared" si="422"/>
        <v>545</v>
      </c>
      <c r="R92" s="7">
        <f t="shared" si="422"/>
        <v>749</v>
      </c>
      <c r="S92" s="7">
        <f t="shared" si="422"/>
        <v>1300</v>
      </c>
      <c r="T92" s="7">
        <f t="shared" si="422"/>
        <v>929</v>
      </c>
      <c r="U92" s="7">
        <f t="shared" si="422"/>
        <v>1061</v>
      </c>
      <c r="V92" s="7">
        <f t="shared" si="422"/>
        <v>1275</v>
      </c>
      <c r="W92" s="7">
        <f t="shared" si="422"/>
        <v>1190</v>
      </c>
      <c r="X92" s="7">
        <f t="shared" si="422"/>
        <v>1319</v>
      </c>
      <c r="Y92" s="7">
        <f t="shared" si="422"/>
        <v>1507</v>
      </c>
      <c r="Z92" s="1">
        <f>SUM(N92:INDEX(N92:Y92,$A$2))</f>
        <v>4612</v>
      </c>
      <c r="AA92" s="7">
        <f t="shared" ref="AA92" si="423">SUM(AA90:AA91)</f>
        <v>1089</v>
      </c>
      <c r="AB92" s="7">
        <f t="shared" ref="AB92" si="424">SUM(AB90:AB91)</f>
        <v>2594</v>
      </c>
      <c r="AC92" s="7">
        <f t="shared" ref="AC92" si="425">SUM(AC90:AC91)</f>
        <v>3265</v>
      </c>
      <c r="AD92" s="7">
        <f t="shared" ref="AD92" si="426">SUM(AD90:AD91)</f>
        <v>4016</v>
      </c>
      <c r="AE92" s="7">
        <f>SUM(B92                                                                                : INDEX(B92:M92,$A$2))</f>
        <v>3215</v>
      </c>
      <c r="AF92" s="7">
        <f t="shared" si="399"/>
        <v>1129</v>
      </c>
      <c r="AG92" s="7">
        <f t="shared" si="400"/>
        <v>1578</v>
      </c>
      <c r="AH92" s="7">
        <f t="shared" si="401"/>
        <v>1575</v>
      </c>
      <c r="AI92" s="7">
        <f t="shared" si="402"/>
        <v>1883</v>
      </c>
      <c r="AJ92" s="32">
        <f t="shared" si="421"/>
        <v>0.43452566096423006</v>
      </c>
      <c r="AK92" s="32">
        <f t="shared" si="403"/>
        <v>-3.5429583702391465E-2</v>
      </c>
      <c r="AL92" s="32">
        <f t="shared" si="404"/>
        <v>0.64385297845373901</v>
      </c>
      <c r="AM92" s="32">
        <f t="shared" si="405"/>
        <v>1.0730158730158732</v>
      </c>
      <c r="AN92" s="32">
        <f>AD92/SUM(K92:INDEX(K92:M92,MOD($A$2,3)))-1</f>
        <v>7.6551724137931032</v>
      </c>
      <c r="AO92" s="7">
        <f t="shared" ref="AO92:AP92" si="427">SUM(AO90:AO91)</f>
        <v>509</v>
      </c>
      <c r="AP92" s="7">
        <f t="shared" si="427"/>
        <v>1052</v>
      </c>
      <c r="AQ92" s="7">
        <f t="shared" ref="AQ92:AR92" si="428">SUM(AQ90:AQ91)</f>
        <v>1209</v>
      </c>
      <c r="AR92" s="7">
        <f t="shared" si="428"/>
        <v>962</v>
      </c>
      <c r="AS92" s="7">
        <f t="shared" ref="AS92:AT92" si="429">SUM(AS90:AS91)</f>
        <v>953</v>
      </c>
      <c r="AT92" s="7">
        <f t="shared" si="429"/>
        <v>1739</v>
      </c>
      <c r="AU92" s="7">
        <f t="shared" ref="AU92" si="430">SUM(AU90:AU91)</f>
        <v>1164</v>
      </c>
      <c r="BA92" s="116">
        <f>SUM(AO92:INDEX(AO92:AQ92,IF($A$2&lt;3,$A$2,3)))</f>
        <v>2770</v>
      </c>
      <c r="BB92" s="116">
        <f>SUM(AR92:INDEX(AR92:AT92,IF(AND($A$2&gt;3,A90&lt;7),$A$2-3,0)))</f>
        <v>3654</v>
      </c>
      <c r="BC92" s="116">
        <f>SUM(AU92:INDEX(AU92:AW92,IF(AND($A$2&gt;6,$A$2&lt;10),$A$2-6,0)))</f>
        <v>1164</v>
      </c>
      <c r="BD92" s="116">
        <f>SUM(AX92:INDEX(AX92:AZ92,IF($A$2&gt;9,$A$2-9,0)))</f>
        <v>0</v>
      </c>
      <c r="BE92" s="116">
        <f>SUM($AO92:INDEX(AO92:AZ92,$A$2))</f>
        <v>7588</v>
      </c>
      <c r="BF92" s="123">
        <f t="shared" si="406"/>
        <v>2.470873786407767</v>
      </c>
      <c r="BG92" s="118">
        <f t="shared" si="407"/>
        <v>5.3131313131313131</v>
      </c>
      <c r="BH92" s="118">
        <f t="shared" si="408"/>
        <v>1.7649635036496349</v>
      </c>
      <c r="BI92" s="118">
        <f t="shared" si="409"/>
        <v>1.7651376146788991</v>
      </c>
      <c r="BJ92" s="118">
        <f t="shared" si="410"/>
        <v>1.2723631508678237</v>
      </c>
      <c r="BK92" s="118">
        <f t="shared" si="411"/>
        <v>1.3376923076923077</v>
      </c>
      <c r="BL92" s="118">
        <f t="shared" si="412"/>
        <v>1.2529601722282024</v>
      </c>
      <c r="BM92" s="118">
        <f t="shared" si="413"/>
        <v>0</v>
      </c>
      <c r="BN92" s="118">
        <f t="shared" si="414"/>
        <v>0</v>
      </c>
      <c r="BO92" s="118">
        <f t="shared" si="415"/>
        <v>0</v>
      </c>
      <c r="BP92" s="118">
        <f t="shared" si="416"/>
        <v>0</v>
      </c>
      <c r="BQ92" s="118">
        <f t="shared" si="417"/>
        <v>0</v>
      </c>
      <c r="BR92" s="118">
        <f>BA92/SUM(N92:INDEX(N92:P92,IF($A$2&lt;3,$A$2,3)))</f>
        <v>2.5436179981634526</v>
      </c>
      <c r="BS92" s="118">
        <f>BB92/SUM(Q92:INDEX(Q92:S92,$B$2))</f>
        <v>6.7045871559633028</v>
      </c>
      <c r="BT92" s="118">
        <f t="shared" si="418"/>
        <v>0.35650842266462479</v>
      </c>
      <c r="BU92" s="118">
        <f t="shared" si="419"/>
        <v>0</v>
      </c>
      <c r="BV92" s="118">
        <f t="shared" si="420"/>
        <v>1.645273200346921</v>
      </c>
    </row>
    <row r="93" spans="1:74" x14ac:dyDescent="0.25">
      <c r="BF93" s="124"/>
    </row>
    <row r="94" spans="1:74" x14ac:dyDescent="0.25">
      <c r="BF94" s="124"/>
    </row>
    <row r="95" spans="1:74" x14ac:dyDescent="0.25">
      <c r="BF95" s="124"/>
    </row>
    <row r="96" spans="1:74" s="17" customFormat="1" x14ac:dyDescent="0.25">
      <c r="A96" s="2" t="s">
        <v>33</v>
      </c>
      <c r="B96" s="3">
        <v>42005</v>
      </c>
      <c r="C96" s="3">
        <v>42036</v>
      </c>
      <c r="D96" s="3">
        <v>42064</v>
      </c>
      <c r="E96" s="3">
        <v>42095</v>
      </c>
      <c r="F96" s="3">
        <v>42125</v>
      </c>
      <c r="G96" s="3">
        <v>42156</v>
      </c>
      <c r="H96" s="3">
        <v>42186</v>
      </c>
      <c r="I96" s="3">
        <v>42217</v>
      </c>
      <c r="J96" s="3">
        <v>42248</v>
      </c>
      <c r="K96" s="3">
        <v>42278</v>
      </c>
      <c r="L96" s="3">
        <v>42309</v>
      </c>
      <c r="M96" s="3">
        <v>42339</v>
      </c>
      <c r="N96" s="3">
        <v>42370</v>
      </c>
      <c r="O96" s="3">
        <v>42401</v>
      </c>
      <c r="P96" s="3">
        <v>42430</v>
      </c>
      <c r="Q96" s="3">
        <v>42461</v>
      </c>
      <c r="R96" s="3">
        <v>42491</v>
      </c>
      <c r="S96" s="3">
        <v>42522</v>
      </c>
      <c r="T96" s="3">
        <v>42552</v>
      </c>
      <c r="U96" s="3">
        <v>42583</v>
      </c>
      <c r="V96" s="3">
        <v>42614</v>
      </c>
      <c r="W96" s="3">
        <v>42644</v>
      </c>
      <c r="X96" s="3">
        <v>42675</v>
      </c>
      <c r="Y96" s="3">
        <v>42705</v>
      </c>
      <c r="Z96" s="29" t="str">
        <f>"YTD " &amp; A95 &amp;"/16"</f>
        <v>YTD /16</v>
      </c>
      <c r="AA96" s="29" t="s">
        <v>19</v>
      </c>
      <c r="AB96" s="29" t="s">
        <v>20</v>
      </c>
      <c r="AC96" s="29" t="s">
        <v>21</v>
      </c>
      <c r="AD96" s="29" t="s">
        <v>22</v>
      </c>
      <c r="AE96" s="26" t="str">
        <f>"YTD " &amp; A95 &amp;"/15"</f>
        <v>YTD /15</v>
      </c>
      <c r="AF96" s="26" t="s">
        <v>23</v>
      </c>
      <c r="AG96" s="26" t="s">
        <v>24</v>
      </c>
      <c r="AH96" s="26" t="s">
        <v>25</v>
      </c>
      <c r="AI96" s="26" t="s">
        <v>26</v>
      </c>
      <c r="AJ96" s="30" t="s">
        <v>27</v>
      </c>
      <c r="AK96" s="30" t="s">
        <v>29</v>
      </c>
      <c r="AL96" s="30" t="s">
        <v>30</v>
      </c>
      <c r="AM96" s="30" t="s">
        <v>31</v>
      </c>
      <c r="AN96" s="30" t="s">
        <v>32</v>
      </c>
      <c r="AO96" s="108">
        <v>42736</v>
      </c>
      <c r="AP96" s="108">
        <v>42767</v>
      </c>
      <c r="AQ96" s="108">
        <v>42795</v>
      </c>
      <c r="AR96" s="108">
        <v>42826</v>
      </c>
      <c r="AS96" s="108">
        <v>42856</v>
      </c>
      <c r="AT96" s="108">
        <v>42887</v>
      </c>
      <c r="AU96" s="108">
        <v>42917</v>
      </c>
      <c r="AV96" s="108">
        <v>42948</v>
      </c>
      <c r="AW96" s="108">
        <v>42979</v>
      </c>
      <c r="AX96" s="108">
        <v>43009</v>
      </c>
      <c r="AY96" s="108">
        <v>43040</v>
      </c>
      <c r="AZ96" s="108">
        <v>43070</v>
      </c>
      <c r="BA96" s="29" t="s">
        <v>123</v>
      </c>
      <c r="BB96" s="29" t="s">
        <v>124</v>
      </c>
      <c r="BC96" s="29" t="s">
        <v>125</v>
      </c>
      <c r="BD96" s="29" t="s">
        <v>126</v>
      </c>
      <c r="BE96" s="29" t="str">
        <f>"YTD " &amp; A95 &amp;"/17"</f>
        <v>YTD /17</v>
      </c>
      <c r="BF96" s="121">
        <v>42736</v>
      </c>
      <c r="BG96" s="108">
        <v>42767</v>
      </c>
      <c r="BH96" s="108">
        <v>42795</v>
      </c>
      <c r="BI96" s="108">
        <v>42826</v>
      </c>
      <c r="BJ96" s="108">
        <v>42856</v>
      </c>
      <c r="BK96" s="108">
        <v>42887</v>
      </c>
      <c r="BL96" s="108">
        <v>42917</v>
      </c>
      <c r="BM96" s="108">
        <v>42948</v>
      </c>
      <c r="BN96" s="108">
        <v>42979</v>
      </c>
      <c r="BO96" s="108">
        <v>43009</v>
      </c>
      <c r="BP96" s="108">
        <v>43040</v>
      </c>
      <c r="BQ96" s="108">
        <v>43070</v>
      </c>
      <c r="BR96" s="29" t="s">
        <v>127</v>
      </c>
      <c r="BS96" s="29" t="s">
        <v>128</v>
      </c>
      <c r="BT96" s="29" t="s">
        <v>96</v>
      </c>
      <c r="BU96" s="29" t="s">
        <v>129</v>
      </c>
      <c r="BV96" s="112" t="s">
        <v>130</v>
      </c>
    </row>
    <row r="97" spans="1:74" x14ac:dyDescent="0.25">
      <c r="A97" t="s">
        <v>4</v>
      </c>
      <c r="B97" s="6">
        <f>'Agency North'!C97+'Agency South'!C97</f>
        <v>2113.634</v>
      </c>
      <c r="C97" s="6">
        <f>'Agency North'!D97+'Agency South'!D97</f>
        <v>1517.068</v>
      </c>
      <c r="D97" s="6">
        <f>'Agency North'!E97+'Agency South'!E97</f>
        <v>4977.817</v>
      </c>
      <c r="E97" s="6">
        <f>'Agency North'!F97+'Agency South'!F97</f>
        <v>5185.8765000000003</v>
      </c>
      <c r="F97" s="6">
        <f>'Agency North'!G97+'Agency South'!G97</f>
        <v>3419.9209999999998</v>
      </c>
      <c r="G97" s="6">
        <f>'Agency North'!H97+'Agency South'!H97</f>
        <v>4749.3064999999997</v>
      </c>
      <c r="H97" s="6">
        <f>'Agency North'!I97+'Agency South'!I97</f>
        <v>7399.5469999999996</v>
      </c>
      <c r="I97" s="6">
        <f>'Agency North'!J97+'Agency South'!J97</f>
        <v>2452.8310000000001</v>
      </c>
      <c r="J97" s="6">
        <f>'Agency North'!K97+'Agency South'!K97</f>
        <v>6767.6095000000005</v>
      </c>
      <c r="K97" s="6">
        <f>'Agency North'!L97+'Agency South'!L97</f>
        <v>4791.4854999999898</v>
      </c>
      <c r="L97" s="6">
        <f>'Agency North'!M97+'Agency South'!M97</f>
        <v>4597.14299999999</v>
      </c>
      <c r="M97" s="6">
        <f>'Agency North'!N97+'Agency South'!N97</f>
        <v>9871.6519999999891</v>
      </c>
      <c r="N97" s="6">
        <f>'Agency North'!O97+'Agency South'!O97</f>
        <v>2409.0369999999998</v>
      </c>
      <c r="O97" s="6">
        <f>'Agency North'!P97+'Agency South'!P97</f>
        <v>2030.2519999999699</v>
      </c>
      <c r="P97" s="6">
        <f>'Agency North'!Q97+'Agency South'!Q97</f>
        <v>4284.3209999999899</v>
      </c>
      <c r="Q97" s="6">
        <f>'Agency North'!R97+'Agency South'!R97</f>
        <v>6232.1170000000002</v>
      </c>
      <c r="R97" s="6">
        <f>'Agency North'!S97+'Agency South'!S97</f>
        <v>3764.7039999999997</v>
      </c>
      <c r="S97" s="6">
        <f>'Agency North'!T97+'Agency South'!T97</f>
        <v>4062.6605</v>
      </c>
      <c r="T97" s="6">
        <f>'Agency North'!U97+'Agency South'!U97</f>
        <v>3366.509</v>
      </c>
      <c r="U97" s="6">
        <f>'Agency North'!V97+'Agency South'!V97</f>
        <v>2745.7595000000001</v>
      </c>
      <c r="V97" s="6">
        <f>'Agency North'!W97+'Agency South'!W97</f>
        <v>3891.1359999999995</v>
      </c>
      <c r="W97" s="6">
        <f>'Agency North'!X97+'Agency South'!X97</f>
        <v>2956.529</v>
      </c>
      <c r="X97" s="6">
        <f>'Agency North'!Y97+'Agency South'!Y97</f>
        <v>3660.9405000000002</v>
      </c>
      <c r="Y97" s="6">
        <f>'Agency North'!Z97+'Agency South'!Z97</f>
        <v>7064.0375000000004</v>
      </c>
      <c r="Z97" s="22">
        <f>SUM(N97:INDEX(N97:Y97,$A$2))</f>
        <v>26149.600499999957</v>
      </c>
      <c r="AA97" s="22">
        <f>SUM(N97:P97)</f>
        <v>8723.6099999999606</v>
      </c>
      <c r="AB97" s="22">
        <f>SUM(Q97:S97)</f>
        <v>14059.4815</v>
      </c>
      <c r="AC97" s="22">
        <f>SUM(T97:V97)</f>
        <v>10003.404500000001</v>
      </c>
      <c r="AD97" s="22">
        <f>SUM(W97:Y97)</f>
        <v>13681.507000000001</v>
      </c>
      <c r="AE97" s="25">
        <f>SUM(B97                                                                                : INDEX(B97:M97,$A$2))</f>
        <v>29363.17</v>
      </c>
      <c r="AF97" s="22">
        <f>SUM(B97:D97)</f>
        <v>8608.5190000000002</v>
      </c>
      <c r="AG97" s="22">
        <f>SUM(E97:G97)</f>
        <v>13355.103999999999</v>
      </c>
      <c r="AH97" s="22">
        <f>SUM(H97:J97)</f>
        <v>16619.987500000003</v>
      </c>
      <c r="AI97" s="22">
        <f>SUM(K97:M97)</f>
        <v>19260.280499999972</v>
      </c>
      <c r="AJ97" s="31">
        <f>Z97/AE97-1</f>
        <v>-0.10944218556784036</v>
      </c>
      <c r="AK97" s="31">
        <f t="shared" ref="AK97:AK105" si="431">AA97/AF97-1</f>
        <v>1.3369430909075053E-2</v>
      </c>
      <c r="AL97" s="31">
        <f t="shared" ref="AL97:AL105" si="432">AB97/AG97-1</f>
        <v>5.2742195043932405E-2</v>
      </c>
      <c r="AM97" s="31">
        <f t="shared" ref="AM97:AM105" si="433">AC97/AH97-1</f>
        <v>-0.39810998654481544</v>
      </c>
      <c r="AN97" s="31">
        <f t="shared" ref="AN97:AN105" si="434">AD97/AI97-1</f>
        <v>-0.28965172651561222</v>
      </c>
      <c r="AO97" s="113">
        <f>'Agency North'!AP97+'Agency South'!AP97</f>
        <v>5732.826</v>
      </c>
      <c r="AP97" s="113">
        <f>'Agency North'!AQ97+'Agency South'!AQ97</f>
        <v>9062.9023000000107</v>
      </c>
      <c r="AQ97" s="113">
        <f>'Agency North'!AR97+'Agency South'!AR97</f>
        <v>10294.790000000001</v>
      </c>
      <c r="AR97" s="113">
        <f>'Agency North'!AS97+'Agency South'!AS97</f>
        <v>8726.129000000019</v>
      </c>
      <c r="AS97" s="113">
        <f>'Agency North'!AT97+'Agency South'!AT97</f>
        <v>8509.83</v>
      </c>
      <c r="AT97" s="113">
        <f>'Agency North'!AU97+'Agency South'!AU97</f>
        <v>9499.18</v>
      </c>
      <c r="AU97" s="113">
        <f>'Agency North'!AV97+'Agency South'!AV97</f>
        <v>7503.2000000000144</v>
      </c>
      <c r="AV97" s="113">
        <f>'Agency North'!AW97+'Agency South'!AW97</f>
        <v>0</v>
      </c>
      <c r="AW97" s="113">
        <f>'Agency North'!AX97+'Agency South'!AX97</f>
        <v>0</v>
      </c>
      <c r="AX97" s="113">
        <f>'Agency North'!AY97+'Agency South'!AY97</f>
        <v>0</v>
      </c>
      <c r="AY97" s="113">
        <f>'Agency North'!AZ97+'Agency South'!AZ97</f>
        <v>0</v>
      </c>
      <c r="AZ97" s="113">
        <f>'Agency North'!BA97+'Agency South'!BA97</f>
        <v>0</v>
      </c>
      <c r="BA97" s="110">
        <f>SUM(AO97:INDEX(AO97:AQ97,IF($A$2&lt;3,$A$2,3)))</f>
        <v>25090.518300000011</v>
      </c>
      <c r="BB97" s="110">
        <f>SUM(AR97:INDEX(AR97:AT97,IF(AND($A$2&gt;3,$A$2&lt;7),$A$2-3,0)))</f>
        <v>26735.139000000017</v>
      </c>
      <c r="BC97" s="110">
        <f>SUM(AU97:INDEX(AU97:AW97,IF(AND($A$2&gt;6,$A$2&lt;10),$A$2-6,0)))</f>
        <v>7503.2000000000144</v>
      </c>
      <c r="BD97" s="110">
        <f>SUM(AX97:INDEX(AX97:AZ97,IF($A$2&gt;9,$A$2-9,0)))</f>
        <v>0</v>
      </c>
      <c r="BE97" s="110">
        <f>SUM($AO97:INDEX(AO97:AZ97,$A$2))</f>
        <v>59328.85730000004</v>
      </c>
      <c r="BF97" s="125">
        <f>AO97/N97</f>
        <v>2.3797168744191146</v>
      </c>
      <c r="BG97" s="111">
        <f t="shared" ref="BG97:BQ105" si="435">AP97/O97</f>
        <v>4.4639297486224097</v>
      </c>
      <c r="BH97" s="111">
        <f t="shared" si="435"/>
        <v>2.4028988490825092</v>
      </c>
      <c r="BI97" s="111">
        <f t="shared" si="435"/>
        <v>1.4001869669648401</v>
      </c>
      <c r="BJ97" s="111">
        <f t="shared" si="435"/>
        <v>2.260424723962362</v>
      </c>
      <c r="BK97" s="111">
        <f t="shared" si="435"/>
        <v>2.3381673167127799</v>
      </c>
      <c r="BL97" s="111">
        <f t="shared" si="435"/>
        <v>2.2287776447352479</v>
      </c>
      <c r="BM97" s="111">
        <f t="shared" si="435"/>
        <v>0</v>
      </c>
      <c r="BN97" s="111">
        <f t="shared" si="435"/>
        <v>0</v>
      </c>
      <c r="BO97" s="111">
        <f t="shared" si="435"/>
        <v>0</v>
      </c>
      <c r="BP97" s="111">
        <f t="shared" si="435"/>
        <v>0</v>
      </c>
      <c r="BQ97" s="111">
        <f t="shared" si="435"/>
        <v>0</v>
      </c>
      <c r="BR97" s="111">
        <f>BA97/SUM(N97:INDEX(N97:P97,IF($A$2&lt;3,$A$2,3)))</f>
        <v>2.876162311245015</v>
      </c>
      <c r="BS97" s="111">
        <f>BB97/SUM(Q97:INDEX(Q97:S97,$B$2))</f>
        <v>4.2898968360189667</v>
      </c>
      <c r="BT97" s="111">
        <f t="shared" ref="BT97:BU105" si="436">BC97/AC97</f>
        <v>0.75006464049314547</v>
      </c>
      <c r="BU97" s="111">
        <f t="shared" si="436"/>
        <v>0</v>
      </c>
      <c r="BV97" s="111">
        <f>BE97/Z97</f>
        <v>2.2688246155041694</v>
      </c>
    </row>
    <row r="98" spans="1:74" x14ac:dyDescent="0.25">
      <c r="A98" t="s">
        <v>5</v>
      </c>
      <c r="B98" s="6">
        <f>'Agency North'!C98+'Agency South'!C98</f>
        <v>2041.5569999999998</v>
      </c>
      <c r="C98" s="6">
        <f>'Agency North'!D98+'Agency South'!D98</f>
        <v>1104.5840000000001</v>
      </c>
      <c r="D98" s="6">
        <f>'Agency North'!E98+'Agency South'!E98</f>
        <v>2822.6554999999998</v>
      </c>
      <c r="E98" s="6">
        <f>'Agency North'!F98+'Agency South'!F98</f>
        <v>4653.9250000000002</v>
      </c>
      <c r="F98" s="6">
        <f>'Agency North'!G98+'Agency South'!G98</f>
        <v>3042.0965000000001</v>
      </c>
      <c r="G98" s="6">
        <f>'Agency North'!H98+'Agency South'!H98</f>
        <v>3505.0320000000002</v>
      </c>
      <c r="H98" s="6">
        <f>'Agency North'!I98+'Agency South'!I98</f>
        <v>4443.067</v>
      </c>
      <c r="I98" s="6">
        <f>'Agency North'!J98+'Agency South'!J98</f>
        <v>2814.297</v>
      </c>
      <c r="J98" s="6">
        <f>'Agency North'!K98+'Agency South'!K98</f>
        <v>6173.4279999999999</v>
      </c>
      <c r="K98" s="6">
        <f>'Agency North'!L98+'Agency South'!L98</f>
        <v>3763.5709999999999</v>
      </c>
      <c r="L98" s="6">
        <f>'Agency North'!M98+'Agency South'!M98</f>
        <v>8759.0810000000292</v>
      </c>
      <c r="M98" s="6">
        <f>'Agency North'!N98+'Agency South'!N98</f>
        <v>8076.0369999999903</v>
      </c>
      <c r="N98" s="6">
        <f>'Agency North'!O98+'Agency South'!O98</f>
        <v>1339.41</v>
      </c>
      <c r="O98" s="6">
        <f>'Agency North'!P98+'Agency South'!P98</f>
        <v>1090.5070000000001</v>
      </c>
      <c r="P98" s="6">
        <f>'Agency North'!Q98+'Agency South'!Q98</f>
        <v>8540.9510000000009</v>
      </c>
      <c r="Q98" s="6">
        <f>'Agency North'!R98+'Agency South'!R98</f>
        <v>7245.0709999999999</v>
      </c>
      <c r="R98" s="6">
        <f>'Agency North'!S98+'Agency South'!S98</f>
        <v>5970.442</v>
      </c>
      <c r="S98" s="6">
        <f>'Agency North'!T98+'Agency South'!T98</f>
        <v>12399.223000000071</v>
      </c>
      <c r="T98" s="6">
        <f>'Agency North'!U98+'Agency South'!U98</f>
        <v>6351.8460000000105</v>
      </c>
      <c r="U98" s="6">
        <f>'Agency North'!V98+'Agency South'!V98</f>
        <v>7634.55800000001</v>
      </c>
      <c r="V98" s="6">
        <f>'Agency North'!W98+'Agency South'!W98</f>
        <v>13540.13250000006</v>
      </c>
      <c r="W98" s="6">
        <f>'Agency North'!X98+'Agency South'!X98</f>
        <v>8367.8040000000201</v>
      </c>
      <c r="X98" s="6">
        <f>'Agency North'!Y98+'Agency South'!Y98</f>
        <v>11071.21900000005</v>
      </c>
      <c r="Y98" s="6">
        <f>'Agency North'!Z98+'Agency South'!Z98</f>
        <v>20044.459000000112</v>
      </c>
      <c r="Z98" s="22">
        <f>SUM(N98:INDEX(N98:Y98,$A$2))</f>
        <v>42937.450000000084</v>
      </c>
      <c r="AA98" s="22">
        <f t="shared" ref="AA98:AA103" si="437">SUM(N98:P98)</f>
        <v>10970.868000000002</v>
      </c>
      <c r="AB98" s="22">
        <f t="shared" ref="AB98:AB103" si="438">SUM(Q98:S98)</f>
        <v>25614.73600000007</v>
      </c>
      <c r="AC98" s="22">
        <f t="shared" ref="AC98:AC103" si="439">SUM(T98:V98)</f>
        <v>27526.536500000082</v>
      </c>
      <c r="AD98" s="22">
        <f t="shared" ref="AD98:AD103" si="440">SUM(W98:Y98)</f>
        <v>39483.482000000178</v>
      </c>
      <c r="AE98" s="22">
        <f>SUM(B98                                                                                : INDEX(B98:M98,$A$2))</f>
        <v>21612.916999999998</v>
      </c>
      <c r="AF98" s="22">
        <f t="shared" ref="AF98:AF103" si="441">SUM(B98:D98)</f>
        <v>5968.7964999999995</v>
      </c>
      <c r="AG98" s="22">
        <f t="shared" ref="AG98:AG103" si="442">SUM(E98:G98)</f>
        <v>11201.053500000002</v>
      </c>
      <c r="AH98" s="22">
        <f t="shared" ref="AH98:AH103" si="443">SUM(H98:J98)</f>
        <v>13430.791999999999</v>
      </c>
      <c r="AI98" s="22">
        <f t="shared" ref="AI98:AI103" si="444">SUM(K98:M98)</f>
        <v>20598.68900000002</v>
      </c>
      <c r="AJ98" s="31">
        <f t="shared" ref="AJ98:AJ105" si="445">Z98/AE98-1</f>
        <v>0.98665686820525389</v>
      </c>
      <c r="AK98" s="31">
        <f t="shared" si="431"/>
        <v>0.83803686388034904</v>
      </c>
      <c r="AL98" s="31">
        <f t="shared" si="432"/>
        <v>1.2868148964738064</v>
      </c>
      <c r="AM98" s="31">
        <f t="shared" si="433"/>
        <v>1.0495095523778555</v>
      </c>
      <c r="AN98" s="31">
        <f t="shared" si="434"/>
        <v>0.9167958698730847</v>
      </c>
      <c r="AO98" s="113">
        <f>'Agency North'!AP98+'Agency South'!AP98</f>
        <v>3966.2190000000001</v>
      </c>
      <c r="AP98" s="113">
        <f>'Agency North'!AQ98+'Agency South'!AQ98</f>
        <v>5758.15200000001</v>
      </c>
      <c r="AQ98" s="113">
        <f>'Agency North'!AR98+'Agency South'!AR98</f>
        <v>13878.74</v>
      </c>
      <c r="AR98" s="113">
        <f>'Agency North'!AS98+'Agency South'!AS98</f>
        <v>10260.61200000001</v>
      </c>
      <c r="AS98" s="113">
        <f>'Agency North'!AT98+'Agency South'!AT98</f>
        <v>9566.08</v>
      </c>
      <c r="AT98" s="113">
        <f>'Agency North'!AU98+'Agency South'!AU98</f>
        <v>18931.7</v>
      </c>
      <c r="AU98" s="113">
        <f>'Agency North'!AV98+'Agency South'!AV98</f>
        <v>10972.843000000074</v>
      </c>
      <c r="AV98" s="113">
        <f>'Agency North'!AW98+'Agency South'!AW98</f>
        <v>0</v>
      </c>
      <c r="AW98" s="113">
        <f>'Agency North'!AX98+'Agency South'!AX98</f>
        <v>0</v>
      </c>
      <c r="AX98" s="113">
        <f>'Agency North'!AY98+'Agency South'!AY98</f>
        <v>0</v>
      </c>
      <c r="AY98" s="113">
        <f>'Agency North'!AZ98+'Agency South'!AZ98</f>
        <v>0</v>
      </c>
      <c r="AZ98" s="113">
        <f>'Agency North'!BA98+'Agency South'!BA98</f>
        <v>0</v>
      </c>
      <c r="BA98" s="110">
        <f>SUM(AO98:INDEX(AO98:AQ98,IF($A$2&lt;3,$A$2,3)))</f>
        <v>23603.111000000012</v>
      </c>
      <c r="BB98" s="110">
        <f>SUM(AR98:INDEX(AR98:AT98,IF(AND($A$2&gt;3,$A$2&lt;7),$A$2-3,0)))</f>
        <v>38758.392000000007</v>
      </c>
      <c r="BC98" s="110">
        <f>SUM(AU98:INDEX(AU98:AW98,IF(AND($A$2&gt;6,$A$2&lt;10),$A$2-6,0)))</f>
        <v>10972.843000000074</v>
      </c>
      <c r="BD98" s="110">
        <f>SUM(AX98:INDEX(AX98:AZ98,IF($A$2&gt;9,$A$2-9,0)))</f>
        <v>0</v>
      </c>
      <c r="BE98" s="110">
        <f>SUM($AO98:INDEX(AO98:AZ98,$A$2))</f>
        <v>73334.346000000107</v>
      </c>
      <c r="BF98" s="125">
        <f t="shared" ref="BF98:BF105" si="446">AO98/N98</f>
        <v>2.9611687235424551</v>
      </c>
      <c r="BG98" s="111">
        <f t="shared" si="435"/>
        <v>5.2802522129615026</v>
      </c>
      <c r="BH98" s="111">
        <f t="shared" si="435"/>
        <v>1.6249642457848077</v>
      </c>
      <c r="BI98" s="111">
        <f t="shared" si="435"/>
        <v>1.4162196616154639</v>
      </c>
      <c r="BJ98" s="111">
        <f t="shared" si="435"/>
        <v>1.6022398341697315</v>
      </c>
      <c r="BK98" s="111">
        <f t="shared" si="435"/>
        <v>1.5268456741200551</v>
      </c>
      <c r="BL98" s="111">
        <f t="shared" si="435"/>
        <v>1.7275045711120918</v>
      </c>
      <c r="BM98" s="111">
        <f t="shared" si="435"/>
        <v>0</v>
      </c>
      <c r="BN98" s="111">
        <f t="shared" si="435"/>
        <v>0</v>
      </c>
      <c r="BO98" s="111">
        <f t="shared" si="435"/>
        <v>0</v>
      </c>
      <c r="BP98" s="111">
        <f t="shared" si="435"/>
        <v>0</v>
      </c>
      <c r="BQ98" s="111">
        <f t="shared" si="435"/>
        <v>0</v>
      </c>
      <c r="BR98" s="111">
        <f>BA98/SUM(N98:INDEX(N98:P98,IF($A$2&lt;3,$A$2,3)))</f>
        <v>2.1514351462436707</v>
      </c>
      <c r="BS98" s="111">
        <f>BB98/SUM(Q98:INDEX(Q98:S98,$B$2))</f>
        <v>5.3496221086032154</v>
      </c>
      <c r="BT98" s="111">
        <f t="shared" si="436"/>
        <v>0.3986278113848446</v>
      </c>
      <c r="BU98" s="111">
        <f t="shared" si="436"/>
        <v>0</v>
      </c>
      <c r="BV98" s="111">
        <f t="shared" ref="BV98:BV105" si="447">BE98/Z98</f>
        <v>1.7079343556731934</v>
      </c>
    </row>
    <row r="99" spans="1:74" x14ac:dyDescent="0.25">
      <c r="A99" t="s">
        <v>6</v>
      </c>
      <c r="B99" s="6">
        <f>'Agency North'!C99+'Agency South'!C99</f>
        <v>1607.9859999999999</v>
      </c>
      <c r="C99" s="6">
        <f>'Agency North'!D99+'Agency South'!D99</f>
        <v>1750.9380000000001</v>
      </c>
      <c r="D99" s="6">
        <f>'Agency North'!E99+'Agency South'!E99</f>
        <v>2089.0340000000001</v>
      </c>
      <c r="E99" s="6">
        <f>'Agency North'!F99+'Agency South'!F99</f>
        <v>2906.9760000000001</v>
      </c>
      <c r="F99" s="6">
        <f>'Agency North'!G99+'Agency South'!G99</f>
        <v>3479.0169999999998</v>
      </c>
      <c r="G99" s="6">
        <f>'Agency North'!H99+'Agency South'!H99</f>
        <v>3389.9160000000002</v>
      </c>
      <c r="H99" s="6">
        <f>'Agency North'!I99+'Agency South'!I99</f>
        <v>3395.3140000000003</v>
      </c>
      <c r="I99" s="6">
        <f>'Agency North'!J99+'Agency South'!J99</f>
        <v>2433.3559999999998</v>
      </c>
      <c r="J99" s="6">
        <f>'Agency North'!K99+'Agency South'!K99</f>
        <v>4296.6179999999995</v>
      </c>
      <c r="K99" s="6">
        <f>'Agency North'!L99+'Agency South'!L99</f>
        <v>4505.3620000000001</v>
      </c>
      <c r="L99" s="6">
        <f>'Agency North'!M99+'Agency South'!M99</f>
        <v>3030.0115000000001</v>
      </c>
      <c r="M99" s="6">
        <f>'Agency North'!N99+'Agency South'!N99</f>
        <v>8739.1770000000106</v>
      </c>
      <c r="N99" s="6">
        <f>'Agency North'!O99+'Agency South'!O99</f>
        <v>2251.2579999999998</v>
      </c>
      <c r="O99" s="6">
        <f>'Agency North'!P99+'Agency South'!P99</f>
        <v>1010.0340000000001</v>
      </c>
      <c r="P99" s="6">
        <f>'Agency North'!Q99+'Agency South'!Q99</f>
        <v>1571.1179999999999</v>
      </c>
      <c r="Q99" s="6">
        <f>'Agency North'!R99+'Agency South'!R99</f>
        <v>3695.29</v>
      </c>
      <c r="R99" s="6">
        <f>'Agency North'!S99+'Agency South'!S99</f>
        <v>3568.9749999999999</v>
      </c>
      <c r="S99" s="6">
        <f>'Agency North'!T99+'Agency South'!T99</f>
        <v>6259.6239999999998</v>
      </c>
      <c r="T99" s="6">
        <f>'Agency North'!U99+'Agency South'!U99</f>
        <v>5109.6440000000002</v>
      </c>
      <c r="U99" s="6">
        <f>'Agency North'!V99+'Agency South'!V99</f>
        <v>3814.7190000000001</v>
      </c>
      <c r="V99" s="6">
        <f>'Agency North'!W99+'Agency South'!W99</f>
        <v>7698.7370000000201</v>
      </c>
      <c r="W99" s="6">
        <f>'Agency North'!X99+'Agency South'!X99</f>
        <v>7515.3340000000007</v>
      </c>
      <c r="X99" s="6">
        <f>'Agency North'!Y99+'Agency South'!Y99</f>
        <v>7935.1679999999997</v>
      </c>
      <c r="Y99" s="6">
        <f>'Agency North'!Z99+'Agency South'!Z99</f>
        <v>9407.7360000000299</v>
      </c>
      <c r="Z99" s="22">
        <f>SUM(N99:INDEX(N99:Y99,$A$2))</f>
        <v>23465.942999999999</v>
      </c>
      <c r="AA99" s="22">
        <f t="shared" si="437"/>
        <v>4832.41</v>
      </c>
      <c r="AB99" s="22">
        <f t="shared" si="438"/>
        <v>13523.888999999999</v>
      </c>
      <c r="AC99" s="22">
        <f t="shared" si="439"/>
        <v>16623.10000000002</v>
      </c>
      <c r="AD99" s="22">
        <f t="shared" si="440"/>
        <v>24858.23800000003</v>
      </c>
      <c r="AE99" s="22">
        <f>SUM(B99                                                                                : INDEX(B99:M99,$A$2))</f>
        <v>18619.181000000004</v>
      </c>
      <c r="AF99" s="22">
        <f t="shared" si="441"/>
        <v>5447.9580000000005</v>
      </c>
      <c r="AG99" s="22">
        <f t="shared" si="442"/>
        <v>9775.9089999999997</v>
      </c>
      <c r="AH99" s="22">
        <f t="shared" si="443"/>
        <v>10125.288</v>
      </c>
      <c r="AI99" s="22">
        <f t="shared" si="444"/>
        <v>16274.55050000001</v>
      </c>
      <c r="AJ99" s="31">
        <f t="shared" si="445"/>
        <v>0.26031016079600899</v>
      </c>
      <c r="AK99" s="31">
        <f t="shared" si="431"/>
        <v>-0.11298692097112362</v>
      </c>
      <c r="AL99" s="31">
        <f t="shared" si="432"/>
        <v>0.38338941166494078</v>
      </c>
      <c r="AM99" s="31">
        <f t="shared" si="433"/>
        <v>0.64174095591157698</v>
      </c>
      <c r="AN99" s="31">
        <f t="shared" si="434"/>
        <v>0.52743008170947725</v>
      </c>
      <c r="AO99" s="113">
        <f>'Agency North'!AP99+'Agency South'!AP99</f>
        <v>3625.0929999999998</v>
      </c>
      <c r="AP99" s="113">
        <f>'Agency North'!AQ99+'Agency South'!AQ99</f>
        <v>2547.8330000000001</v>
      </c>
      <c r="AQ99" s="113">
        <f>'Agency North'!AR99+'Agency South'!AR99</f>
        <v>6880.2</v>
      </c>
      <c r="AR99" s="113">
        <f>'Agency North'!AS99+'Agency South'!AS99</f>
        <v>6041.8609999999999</v>
      </c>
      <c r="AS99" s="113">
        <f>'Agency North'!AT99+'Agency South'!AT99</f>
        <v>5938.76</v>
      </c>
      <c r="AT99" s="113">
        <f>'Agency North'!AU99+'Agency South'!AU99</f>
        <v>4219.3899999999994</v>
      </c>
      <c r="AU99" s="113">
        <f>'Agency North'!AV99+'Agency South'!AV99</f>
        <v>5322.4599999999955</v>
      </c>
      <c r="AV99" s="113">
        <f>'Agency North'!AW99+'Agency South'!AW99</f>
        <v>0</v>
      </c>
      <c r="AW99" s="113">
        <f>'Agency North'!AX99+'Agency South'!AX99</f>
        <v>0</v>
      </c>
      <c r="AX99" s="113">
        <f>'Agency North'!AY99+'Agency South'!AY99</f>
        <v>0</v>
      </c>
      <c r="AY99" s="113">
        <f>'Agency North'!AZ99+'Agency South'!AZ99</f>
        <v>0</v>
      </c>
      <c r="AZ99" s="113">
        <f>'Agency North'!BA99+'Agency South'!BA99</f>
        <v>0</v>
      </c>
      <c r="BA99" s="110">
        <f>SUM(AO99:INDEX(AO99:AQ99,IF($A$2&lt;3,$A$2,3)))</f>
        <v>13053.126</v>
      </c>
      <c r="BB99" s="110">
        <f>SUM(AR99:INDEX(AR99:AT99,IF(AND($A$2&gt;3,$A$2&lt;7),$A$2-3,0)))</f>
        <v>16200.010999999999</v>
      </c>
      <c r="BC99" s="110">
        <f>SUM(AU99:INDEX(AU99:AW99,IF(AND($A$2&gt;6,$A$2&lt;10),$A$2-6,0)))</f>
        <v>5322.4599999999955</v>
      </c>
      <c r="BD99" s="110">
        <f>SUM(AX99:INDEX(AX99:AZ99,IF($A$2&gt;9,$A$2-9,0)))</f>
        <v>0</v>
      </c>
      <c r="BE99" s="110">
        <f>SUM($AO99:INDEX(AO99:AZ99,$A$2))</f>
        <v>34575.596999999994</v>
      </c>
      <c r="BF99" s="125">
        <f t="shared" si="446"/>
        <v>1.6102521345843079</v>
      </c>
      <c r="BG99" s="111">
        <f t="shared" si="435"/>
        <v>2.5225220141104159</v>
      </c>
      <c r="BH99" s="111">
        <f t="shared" si="435"/>
        <v>4.3791745750478324</v>
      </c>
      <c r="BI99" s="111">
        <f t="shared" si="435"/>
        <v>1.6350167375226301</v>
      </c>
      <c r="BJ99" s="111">
        <f t="shared" si="435"/>
        <v>1.6639959652281118</v>
      </c>
      <c r="BK99" s="111">
        <f t="shared" si="435"/>
        <v>0.67406444859946857</v>
      </c>
      <c r="BL99" s="111">
        <f t="shared" si="435"/>
        <v>1.0416498683665625</v>
      </c>
      <c r="BM99" s="111">
        <f t="shared" si="435"/>
        <v>0</v>
      </c>
      <c r="BN99" s="111">
        <f t="shared" si="435"/>
        <v>0</v>
      </c>
      <c r="BO99" s="111">
        <f t="shared" si="435"/>
        <v>0</v>
      </c>
      <c r="BP99" s="111">
        <f t="shared" si="435"/>
        <v>0</v>
      </c>
      <c r="BQ99" s="111">
        <f t="shared" si="435"/>
        <v>0</v>
      </c>
      <c r="BR99" s="111">
        <f>BA99/SUM(N99:INDEX(N99:P99,IF($A$2&lt;3,$A$2,3)))</f>
        <v>2.70116277385404</v>
      </c>
      <c r="BS99" s="111">
        <f>BB99/SUM(Q99:INDEX(Q99:S99,$B$2))</f>
        <v>4.3839620165129123</v>
      </c>
      <c r="BT99" s="111">
        <f t="shared" si="436"/>
        <v>0.32018456244623378</v>
      </c>
      <c r="BU99" s="111">
        <f t="shared" si="436"/>
        <v>0</v>
      </c>
      <c r="BV99" s="111">
        <f t="shared" si="447"/>
        <v>1.4734373555752691</v>
      </c>
    </row>
    <row r="100" spans="1:74" x14ac:dyDescent="0.25">
      <c r="A100" t="s">
        <v>7</v>
      </c>
      <c r="B100" s="6">
        <f>'Agency North'!C100+'Agency South'!C100</f>
        <v>1988.4479999999999</v>
      </c>
      <c r="C100" s="6">
        <f>'Agency North'!D100+'Agency South'!D100</f>
        <v>1947.857</v>
      </c>
      <c r="D100" s="6">
        <f>'Agency North'!E100+'Agency South'!E100</f>
        <v>3767.4229999999998</v>
      </c>
      <c r="E100" s="6">
        <f>'Agency North'!F100+'Agency South'!F100</f>
        <v>2125.06</v>
      </c>
      <c r="F100" s="6">
        <f>'Agency North'!G100+'Agency South'!G100</f>
        <v>2421.8710000000001</v>
      </c>
      <c r="G100" s="6">
        <f>'Agency North'!H100+'Agency South'!H100</f>
        <v>5373.0374999999904</v>
      </c>
      <c r="H100" s="6">
        <f>'Agency North'!I100+'Agency South'!I100</f>
        <v>4492.59</v>
      </c>
      <c r="I100" s="6">
        <f>'Agency North'!J100+'Agency South'!J100</f>
        <v>2356.33</v>
      </c>
      <c r="J100" s="6">
        <f>'Agency North'!K100+'Agency South'!K100</f>
        <v>5350.7929999999997</v>
      </c>
      <c r="K100" s="6">
        <f>'Agency North'!L100+'Agency South'!L100</f>
        <v>4555.32</v>
      </c>
      <c r="L100" s="6">
        <f>'Agency North'!M100+'Agency South'!M100</f>
        <v>7381.4279999999999</v>
      </c>
      <c r="M100" s="6">
        <f>'Agency North'!N100+'Agency South'!N100</f>
        <v>7028.3935000000001</v>
      </c>
      <c r="N100" s="6">
        <f>'Agency North'!O100+'Agency South'!O100</f>
        <v>2159.4970000000012</v>
      </c>
      <c r="O100" s="6">
        <f>'Agency North'!P100+'Agency South'!P100</f>
        <v>3475.0950000000003</v>
      </c>
      <c r="P100" s="6">
        <f>'Agency North'!Q100+'Agency South'!Q100</f>
        <v>4886.0320000000002</v>
      </c>
      <c r="Q100" s="6">
        <f>'Agency North'!R100+'Agency South'!R100</f>
        <v>2096.8029999999999</v>
      </c>
      <c r="R100" s="6">
        <f>'Agency North'!S100+'Agency South'!S100</f>
        <v>4222.7165000000005</v>
      </c>
      <c r="S100" s="6">
        <f>'Agency North'!T100+'Agency South'!T100</f>
        <v>6302.0964999999997</v>
      </c>
      <c r="T100" s="6">
        <f>'Agency North'!U100+'Agency South'!U100</f>
        <v>5397.6329999999998</v>
      </c>
      <c r="U100" s="6">
        <f>'Agency North'!V100+'Agency South'!V100</f>
        <v>5847.7440000000006</v>
      </c>
      <c r="V100" s="6">
        <f>'Agency North'!W100+'Agency South'!W100</f>
        <v>8135.5635000000002</v>
      </c>
      <c r="W100" s="6">
        <f>'Agency North'!X100+'Agency South'!X100</f>
        <v>4988.0709999999999</v>
      </c>
      <c r="X100" s="6">
        <f>'Agency North'!Y100+'Agency South'!Y100</f>
        <v>11114.921500000011</v>
      </c>
      <c r="Y100" s="6">
        <f>'Agency North'!Z100+'Agency South'!Z100</f>
        <v>22486.390000000029</v>
      </c>
      <c r="Z100" s="22">
        <f>SUM(N100:INDEX(N100:Y100,$A$2))</f>
        <v>28539.873</v>
      </c>
      <c r="AA100" s="22">
        <f t="shared" si="437"/>
        <v>10520.624000000002</v>
      </c>
      <c r="AB100" s="22">
        <f t="shared" si="438"/>
        <v>12621.616</v>
      </c>
      <c r="AC100" s="22">
        <f t="shared" si="439"/>
        <v>19380.940500000001</v>
      </c>
      <c r="AD100" s="22">
        <f t="shared" si="440"/>
        <v>38589.382500000036</v>
      </c>
      <c r="AE100" s="22">
        <f>SUM(B100                                                                                : INDEX(B100:M100,$A$2))</f>
        <v>22116.286499999991</v>
      </c>
      <c r="AF100" s="22">
        <f t="shared" si="441"/>
        <v>7703.7279999999992</v>
      </c>
      <c r="AG100" s="22">
        <f t="shared" si="442"/>
        <v>9919.9684999999918</v>
      </c>
      <c r="AH100" s="22">
        <f t="shared" si="443"/>
        <v>12199.713</v>
      </c>
      <c r="AI100" s="22">
        <f t="shared" si="444"/>
        <v>18965.141499999998</v>
      </c>
      <c r="AJ100" s="31">
        <f t="shared" si="445"/>
        <v>0.2904459797082124</v>
      </c>
      <c r="AK100" s="31">
        <f t="shared" si="431"/>
        <v>0.36565361601551905</v>
      </c>
      <c r="AL100" s="31">
        <f t="shared" si="432"/>
        <v>0.27234436278704011</v>
      </c>
      <c r="AM100" s="31">
        <f t="shared" si="433"/>
        <v>0.58863905241049541</v>
      </c>
      <c r="AN100" s="31">
        <f t="shared" si="434"/>
        <v>1.0347532076151418</v>
      </c>
      <c r="AO100" s="113">
        <f>'Agency North'!AP100+'Agency South'!AP100</f>
        <v>6248.7709999999997</v>
      </c>
      <c r="AP100" s="113">
        <f>'Agency North'!AQ100+'Agency South'!AQ100</f>
        <v>9679.9750000000204</v>
      </c>
      <c r="AQ100" s="113">
        <f>'Agency North'!AR100+'Agency South'!AR100</f>
        <v>6518.37</v>
      </c>
      <c r="AR100" s="113">
        <f>'Agency North'!AS100+'Agency South'!AS100</f>
        <v>5299.9169999999995</v>
      </c>
      <c r="AS100" s="113">
        <f>'Agency North'!AT100+'Agency South'!AT100</f>
        <v>7151.85</v>
      </c>
      <c r="AT100" s="113">
        <f>'Agency North'!AU100+'Agency South'!AU100</f>
        <v>6889.65</v>
      </c>
      <c r="AU100" s="113">
        <f>'Agency North'!AV100+'Agency South'!AV100</f>
        <v>5953.4374999999927</v>
      </c>
      <c r="AV100" s="113">
        <f>'Agency North'!AW100+'Agency South'!AW100</f>
        <v>0</v>
      </c>
      <c r="AW100" s="113">
        <f>'Agency North'!AX100+'Agency South'!AX100</f>
        <v>0</v>
      </c>
      <c r="AX100" s="113">
        <f>'Agency North'!AY100+'Agency South'!AY100</f>
        <v>0</v>
      </c>
      <c r="AY100" s="113">
        <f>'Agency North'!AZ100+'Agency South'!AZ100</f>
        <v>0</v>
      </c>
      <c r="AZ100" s="113">
        <f>'Agency North'!BA100+'Agency South'!BA100</f>
        <v>0</v>
      </c>
      <c r="BA100" s="110">
        <f>SUM(AO100:INDEX(AO100:AQ100,IF($A$2&lt;3,$A$2,3)))</f>
        <v>22447.11600000002</v>
      </c>
      <c r="BB100" s="110">
        <f>SUM(AR100:INDEX(AR100:AT100,IF(AND($A$2&gt;3,$A$2&lt;7),$A$2-3,0)))</f>
        <v>19341.417000000001</v>
      </c>
      <c r="BC100" s="110">
        <f>SUM(AU100:INDEX(AU100:AW100,IF(AND($A$2&gt;6,$A$2&lt;10),$A$2-6,0)))</f>
        <v>5953.4374999999927</v>
      </c>
      <c r="BD100" s="110">
        <f>SUM(AX100:INDEX(AX100:AZ100,IF($A$2&gt;9,$A$2-9,0)))</f>
        <v>0</v>
      </c>
      <c r="BE100" s="110">
        <f>SUM($AO100:INDEX(AO100:AZ100,$A$2))</f>
        <v>47741.97050000001</v>
      </c>
      <c r="BF100" s="125">
        <f t="shared" si="446"/>
        <v>2.8936233761843595</v>
      </c>
      <c r="BG100" s="111">
        <f t="shared" si="435"/>
        <v>2.785528165417066</v>
      </c>
      <c r="BH100" s="111">
        <f t="shared" si="435"/>
        <v>1.3340825438720008</v>
      </c>
      <c r="BI100" s="111">
        <f t="shared" si="435"/>
        <v>2.5276179974942803</v>
      </c>
      <c r="BJ100" s="111">
        <f t="shared" si="435"/>
        <v>1.6936609407711836</v>
      </c>
      <c r="BK100" s="111">
        <f t="shared" si="435"/>
        <v>1.0932314349677128</v>
      </c>
      <c r="BL100" s="111">
        <f t="shared" si="435"/>
        <v>1.1029718952733527</v>
      </c>
      <c r="BM100" s="111">
        <f t="shared" si="435"/>
        <v>0</v>
      </c>
      <c r="BN100" s="111">
        <f t="shared" si="435"/>
        <v>0</v>
      </c>
      <c r="BO100" s="111">
        <f t="shared" si="435"/>
        <v>0</v>
      </c>
      <c r="BP100" s="111">
        <f t="shared" si="435"/>
        <v>0</v>
      </c>
      <c r="BQ100" s="111">
        <f t="shared" si="435"/>
        <v>0</v>
      </c>
      <c r="BR100" s="111">
        <f>BA100/SUM(N100:INDEX(N100:P100,IF($A$2&lt;3,$A$2,3)))</f>
        <v>2.1336297162601778</v>
      </c>
      <c r="BS100" s="111">
        <f>BB100/SUM(Q100:INDEX(Q100:S100,$B$2))</f>
        <v>9.2242413808068768</v>
      </c>
      <c r="BT100" s="111">
        <f t="shared" si="436"/>
        <v>0.30718001017546037</v>
      </c>
      <c r="BU100" s="111">
        <f t="shared" si="436"/>
        <v>0</v>
      </c>
      <c r="BV100" s="111">
        <f t="shared" si="447"/>
        <v>1.6728165013208016</v>
      </c>
    </row>
    <row r="101" spans="1:74" x14ac:dyDescent="0.25">
      <c r="A101" t="s">
        <v>8</v>
      </c>
      <c r="B101" s="6">
        <f>'Agency North'!C101+'Agency South'!C101</f>
        <v>826.59100000000012</v>
      </c>
      <c r="C101" s="6">
        <f>'Agency North'!D101+'Agency South'!D101</f>
        <v>1141.806</v>
      </c>
      <c r="D101" s="6">
        <f>'Agency North'!E101+'Agency South'!E101</f>
        <v>2527.857</v>
      </c>
      <c r="E101" s="6">
        <f>'Agency North'!F101+'Agency South'!F101</f>
        <v>3863.71</v>
      </c>
      <c r="F101" s="6">
        <f>'Agency North'!G101+'Agency South'!G101</f>
        <v>3041.1080000000002</v>
      </c>
      <c r="G101" s="6">
        <f>'Agency North'!H101+'Agency South'!H101</f>
        <v>2635.279</v>
      </c>
      <c r="H101" s="6">
        <f>'Agency North'!I101+'Agency South'!I101</f>
        <v>3522.2210000000005</v>
      </c>
      <c r="I101" s="6">
        <f>'Agency North'!J101+'Agency South'!J101</f>
        <v>2733.703</v>
      </c>
      <c r="J101" s="6">
        <f>'Agency North'!K101+'Agency South'!K101</f>
        <v>4572.6059999999998</v>
      </c>
      <c r="K101" s="6">
        <f>'Agency North'!L101+'Agency South'!L101</f>
        <v>3584.4075000000003</v>
      </c>
      <c r="L101" s="6">
        <f>'Agency North'!M101+'Agency South'!M101</f>
        <v>5719.3940000000002</v>
      </c>
      <c r="M101" s="6">
        <f>'Agency North'!N101+'Agency South'!N101</f>
        <v>8277.2860000000001</v>
      </c>
      <c r="N101" s="6">
        <f>'Agency North'!O101+'Agency South'!O101</f>
        <v>2077.2080000000001</v>
      </c>
      <c r="O101" s="6">
        <f>'Agency North'!P101+'Agency South'!P101</f>
        <v>1733.0194999999999</v>
      </c>
      <c r="P101" s="6">
        <f>'Agency North'!Q101+'Agency South'!Q101</f>
        <v>5499.0010000000002</v>
      </c>
      <c r="Q101" s="6">
        <f>'Agency North'!R101+'Agency South'!R101</f>
        <v>5489.9589999999998</v>
      </c>
      <c r="R101" s="6">
        <f>'Agency North'!S101+'Agency South'!S101</f>
        <v>2784.2375000000002</v>
      </c>
      <c r="S101" s="6">
        <f>'Agency North'!T101+'Agency South'!T101</f>
        <v>2510.1030000000001</v>
      </c>
      <c r="T101" s="6">
        <f>'Agency North'!U101+'Agency South'!U101</f>
        <v>2531.8564999999999</v>
      </c>
      <c r="U101" s="6">
        <f>'Agency North'!V101+'Agency South'!V101</f>
        <v>3827.8319999999999</v>
      </c>
      <c r="V101" s="6">
        <f>'Agency North'!W101+'Agency South'!W101</f>
        <v>6097.2065000000002</v>
      </c>
      <c r="W101" s="6">
        <f>'Agency North'!X101+'Agency South'!X101</f>
        <v>6739.7915000000003</v>
      </c>
      <c r="X101" s="6">
        <f>'Agency North'!Y101+'Agency South'!Y101</f>
        <v>4560.6244999999999</v>
      </c>
      <c r="Y101" s="6">
        <f>'Agency North'!Z101+'Agency South'!Z101</f>
        <v>9155.1155000000199</v>
      </c>
      <c r="Z101" s="22">
        <f>SUM(N101:INDEX(N101:Y101,$A$2))</f>
        <v>22625.3845</v>
      </c>
      <c r="AA101" s="22">
        <f t="shared" si="437"/>
        <v>9309.2285000000011</v>
      </c>
      <c r="AB101" s="22">
        <f t="shared" si="438"/>
        <v>10784.299500000001</v>
      </c>
      <c r="AC101" s="22">
        <f t="shared" si="439"/>
        <v>12456.895</v>
      </c>
      <c r="AD101" s="22">
        <f t="shared" si="440"/>
        <v>20455.531500000019</v>
      </c>
      <c r="AE101" s="22">
        <f>SUM(B101                                                                                : INDEX(B101:M101,$A$2))</f>
        <v>17558.572</v>
      </c>
      <c r="AF101" s="22">
        <f t="shared" si="441"/>
        <v>4496.2539999999999</v>
      </c>
      <c r="AG101" s="22">
        <f t="shared" si="442"/>
        <v>9540.0969999999998</v>
      </c>
      <c r="AH101" s="22">
        <f t="shared" si="443"/>
        <v>10828.53</v>
      </c>
      <c r="AI101" s="22">
        <f t="shared" si="444"/>
        <v>17581.087500000001</v>
      </c>
      <c r="AJ101" s="31">
        <f t="shared" si="445"/>
        <v>0.28856631963009294</v>
      </c>
      <c r="AK101" s="31">
        <f t="shared" si="431"/>
        <v>1.0704409715287442</v>
      </c>
      <c r="AL101" s="31">
        <f t="shared" si="432"/>
        <v>0.1304182232109381</v>
      </c>
      <c r="AM101" s="31">
        <f t="shared" si="433"/>
        <v>0.15037729036166492</v>
      </c>
      <c r="AN101" s="31">
        <f t="shared" si="434"/>
        <v>0.1634963707449848</v>
      </c>
      <c r="AO101" s="113">
        <f>'Agency North'!AP101+'Agency South'!AP101</f>
        <v>3069.9085</v>
      </c>
      <c r="AP101" s="113">
        <f>'Agency North'!AQ101+'Agency South'!AQ101</f>
        <v>6875.2839999999997</v>
      </c>
      <c r="AQ101" s="113">
        <f>'Agency North'!AR101+'Agency South'!AR101</f>
        <v>9972.36</v>
      </c>
      <c r="AR101" s="113">
        <f>'Agency North'!AS101+'Agency South'!AS101</f>
        <v>8025.7705000000005</v>
      </c>
      <c r="AS101" s="113">
        <f>'Agency North'!AT101+'Agency South'!AT101</f>
        <v>5266.25</v>
      </c>
      <c r="AT101" s="113">
        <f>'Agency North'!AU101+'Agency South'!AU101</f>
        <v>6319.24</v>
      </c>
      <c r="AU101" s="113">
        <f>'Agency North'!AV101+'Agency South'!AV101</f>
        <v>4490.7739999999967</v>
      </c>
      <c r="AV101" s="113">
        <f>'Agency North'!AW101+'Agency South'!AW101</f>
        <v>0</v>
      </c>
      <c r="AW101" s="113">
        <f>'Agency North'!AX101+'Agency South'!AX101</f>
        <v>0</v>
      </c>
      <c r="AX101" s="113">
        <f>'Agency North'!AY101+'Agency South'!AY101</f>
        <v>0</v>
      </c>
      <c r="AY101" s="113">
        <f>'Agency North'!AZ101+'Agency South'!AZ101</f>
        <v>0</v>
      </c>
      <c r="AZ101" s="113">
        <f>'Agency North'!BA101+'Agency South'!BA101</f>
        <v>0</v>
      </c>
      <c r="BA101" s="110">
        <f>SUM(AO101:INDEX(AO101:AQ101,IF($A$2&lt;3,$A$2,3)))</f>
        <v>19917.552499999998</v>
      </c>
      <c r="BB101" s="110">
        <f>SUM(AR101:INDEX(AR101:AT101,IF(AND($A$2&gt;3,$A$2&lt;7),$A$2-3,0)))</f>
        <v>19611.2605</v>
      </c>
      <c r="BC101" s="110">
        <f>SUM(AU101:INDEX(AU101:AW101,IF(AND($A$2&gt;6,$A$2&lt;10),$A$2-6,0)))</f>
        <v>4490.7739999999967</v>
      </c>
      <c r="BD101" s="110">
        <f>SUM(AX101:INDEX(AX101:AZ101,IF($A$2&gt;9,$A$2-9,0)))</f>
        <v>0</v>
      </c>
      <c r="BE101" s="110">
        <f>SUM($AO101:INDEX(AO101:AZ101,$A$2))</f>
        <v>44019.586999999992</v>
      </c>
      <c r="BF101" s="125">
        <f t="shared" si="446"/>
        <v>1.477901346422698</v>
      </c>
      <c r="BG101" s="111">
        <f t="shared" si="435"/>
        <v>3.9672282972003488</v>
      </c>
      <c r="BH101" s="111">
        <f t="shared" si="435"/>
        <v>1.8134857585950612</v>
      </c>
      <c r="BI101" s="111">
        <f t="shared" si="435"/>
        <v>1.4618998976130788</v>
      </c>
      <c r="BJ101" s="111">
        <f t="shared" si="435"/>
        <v>1.8914514297002321</v>
      </c>
      <c r="BK101" s="111">
        <f t="shared" si="435"/>
        <v>2.5175221893284854</v>
      </c>
      <c r="BL101" s="111">
        <f t="shared" si="435"/>
        <v>1.7737079490879506</v>
      </c>
      <c r="BM101" s="111">
        <f t="shared" si="435"/>
        <v>0</v>
      </c>
      <c r="BN101" s="111">
        <f t="shared" si="435"/>
        <v>0</v>
      </c>
      <c r="BO101" s="111">
        <f t="shared" si="435"/>
        <v>0</v>
      </c>
      <c r="BP101" s="111">
        <f t="shared" si="435"/>
        <v>0</v>
      </c>
      <c r="BQ101" s="111">
        <f t="shared" si="435"/>
        <v>0</v>
      </c>
      <c r="BR101" s="111">
        <f>BA101/SUM(N101:INDEX(N101:P101,IF($A$2&lt;3,$A$2,3)))</f>
        <v>2.1395492118385531</v>
      </c>
      <c r="BS101" s="111">
        <f>BB101/SUM(Q101:INDEX(Q101:S101,$B$2))</f>
        <v>3.5722052751213624</v>
      </c>
      <c r="BT101" s="111">
        <f t="shared" si="436"/>
        <v>0.36050508573765744</v>
      </c>
      <c r="BU101" s="111">
        <f t="shared" si="436"/>
        <v>0</v>
      </c>
      <c r="BV101" s="111">
        <f t="shared" si="447"/>
        <v>1.9455840407927649</v>
      </c>
    </row>
    <row r="102" spans="1:74" x14ac:dyDescent="0.25">
      <c r="A102" t="s">
        <v>1</v>
      </c>
      <c r="B102" s="6">
        <f>'Agency North'!C102+'Agency South'!C102</f>
        <v>1163.1880000000001</v>
      </c>
      <c r="C102" s="6">
        <f>'Agency North'!D102+'Agency South'!D102</f>
        <v>1238.098</v>
      </c>
      <c r="D102" s="6">
        <f>'Agency North'!E102+'Agency South'!E102</f>
        <v>1670.8544999999999</v>
      </c>
      <c r="E102" s="6">
        <f>'Agency North'!F102+'Agency South'!F102</f>
        <v>3477.4745000000003</v>
      </c>
      <c r="F102" s="6">
        <f>'Agency North'!G102+'Agency South'!G102</f>
        <v>2406.3429999999998</v>
      </c>
      <c r="G102" s="6">
        <f>'Agency North'!H102+'Agency South'!H102</f>
        <v>5399.6035000000011</v>
      </c>
      <c r="H102" s="6">
        <f>'Agency North'!I102+'Agency South'!I102</f>
        <v>4265.6030000000001</v>
      </c>
      <c r="I102" s="6">
        <f>'Agency North'!J102+'Agency South'!J102</f>
        <v>2426.2089999999998</v>
      </c>
      <c r="J102" s="6">
        <f>'Agency North'!K102+'Agency South'!K102</f>
        <v>5651.0095000000001</v>
      </c>
      <c r="K102" s="6">
        <f>'Agency North'!L102+'Agency South'!L102</f>
        <v>4779.9255000000003</v>
      </c>
      <c r="L102" s="6">
        <f>'Agency North'!M102+'Agency South'!M102</f>
        <v>7891.0340000000197</v>
      </c>
      <c r="M102" s="6">
        <f>'Agency North'!N102+'Agency South'!N102</f>
        <v>9060.6965000000109</v>
      </c>
      <c r="N102" s="6">
        <f>'Agency North'!O102+'Agency South'!O102</f>
        <v>1787.0029999999999</v>
      </c>
      <c r="O102" s="6">
        <f>'Agency North'!P102+'Agency South'!P102</f>
        <v>2160.8409999999999</v>
      </c>
      <c r="P102" s="6">
        <f>'Agency North'!Q102+'Agency South'!Q102</f>
        <v>5269.8829999999998</v>
      </c>
      <c r="Q102" s="6">
        <f>'Agency North'!R102+'Agency South'!R102</f>
        <v>3690.7139999999999</v>
      </c>
      <c r="R102" s="6">
        <f>'Agency North'!S102+'Agency South'!S102</f>
        <v>4527.99</v>
      </c>
      <c r="S102" s="6">
        <f>'Agency North'!T102+'Agency South'!T102</f>
        <v>5901.0484999999999</v>
      </c>
      <c r="T102" s="6">
        <f>'Agency North'!U102+'Agency South'!U102</f>
        <v>4429.9855000000007</v>
      </c>
      <c r="U102" s="6">
        <f>'Agency North'!V102+'Agency South'!V102</f>
        <v>3542.5015000000003</v>
      </c>
      <c r="V102" s="6">
        <f>'Agency North'!W102+'Agency South'!W102</f>
        <v>4720.8329999999996</v>
      </c>
      <c r="W102" s="6">
        <f>'Agency North'!X102+'Agency South'!X102</f>
        <v>3664.6169999999997</v>
      </c>
      <c r="X102" s="6">
        <f>'Agency North'!Y102+'Agency South'!Y102</f>
        <v>7175.3250000000098</v>
      </c>
      <c r="Y102" s="6">
        <f>'Agency North'!Z102+'Agency South'!Z102</f>
        <v>13488.51900000002</v>
      </c>
      <c r="Z102" s="22">
        <f>SUM(N102:INDEX(N102:Y102,$A$2))</f>
        <v>27767.464999999997</v>
      </c>
      <c r="AA102" s="22">
        <f t="shared" si="437"/>
        <v>9217.726999999999</v>
      </c>
      <c r="AB102" s="22">
        <f t="shared" si="438"/>
        <v>14119.752499999999</v>
      </c>
      <c r="AC102" s="22">
        <f t="shared" si="439"/>
        <v>12693.32</v>
      </c>
      <c r="AD102" s="22">
        <f t="shared" si="440"/>
        <v>24328.461000000032</v>
      </c>
      <c r="AE102" s="22">
        <f>SUM(B102                                                                                : INDEX(B102:M102,$A$2))</f>
        <v>19621.164499999999</v>
      </c>
      <c r="AF102" s="22">
        <f t="shared" si="441"/>
        <v>4072.1405</v>
      </c>
      <c r="AG102" s="22">
        <f t="shared" si="442"/>
        <v>11283.421000000002</v>
      </c>
      <c r="AH102" s="22">
        <f t="shared" si="443"/>
        <v>12342.8215</v>
      </c>
      <c r="AI102" s="22">
        <f t="shared" si="444"/>
        <v>21731.656000000032</v>
      </c>
      <c r="AJ102" s="31">
        <f t="shared" si="445"/>
        <v>0.41517925707212733</v>
      </c>
      <c r="AK102" s="31">
        <f t="shared" si="431"/>
        <v>1.263607309227174</v>
      </c>
      <c r="AL102" s="31">
        <f t="shared" si="432"/>
        <v>0.25137159200210601</v>
      </c>
      <c r="AM102" s="31">
        <f t="shared" si="433"/>
        <v>2.8396951215732935E-2</v>
      </c>
      <c r="AN102" s="31">
        <f t="shared" si="434"/>
        <v>0.11949411494457651</v>
      </c>
      <c r="AO102" s="113">
        <f>'Agency North'!AP102+'Agency South'!AP102</f>
        <v>1532.2280000000001</v>
      </c>
      <c r="AP102" s="113">
        <f>'Agency North'!AQ102+'Agency South'!AQ102</f>
        <v>1883.4704999999999</v>
      </c>
      <c r="AQ102" s="113">
        <f>'Agency North'!AR102+'Agency South'!AR102</f>
        <v>3438.4900000000002</v>
      </c>
      <c r="AR102" s="113">
        <f>'Agency North'!AS102+'Agency South'!AS102</f>
        <v>4730.8515000000007</v>
      </c>
      <c r="AS102" s="113">
        <f>'Agency North'!AT102+'Agency South'!AT102</f>
        <v>11664.91</v>
      </c>
      <c r="AT102" s="113">
        <f>'Agency North'!AU102+'Agency South'!AU102</f>
        <v>6845.4</v>
      </c>
      <c r="AU102" s="113">
        <f>'Agency North'!AV102+'Agency South'!AV102</f>
        <v>5799.4520000000002</v>
      </c>
      <c r="AV102" s="113">
        <f>'Agency North'!AW102+'Agency South'!AW102</f>
        <v>0</v>
      </c>
      <c r="AW102" s="113">
        <f>'Agency North'!AX102+'Agency South'!AX102</f>
        <v>0</v>
      </c>
      <c r="AX102" s="113">
        <f>'Agency North'!AY102+'Agency South'!AY102</f>
        <v>0</v>
      </c>
      <c r="AY102" s="113">
        <f>'Agency North'!AZ102+'Agency South'!AZ102</f>
        <v>0</v>
      </c>
      <c r="AZ102" s="113">
        <f>'Agency North'!BA102+'Agency South'!BA102</f>
        <v>0</v>
      </c>
      <c r="BA102" s="110">
        <f>SUM(AO102:INDEX(AO102:AQ102,IF($A$2&lt;3,$A$2,3)))</f>
        <v>6854.1885000000002</v>
      </c>
      <c r="BB102" s="110">
        <f>SUM(AR102:INDEX(AR102:AT102,IF(AND($A$2&gt;3,$A$2&lt;7),$A$2-3,0)))</f>
        <v>23241.161500000002</v>
      </c>
      <c r="BC102" s="110">
        <f>SUM(AU102:INDEX(AU102:AW102,IF(AND($A$2&gt;6,$A$2&lt;10),$A$2-6,0)))</f>
        <v>5799.4520000000002</v>
      </c>
      <c r="BD102" s="110">
        <f>SUM(AX102:INDEX(AX102:AZ102,IF($A$2&gt;9,$A$2-9,0)))</f>
        <v>0</v>
      </c>
      <c r="BE102" s="110">
        <f>SUM($AO102:INDEX(AO102:AZ102,$A$2))</f>
        <v>35894.801999999996</v>
      </c>
      <c r="BF102" s="125">
        <f t="shared" si="446"/>
        <v>0.85742889071814665</v>
      </c>
      <c r="BG102" s="111">
        <f t="shared" si="435"/>
        <v>0.87163770957696562</v>
      </c>
      <c r="BH102" s="111">
        <f t="shared" si="435"/>
        <v>0.65247938142080197</v>
      </c>
      <c r="BI102" s="111">
        <f t="shared" si="435"/>
        <v>1.2818255492026749</v>
      </c>
      <c r="BJ102" s="111">
        <f t="shared" si="435"/>
        <v>2.5761783926201249</v>
      </c>
      <c r="BK102" s="111">
        <f t="shared" si="435"/>
        <v>1.1600311368394955</v>
      </c>
      <c r="BL102" s="111">
        <f t="shared" si="435"/>
        <v>1.3091356619564554</v>
      </c>
      <c r="BM102" s="111">
        <f t="shared" si="435"/>
        <v>0</v>
      </c>
      <c r="BN102" s="111">
        <f t="shared" si="435"/>
        <v>0</v>
      </c>
      <c r="BO102" s="111">
        <f t="shared" si="435"/>
        <v>0</v>
      </c>
      <c r="BP102" s="111">
        <f t="shared" si="435"/>
        <v>0</v>
      </c>
      <c r="BQ102" s="111">
        <f t="shared" si="435"/>
        <v>0</v>
      </c>
      <c r="BR102" s="111">
        <f>BA102/SUM(N102:INDEX(N102:P102,IF($A$2&lt;3,$A$2,3)))</f>
        <v>0.7435877087702859</v>
      </c>
      <c r="BS102" s="111">
        <f>BB102/SUM(Q102:INDEX(Q102:S102,$B$2))</f>
        <v>6.2971992682174784</v>
      </c>
      <c r="BT102" s="111">
        <f t="shared" si="436"/>
        <v>0.45689008076689158</v>
      </c>
      <c r="BU102" s="111">
        <f t="shared" si="436"/>
        <v>0</v>
      </c>
      <c r="BV102" s="111">
        <f t="shared" si="447"/>
        <v>1.2926927971278617</v>
      </c>
    </row>
    <row r="103" spans="1:74" x14ac:dyDescent="0.25">
      <c r="A103" t="s">
        <v>2</v>
      </c>
      <c r="B103" s="6">
        <f>'Agency North'!C103+'Agency South'!C103</f>
        <v>382.339</v>
      </c>
      <c r="C103" s="6">
        <f>'Agency North'!D103+'Agency South'!D103</f>
        <v>401.28800000000001</v>
      </c>
      <c r="D103" s="6">
        <f>'Agency North'!E103+'Agency South'!E103</f>
        <v>715.85500000000002</v>
      </c>
      <c r="E103" s="6">
        <f>'Agency North'!F103+'Agency South'!F103</f>
        <v>416.81299999999999</v>
      </c>
      <c r="F103" s="6">
        <f>'Agency North'!G103+'Agency South'!G103</f>
        <v>495.71550000000013</v>
      </c>
      <c r="G103" s="6">
        <f>'Agency North'!H103+'Agency South'!H103</f>
        <v>1178.4275</v>
      </c>
      <c r="H103" s="6">
        <f>'Agency North'!I103+'Agency South'!I103</f>
        <v>1019.672</v>
      </c>
      <c r="I103" s="6">
        <f>'Agency North'!J103+'Agency South'!J103</f>
        <v>1070.9360000000001</v>
      </c>
      <c r="J103" s="6">
        <f>'Agency North'!K103+'Agency South'!K103</f>
        <v>5042.2280000000001</v>
      </c>
      <c r="K103" s="6">
        <f>'Agency North'!L103+'Agency South'!L103</f>
        <v>-690.76250000000005</v>
      </c>
      <c r="L103" s="6">
        <f>'Agency North'!M103+'Agency South'!M103</f>
        <v>4261.8795</v>
      </c>
      <c r="M103" s="6">
        <f>'Agency North'!N103+'Agency South'!N103</f>
        <v>6683.2224999999908</v>
      </c>
      <c r="N103" s="6">
        <f>'Agency North'!O103+'Agency South'!O103</f>
        <v>1618.5117</v>
      </c>
      <c r="O103" s="6">
        <f>'Agency North'!P103+'Agency South'!P103</f>
        <v>2392.8905</v>
      </c>
      <c r="P103" s="6">
        <f>'Agency North'!Q103+'Agency South'!Q103</f>
        <v>3090.6607000000004</v>
      </c>
      <c r="Q103" s="6">
        <f>'Agency North'!R103+'Agency South'!R103</f>
        <v>2189.4195</v>
      </c>
      <c r="R103" s="6">
        <f>'Agency North'!S103+'Agency South'!S103</f>
        <v>2618.9499999999998</v>
      </c>
      <c r="S103" s="6">
        <f>'Agency North'!T103+'Agency South'!T103</f>
        <v>4033.3780999999999</v>
      </c>
      <c r="T103" s="6">
        <f>'Agency North'!U103+'Agency South'!U103</f>
        <v>2560.4470000000001</v>
      </c>
      <c r="U103" s="6">
        <f>'Agency North'!V103+'Agency South'!V103</f>
        <v>3611.2749999999996</v>
      </c>
      <c r="V103" s="6">
        <f>'Agency North'!W103+'Agency South'!W103</f>
        <v>4759.9645</v>
      </c>
      <c r="W103" s="6">
        <f>'Agency North'!X103+'Agency South'!X103</f>
        <v>4869.0685000000003</v>
      </c>
      <c r="X103" s="6">
        <f>'Agency North'!Y103+'Agency South'!Y103</f>
        <v>4908.6975000000002</v>
      </c>
      <c r="Y103" s="6">
        <f>'Agency North'!Z103+'Agency South'!Z103</f>
        <v>12788.59700000002</v>
      </c>
      <c r="Z103" s="22">
        <f>SUM(N103:INDEX(N103:Y103,$A$2))</f>
        <v>18504.2575</v>
      </c>
      <c r="AA103" s="22">
        <f t="shared" si="437"/>
        <v>7102.0629000000008</v>
      </c>
      <c r="AB103" s="22">
        <f t="shared" si="438"/>
        <v>8841.7475999999988</v>
      </c>
      <c r="AC103" s="22">
        <f t="shared" si="439"/>
        <v>10931.6865</v>
      </c>
      <c r="AD103" s="22">
        <f t="shared" si="440"/>
        <v>22566.363000000019</v>
      </c>
      <c r="AE103" s="22">
        <f>SUM(B103                                                                                : INDEX(B103:M103,$A$2))</f>
        <v>4610.1100000000006</v>
      </c>
      <c r="AF103" s="22">
        <f t="shared" si="441"/>
        <v>1499.482</v>
      </c>
      <c r="AG103" s="22">
        <f t="shared" si="442"/>
        <v>2090.9560000000001</v>
      </c>
      <c r="AH103" s="22">
        <f t="shared" si="443"/>
        <v>7132.8360000000002</v>
      </c>
      <c r="AI103" s="22">
        <f t="shared" si="444"/>
        <v>10254.339499999991</v>
      </c>
      <c r="AJ103" s="31">
        <f t="shared" si="445"/>
        <v>3.0138429451791815</v>
      </c>
      <c r="AK103" s="31">
        <f t="shared" si="431"/>
        <v>3.7363442175364563</v>
      </c>
      <c r="AL103" s="31">
        <f t="shared" si="432"/>
        <v>3.2285670286701382</v>
      </c>
      <c r="AM103" s="31">
        <f t="shared" si="433"/>
        <v>0.53258626722947211</v>
      </c>
      <c r="AN103" s="31">
        <f t="shared" si="434"/>
        <v>1.200664703952901</v>
      </c>
      <c r="AO103" s="113">
        <f>'Agency North'!AP103+'Agency South'!AP103</f>
        <v>2956.5045</v>
      </c>
      <c r="AP103" s="113">
        <f>'Agency North'!AQ103+'Agency South'!AQ103</f>
        <v>3172.1225000000004</v>
      </c>
      <c r="AQ103" s="113">
        <f>'Agency North'!AR103+'Agency South'!AR103</f>
        <v>4273.9799999999996</v>
      </c>
      <c r="AR103" s="113">
        <f>'Agency North'!AS103+'Agency South'!AS103</f>
        <v>3931.808</v>
      </c>
      <c r="AS103" s="113">
        <f>'Agency North'!AT103+'Agency South'!AT103</f>
        <v>4144.6100000000006</v>
      </c>
      <c r="AT103" s="113">
        <f>'Agency North'!AU103+'Agency South'!AU103</f>
        <v>4200.7800000000007</v>
      </c>
      <c r="AU103" s="113">
        <f>'Agency North'!AV103+'Agency South'!AV103</f>
        <v>4259.6764999999978</v>
      </c>
      <c r="AV103" s="113">
        <f>'Agency North'!AW103+'Agency South'!AW103</f>
        <v>0</v>
      </c>
      <c r="AW103" s="113">
        <f>'Agency North'!AX103+'Agency South'!AX103</f>
        <v>0</v>
      </c>
      <c r="AX103" s="113">
        <f>'Agency North'!AY103+'Agency South'!AY103</f>
        <v>0</v>
      </c>
      <c r="AY103" s="113">
        <f>'Agency North'!AZ103+'Agency South'!AZ103</f>
        <v>0</v>
      </c>
      <c r="AZ103" s="113">
        <f>'Agency North'!BA103+'Agency South'!BA103</f>
        <v>0</v>
      </c>
      <c r="BA103" s="110">
        <f>SUM(AO103:INDEX(AO103:AQ103,IF($A$2&lt;3,$A$2,3)))</f>
        <v>10402.607</v>
      </c>
      <c r="BB103" s="110">
        <f>SUM(AR103:INDEX(AR103:AT103,IF(AND($A$2&gt;3,$A$2&lt;7),$A$2-3,0)))</f>
        <v>12277.198</v>
      </c>
      <c r="BC103" s="110">
        <f>SUM(AU103:INDEX(AU103:AW103,IF(AND($A$2&gt;6,$A$2&lt;10),$A$2-6,0)))</f>
        <v>4259.6764999999978</v>
      </c>
      <c r="BD103" s="110">
        <f>SUM(AX103:INDEX(AX103:AZ103,IF($A$2&gt;9,$A$2-9,0)))</f>
        <v>0</v>
      </c>
      <c r="BE103" s="110">
        <f>SUM($AO103:INDEX(AO103:AZ103,$A$2))</f>
        <v>26939.481499999998</v>
      </c>
      <c r="BF103" s="125">
        <f t="shared" si="446"/>
        <v>1.8266809563378503</v>
      </c>
      <c r="BG103" s="111">
        <f t="shared" si="435"/>
        <v>1.3256446544461606</v>
      </c>
      <c r="BH103" s="111">
        <f t="shared" si="435"/>
        <v>1.3828693651166559</v>
      </c>
      <c r="BI103" s="111">
        <f t="shared" si="435"/>
        <v>1.7958221345886434</v>
      </c>
      <c r="BJ103" s="111">
        <f t="shared" si="435"/>
        <v>1.5825464403673231</v>
      </c>
      <c r="BK103" s="111">
        <f t="shared" si="435"/>
        <v>1.041504142644103</v>
      </c>
      <c r="BL103" s="111">
        <f t="shared" si="435"/>
        <v>1.6636456446862589</v>
      </c>
      <c r="BM103" s="111">
        <f t="shared" si="435"/>
        <v>0</v>
      </c>
      <c r="BN103" s="111">
        <f t="shared" si="435"/>
        <v>0</v>
      </c>
      <c r="BO103" s="111">
        <f t="shared" si="435"/>
        <v>0</v>
      </c>
      <c r="BP103" s="111">
        <f t="shared" si="435"/>
        <v>0</v>
      </c>
      <c r="BQ103" s="111">
        <f t="shared" si="435"/>
        <v>0</v>
      </c>
      <c r="BR103" s="111">
        <f>BA103/SUM(N103:INDEX(N103:P103,IF($A$2&lt;3,$A$2,3)))</f>
        <v>1.4647303391244253</v>
      </c>
      <c r="BS103" s="111">
        <f>BB103/SUM(Q103:INDEX(Q103:S103,$B$2))</f>
        <v>5.6075128590021235</v>
      </c>
      <c r="BT103" s="111">
        <f t="shared" si="436"/>
        <v>0.389663250954004</v>
      </c>
      <c r="BU103" s="111">
        <f t="shared" si="436"/>
        <v>0</v>
      </c>
      <c r="BV103" s="111">
        <f t="shared" si="447"/>
        <v>1.4558531462286448</v>
      </c>
    </row>
    <row r="104" spans="1:74" x14ac:dyDescent="0.25">
      <c r="A104" s="135" t="s">
        <v>136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31"/>
      <c r="AK104" s="31"/>
      <c r="AL104" s="31"/>
      <c r="AM104" s="31"/>
      <c r="AN104" s="31"/>
      <c r="AO104" s="113"/>
      <c r="AP104" s="113">
        <f>'Agency North'!AQ104+'Agency South'!AQ104</f>
        <v>1743.7429999999999</v>
      </c>
      <c r="AQ104" s="113">
        <f>'Agency North'!AR104+'Agency South'!AR104</f>
        <v>1505.15</v>
      </c>
      <c r="AR104" s="113">
        <f>'Agency North'!AS104+'Agency South'!AS104</f>
        <v>2948.2420000000002</v>
      </c>
      <c r="AS104" s="113">
        <f>'Agency North'!AT104+'Agency South'!AT104</f>
        <v>1404.26</v>
      </c>
      <c r="AT104" s="113">
        <f>'Agency North'!AU104+'Agency South'!AU104</f>
        <v>1228.24</v>
      </c>
      <c r="AU104" s="113">
        <f>'Agency North'!AV104+'Agency South'!AV104</f>
        <v>1367.4659999999994</v>
      </c>
      <c r="AV104" s="113"/>
      <c r="AW104" s="113"/>
      <c r="AX104" s="113"/>
      <c r="AY104" s="113"/>
      <c r="AZ104" s="113"/>
      <c r="BA104" s="110">
        <f>SUM(AO104:INDEX(AO104:AQ104,IF($A$2&lt;3,$A$2,3)))</f>
        <v>3248.893</v>
      </c>
      <c r="BB104" s="110">
        <f>SUM(AR104:INDEX(AR104:AT104,IF(AND($A$2&gt;3,$A$2&lt;7),$A$2-3,0)))</f>
        <v>5580.7420000000002</v>
      </c>
      <c r="BC104" s="110">
        <f>SUM(AU104:INDEX(AU104:AW104,IF(AND($A$2&gt;6,$A$2&lt;10),$A$2-6,0)))</f>
        <v>1367.4659999999994</v>
      </c>
      <c r="BD104" s="110">
        <f>SUM(AX104:INDEX(AX104:AZ104,IF($A$2&gt;9,$A$2-9,0)))</f>
        <v>0</v>
      </c>
      <c r="BE104" s="110">
        <f>SUM($AO104:INDEX(AO104:AZ104,$A$2))</f>
        <v>10197.100999999999</v>
      </c>
      <c r="BF104" s="125"/>
      <c r="BG104" s="111"/>
      <c r="BH104" s="111"/>
      <c r="BI104" s="111"/>
      <c r="BJ104" s="111"/>
      <c r="BK104" s="111"/>
      <c r="BL104" s="111"/>
      <c r="BM104" s="111"/>
      <c r="BN104" s="111"/>
      <c r="BO104" s="111"/>
      <c r="BP104" s="111"/>
      <c r="BQ104" s="111"/>
      <c r="BR104" s="111"/>
      <c r="BS104" s="111"/>
      <c r="BT104" s="111"/>
      <c r="BU104" s="111"/>
      <c r="BV104" s="111"/>
    </row>
    <row r="105" spans="1:74" s="17" customFormat="1" x14ac:dyDescent="0.25">
      <c r="A105" s="1" t="s">
        <v>3</v>
      </c>
      <c r="B105" s="7">
        <f>SUM(B97:B103)</f>
        <v>10123.743</v>
      </c>
      <c r="C105" s="7">
        <f t="shared" ref="C105:AD105" si="448">SUM(C97:C103)</f>
        <v>9101.639000000001</v>
      </c>
      <c r="D105" s="7">
        <f t="shared" si="448"/>
        <v>18571.495999999999</v>
      </c>
      <c r="E105" s="7">
        <f t="shared" si="448"/>
        <v>22629.834999999999</v>
      </c>
      <c r="F105" s="7">
        <f t="shared" si="448"/>
        <v>18306.072</v>
      </c>
      <c r="G105" s="7">
        <f t="shared" si="448"/>
        <v>26230.601999999992</v>
      </c>
      <c r="H105" s="7">
        <f t="shared" si="448"/>
        <v>28538.013999999999</v>
      </c>
      <c r="I105" s="7">
        <f t="shared" si="448"/>
        <v>16287.661999999998</v>
      </c>
      <c r="J105" s="7">
        <f t="shared" si="448"/>
        <v>37854.292000000001</v>
      </c>
      <c r="K105" s="7">
        <f t="shared" si="448"/>
        <v>25289.30899999999</v>
      </c>
      <c r="L105" s="7">
        <f t="shared" si="448"/>
        <v>41639.971000000041</v>
      </c>
      <c r="M105" s="7">
        <f t="shared" si="448"/>
        <v>57736.464499999995</v>
      </c>
      <c r="N105" s="7">
        <f t="shared" si="448"/>
        <v>13641.924700000003</v>
      </c>
      <c r="O105" s="7">
        <f t="shared" si="448"/>
        <v>13892.63899999997</v>
      </c>
      <c r="P105" s="7">
        <f t="shared" si="448"/>
        <v>33141.96669999999</v>
      </c>
      <c r="Q105" s="7">
        <f t="shared" si="448"/>
        <v>30639.373499999998</v>
      </c>
      <c r="R105" s="7">
        <f t="shared" si="448"/>
        <v>27458.015000000003</v>
      </c>
      <c r="S105" s="7">
        <f t="shared" si="448"/>
        <v>41468.133600000067</v>
      </c>
      <c r="T105" s="7">
        <f t="shared" si="448"/>
        <v>29747.921000000017</v>
      </c>
      <c r="U105" s="7">
        <f t="shared" si="448"/>
        <v>31024.38900000001</v>
      </c>
      <c r="V105" s="7">
        <f t="shared" si="448"/>
        <v>48843.573000000077</v>
      </c>
      <c r="W105" s="7">
        <f t="shared" si="448"/>
        <v>39101.215000000026</v>
      </c>
      <c r="X105" s="7">
        <f t="shared" si="448"/>
        <v>50426.896000000073</v>
      </c>
      <c r="Y105" s="7">
        <f t="shared" si="448"/>
        <v>94434.854000000225</v>
      </c>
      <c r="Z105" s="7">
        <f t="shared" si="448"/>
        <v>189989.97350000005</v>
      </c>
      <c r="AA105" s="7">
        <f t="shared" si="448"/>
        <v>60676.530399999974</v>
      </c>
      <c r="AB105" s="7">
        <f t="shared" si="448"/>
        <v>99565.52210000006</v>
      </c>
      <c r="AC105" s="7">
        <f t="shared" si="448"/>
        <v>109615.8830000001</v>
      </c>
      <c r="AD105" s="7">
        <f t="shared" si="448"/>
        <v>183962.96500000032</v>
      </c>
      <c r="AE105" s="7">
        <f>SUM(AE97:AE103)</f>
        <v>133501.40100000001</v>
      </c>
      <c r="AF105" s="7">
        <f t="shared" ref="AF105:AI105" si="449">SUM(AF97:AF103)</f>
        <v>37796.877999999997</v>
      </c>
      <c r="AG105" s="7">
        <f t="shared" si="449"/>
        <v>67166.508999999991</v>
      </c>
      <c r="AH105" s="7">
        <f t="shared" si="449"/>
        <v>82679.968000000008</v>
      </c>
      <c r="AI105" s="7">
        <f t="shared" si="449"/>
        <v>124665.74450000003</v>
      </c>
      <c r="AJ105" s="31">
        <f t="shared" si="445"/>
        <v>0.42313093403416824</v>
      </c>
      <c r="AK105" s="31">
        <f t="shared" si="431"/>
        <v>0.6053318054469996</v>
      </c>
      <c r="AL105" s="31">
        <f t="shared" si="432"/>
        <v>0.48236857300414515</v>
      </c>
      <c r="AM105" s="31">
        <f t="shared" si="433"/>
        <v>0.32578526155211018</v>
      </c>
      <c r="AN105" s="31">
        <f t="shared" si="434"/>
        <v>0.47564967215192189</v>
      </c>
      <c r="AO105" s="114">
        <f t="shared" ref="AO105" si="450">SUM(AO97:AO103)</f>
        <v>27131.55</v>
      </c>
      <c r="AP105" s="114">
        <f>SUM(AP97:AP104)</f>
        <v>40723.48230000004</v>
      </c>
      <c r="AQ105" s="114">
        <f t="shared" ref="AQ105:AZ105" si="451">SUM(AQ97:AQ104)</f>
        <v>56762.079999999994</v>
      </c>
      <c r="AR105" s="114">
        <f t="shared" si="451"/>
        <v>49965.191000000028</v>
      </c>
      <c r="AS105" s="114">
        <f t="shared" si="451"/>
        <v>53646.549999999996</v>
      </c>
      <c r="AT105" s="114">
        <f t="shared" si="451"/>
        <v>58133.579999999994</v>
      </c>
      <c r="AU105" s="114">
        <f t="shared" si="451"/>
        <v>45669.309000000067</v>
      </c>
      <c r="AV105" s="114">
        <f t="shared" si="451"/>
        <v>0</v>
      </c>
      <c r="AW105" s="114">
        <f t="shared" si="451"/>
        <v>0</v>
      </c>
      <c r="AX105" s="114">
        <f t="shared" si="451"/>
        <v>0</v>
      </c>
      <c r="AY105" s="114">
        <f t="shared" si="451"/>
        <v>0</v>
      </c>
      <c r="AZ105" s="114">
        <f t="shared" si="451"/>
        <v>0</v>
      </c>
      <c r="BA105" s="116">
        <f>SUM(AO105:INDEX(AO105:AQ105,IF($A$2&lt;3,$A$2,3)))</f>
        <v>124617.11230000004</v>
      </c>
      <c r="BB105" s="116">
        <f>SUM(AR105:INDEX(AR105:AT105,IF(AND($A$2&gt;3,$A$2&lt;7),$A$2-3,0)))</f>
        <v>161745.32100000003</v>
      </c>
      <c r="BC105" s="116">
        <f>SUM(AU105:INDEX(AU105:AW105,IF(AND($A$2&gt;6,$A$2&lt;10),$A$2-6,0)))</f>
        <v>45669.309000000067</v>
      </c>
      <c r="BD105" s="116">
        <f>SUM(AX105:INDEX(AX105:AZ105,IF($A$2&gt;9,$A$2-9,0)))</f>
        <v>0</v>
      </c>
      <c r="BE105" s="116">
        <f>SUM($AO105:INDEX(AO105:AZ105,$A$2))</f>
        <v>332031.7423000001</v>
      </c>
      <c r="BF105" s="126">
        <f t="shared" si="446"/>
        <v>1.9888359301675367</v>
      </c>
      <c r="BG105" s="118">
        <f t="shared" si="435"/>
        <v>2.9312992513517502</v>
      </c>
      <c r="BH105" s="118">
        <f t="shared" si="435"/>
        <v>1.7126949801684526</v>
      </c>
      <c r="BI105" s="118">
        <f t="shared" si="435"/>
        <v>1.6307510661077986</v>
      </c>
      <c r="BJ105" s="118">
        <f t="shared" si="435"/>
        <v>1.9537665049713167</v>
      </c>
      <c r="BK105" s="118">
        <f t="shared" si="435"/>
        <v>1.4018856156091843</v>
      </c>
      <c r="BL105" s="118">
        <f t="shared" si="435"/>
        <v>1.535210107623993</v>
      </c>
      <c r="BM105" s="118">
        <f t="shared" si="435"/>
        <v>0</v>
      </c>
      <c r="BN105" s="118">
        <f t="shared" si="435"/>
        <v>0</v>
      </c>
      <c r="BO105" s="118">
        <f t="shared" si="435"/>
        <v>0</v>
      </c>
      <c r="BP105" s="118">
        <f t="shared" si="435"/>
        <v>0</v>
      </c>
      <c r="BQ105" s="118">
        <f t="shared" si="435"/>
        <v>0</v>
      </c>
      <c r="BR105" s="118">
        <f>BA105/SUM(N105:INDEX(N105:P105,IF($A$2&lt;3,$A$2,3)))</f>
        <v>2.0537943003412096</v>
      </c>
      <c r="BS105" s="111">
        <f>BB105/SUM(Q105:INDEX(Q105:S105,$B$2))</f>
        <v>5.279002228945707</v>
      </c>
      <c r="BT105" s="118">
        <f t="shared" si="436"/>
        <v>0.41663039835203464</v>
      </c>
      <c r="BU105" s="118">
        <f t="shared" si="436"/>
        <v>0</v>
      </c>
      <c r="BV105" s="118">
        <f t="shared" si="447"/>
        <v>1.7476277099433355</v>
      </c>
    </row>
    <row r="106" spans="1:74" s="17" customFormat="1" x14ac:dyDescent="0.25">
      <c r="A106" s="1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31"/>
      <c r="AK106" s="31"/>
      <c r="AL106" s="31"/>
      <c r="AM106" s="31"/>
      <c r="AN106" s="31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24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</row>
    <row r="107" spans="1:74" x14ac:dyDescent="0.25">
      <c r="BF107" s="124"/>
    </row>
    <row r="108" spans="1:74" s="17" customFormat="1" x14ac:dyDescent="0.25">
      <c r="A108" s="2" t="s">
        <v>9</v>
      </c>
      <c r="B108" s="3">
        <f t="shared" ref="B108:Y108" si="452">B96</f>
        <v>42005</v>
      </c>
      <c r="C108" s="3">
        <f t="shared" si="452"/>
        <v>42036</v>
      </c>
      <c r="D108" s="3">
        <f t="shared" si="452"/>
        <v>42064</v>
      </c>
      <c r="E108" s="3">
        <f t="shared" si="452"/>
        <v>42095</v>
      </c>
      <c r="F108" s="3">
        <f t="shared" si="452"/>
        <v>42125</v>
      </c>
      <c r="G108" s="3">
        <f t="shared" si="452"/>
        <v>42156</v>
      </c>
      <c r="H108" s="3">
        <f t="shared" si="452"/>
        <v>42186</v>
      </c>
      <c r="I108" s="3">
        <f t="shared" si="452"/>
        <v>42217</v>
      </c>
      <c r="J108" s="3">
        <f t="shared" si="452"/>
        <v>42248</v>
      </c>
      <c r="K108" s="3">
        <f t="shared" si="452"/>
        <v>42278</v>
      </c>
      <c r="L108" s="3">
        <f t="shared" si="452"/>
        <v>42309</v>
      </c>
      <c r="M108" s="3">
        <f t="shared" si="452"/>
        <v>42339</v>
      </c>
      <c r="N108" s="3">
        <f t="shared" si="452"/>
        <v>42370</v>
      </c>
      <c r="O108" s="3">
        <f t="shared" si="452"/>
        <v>42401</v>
      </c>
      <c r="P108" s="3">
        <f t="shared" si="452"/>
        <v>42430</v>
      </c>
      <c r="Q108" s="3">
        <f t="shared" si="452"/>
        <v>42461</v>
      </c>
      <c r="R108" s="3">
        <f t="shared" si="452"/>
        <v>42491</v>
      </c>
      <c r="S108" s="3">
        <f t="shared" si="452"/>
        <v>42522</v>
      </c>
      <c r="T108" s="3">
        <f t="shared" si="452"/>
        <v>42552</v>
      </c>
      <c r="U108" s="3">
        <f t="shared" si="452"/>
        <v>42583</v>
      </c>
      <c r="V108" s="3">
        <f t="shared" si="452"/>
        <v>42614</v>
      </c>
      <c r="W108" s="3">
        <f t="shared" si="452"/>
        <v>42644</v>
      </c>
      <c r="X108" s="3">
        <f t="shared" si="452"/>
        <v>42675</v>
      </c>
      <c r="Y108" s="3">
        <f t="shared" si="452"/>
        <v>42705</v>
      </c>
      <c r="Z108" s="29" t="s">
        <v>18</v>
      </c>
      <c r="AA108" s="29" t="s">
        <v>19</v>
      </c>
      <c r="AB108" s="29" t="s">
        <v>20</v>
      </c>
      <c r="AC108" s="29" t="s">
        <v>21</v>
      </c>
      <c r="AD108" s="29" t="s">
        <v>22</v>
      </c>
      <c r="AE108" s="26" t="str">
        <f t="shared" ref="AE108:AI108" si="453">AE96</f>
        <v>YTD /15</v>
      </c>
      <c r="AF108" s="26" t="str">
        <f t="shared" si="453"/>
        <v>Q1 '15</v>
      </c>
      <c r="AG108" s="26" t="str">
        <f t="shared" si="453"/>
        <v>Q2 '15</v>
      </c>
      <c r="AH108" s="26" t="str">
        <f t="shared" si="453"/>
        <v>Q3 '15</v>
      </c>
      <c r="AI108" s="26" t="str">
        <f t="shared" si="453"/>
        <v>Q4 '15</v>
      </c>
      <c r="AJ108" s="30" t="s">
        <v>27</v>
      </c>
      <c r="AK108" s="30" t="s">
        <v>29</v>
      </c>
      <c r="AL108" s="30" t="s">
        <v>30</v>
      </c>
      <c r="AM108" s="30" t="s">
        <v>31</v>
      </c>
      <c r="AN108" s="30" t="s">
        <v>32</v>
      </c>
      <c r="AO108" s="108">
        <v>42736</v>
      </c>
      <c r="AP108" s="108">
        <v>42767</v>
      </c>
      <c r="AQ108" s="108">
        <v>42795</v>
      </c>
      <c r="AR108" s="108">
        <v>42826</v>
      </c>
      <c r="AS108" s="108">
        <v>42856</v>
      </c>
      <c r="AT108" s="108">
        <v>42887</v>
      </c>
      <c r="AU108" s="108">
        <v>42917</v>
      </c>
      <c r="AV108" s="108">
        <v>42948</v>
      </c>
      <c r="AW108" s="108">
        <v>42979</v>
      </c>
      <c r="AX108" s="108">
        <v>43009</v>
      </c>
      <c r="AY108" s="108">
        <v>43040</v>
      </c>
      <c r="AZ108" s="108">
        <v>43070</v>
      </c>
      <c r="BA108" s="29" t="s">
        <v>123</v>
      </c>
      <c r="BB108" s="29" t="s">
        <v>124</v>
      </c>
      <c r="BC108" s="29" t="s">
        <v>125</v>
      </c>
      <c r="BD108" s="29" t="s">
        <v>126</v>
      </c>
      <c r="BE108" s="29" t="str">
        <f>"YTD " &amp; A107 &amp;"/17"</f>
        <v>YTD /17</v>
      </c>
      <c r="BF108" s="121">
        <v>42736</v>
      </c>
      <c r="BG108" s="108">
        <v>42767</v>
      </c>
      <c r="BH108" s="108">
        <v>42795</v>
      </c>
      <c r="BI108" s="108">
        <v>42826</v>
      </c>
      <c r="BJ108" s="108">
        <v>42856</v>
      </c>
      <c r="BK108" s="108">
        <v>42887</v>
      </c>
      <c r="BL108" s="108">
        <v>42917</v>
      </c>
      <c r="BM108" s="108">
        <v>42948</v>
      </c>
      <c r="BN108" s="108">
        <v>42979</v>
      </c>
      <c r="BO108" s="108">
        <v>43009</v>
      </c>
      <c r="BP108" s="108">
        <v>43040</v>
      </c>
      <c r="BQ108" s="108">
        <v>43070</v>
      </c>
      <c r="BR108" s="29" t="s">
        <v>127</v>
      </c>
      <c r="BS108" s="29" t="s">
        <v>128</v>
      </c>
      <c r="BT108" s="29" t="s">
        <v>96</v>
      </c>
      <c r="BU108" s="29" t="s">
        <v>129</v>
      </c>
      <c r="BV108" s="112" t="s">
        <v>130</v>
      </c>
    </row>
    <row r="109" spans="1:74" x14ac:dyDescent="0.25">
      <c r="A109" t="s">
        <v>17</v>
      </c>
      <c r="B109" s="6">
        <f>'Agency North'!C109+'Agency South'!C109</f>
        <v>1870</v>
      </c>
      <c r="C109" s="6">
        <f>'Agency North'!D109+'Agency South'!D109</f>
        <v>1926</v>
      </c>
      <c r="D109" s="6">
        <f>'Agency North'!E109+'Agency South'!E109</f>
        <v>2085</v>
      </c>
      <c r="E109" s="6">
        <f>'Agency North'!F109+'Agency South'!F109</f>
        <v>2320</v>
      </c>
      <c r="F109" s="6">
        <f>'Agency North'!G109+'Agency South'!G109</f>
        <v>2186</v>
      </c>
      <c r="G109" s="6">
        <f>'Agency North'!H109+'Agency South'!H109</f>
        <v>2260</v>
      </c>
      <c r="H109" s="6">
        <f>'Agency North'!I109+'Agency South'!I109</f>
        <v>2280</v>
      </c>
      <c r="I109" s="6">
        <f>'Agency North'!J109+'Agency South'!J109</f>
        <v>2477</v>
      </c>
      <c r="J109" s="6">
        <f>'Agency North'!K109+'Agency South'!K109</f>
        <v>2545</v>
      </c>
      <c r="K109" s="6">
        <f>'Agency North'!L109+'Agency South'!L109</f>
        <v>2682</v>
      </c>
      <c r="L109" s="6">
        <f>'Agency North'!M109+'Agency South'!M109</f>
        <v>3005</v>
      </c>
      <c r="M109" s="6">
        <f>'Agency North'!N109+'Agency South'!N109</f>
        <v>3126</v>
      </c>
      <c r="N109" s="6">
        <f>'Agency North'!O109+'Agency South'!O109</f>
        <v>3145</v>
      </c>
      <c r="O109" s="6">
        <f>'Agency North'!P109+'Agency South'!P109</f>
        <v>3064</v>
      </c>
      <c r="P109" s="6">
        <f>'Agency North'!Q109+'Agency South'!Q109</f>
        <v>3271</v>
      </c>
      <c r="Q109" s="6">
        <f>'Agency North'!R109+'Agency South'!R109</f>
        <v>3366</v>
      </c>
      <c r="R109" s="6">
        <f>'Agency North'!S109+'Agency South'!S109</f>
        <v>3707</v>
      </c>
      <c r="S109" s="6">
        <f>'Agency North'!T109+'Agency South'!T109</f>
        <v>4496</v>
      </c>
      <c r="T109" s="6">
        <f>'Agency North'!U109+'Agency South'!U109</f>
        <v>5001</v>
      </c>
      <c r="U109" s="6">
        <f>'Agency North'!V109+'Agency South'!V109</f>
        <v>5521</v>
      </c>
      <c r="V109" s="6">
        <f>'Agency North'!W109+'Agency South'!W109</f>
        <v>6102</v>
      </c>
      <c r="W109" s="6">
        <f>'Agency North'!X109+'Agency South'!X109</f>
        <v>6665</v>
      </c>
      <c r="X109" s="6">
        <f>'Agency North'!Y109+'Agency South'!Y109</f>
        <v>7185</v>
      </c>
      <c r="Y109" s="6">
        <f>'Agency North'!Z109+'Agency South'!Z109</f>
        <v>7861</v>
      </c>
      <c r="Z109" s="22">
        <f>INDEX($N109:$Y109,$A$2)</f>
        <v>5001</v>
      </c>
      <c r="AA109" s="22">
        <f t="shared" ref="AA109" si="454">P109</f>
        <v>3271</v>
      </c>
      <c r="AB109" s="22">
        <f t="shared" ref="AB109" si="455">S109</f>
        <v>4496</v>
      </c>
      <c r="AC109" s="22">
        <f t="shared" ref="AC109:AC114" si="456">INDEX(N109:Y109,$A$2)</f>
        <v>5001</v>
      </c>
      <c r="AD109" s="22">
        <f t="shared" ref="AD109" si="457">Y109</f>
        <v>7861</v>
      </c>
      <c r="AE109" s="22">
        <f>INDEX($B109:$M109,$A$2)</f>
        <v>2280</v>
      </c>
      <c r="AF109" s="22">
        <f t="shared" ref="AF109:AF116" si="458">D109</f>
        <v>2085</v>
      </c>
      <c r="AG109" s="22">
        <f t="shared" ref="AG109:AG116" si="459">G109</f>
        <v>2260</v>
      </c>
      <c r="AH109" s="22">
        <f t="shared" ref="AH109:AH116" si="460">J109</f>
        <v>2545</v>
      </c>
      <c r="AI109" s="22">
        <f t="shared" ref="AI109:AI116" si="461">M109</f>
        <v>3126</v>
      </c>
      <c r="AJ109" s="31">
        <f>Z109/AE109-1</f>
        <v>1.1934210526315789</v>
      </c>
      <c r="AK109" s="31">
        <f t="shared" ref="AK109:AK116" si="462">AA109/AF109-1</f>
        <v>0.56882494004796169</v>
      </c>
      <c r="AL109" s="31">
        <f t="shared" ref="AL109:AL116" si="463">AB109/AG109-1</f>
        <v>0.98938053097345136</v>
      </c>
      <c r="AM109" s="31">
        <f t="shared" ref="AM109:AM116" si="464">AC109/AH109-1</f>
        <v>0.96502946954813362</v>
      </c>
      <c r="AN109" s="31">
        <f t="shared" ref="AN109:AN116" si="465">AD109/AI109-1</f>
        <v>1.514715291106846</v>
      </c>
      <c r="AO109" s="113">
        <f>'Agency North'!AP109+'Agency South'!AP109</f>
        <v>8036</v>
      </c>
      <c r="AP109" s="113">
        <f>'Agency North'!AQ109+'Agency South'!AQ109</f>
        <v>5563</v>
      </c>
      <c r="AQ109" s="113">
        <f>'Agency North'!AR109+'Agency South'!AR109</f>
        <v>5661</v>
      </c>
      <c r="AR109" s="113">
        <f>'Agency North'!AS109+'Agency South'!AS109</f>
        <v>5110</v>
      </c>
      <c r="AS109" s="113">
        <f>'Agency North'!AT109+'Agency South'!AT109</f>
        <v>5381</v>
      </c>
      <c r="AT109" s="113">
        <f>'Agency North'!AU109+'Agency South'!AU109</f>
        <v>6043</v>
      </c>
      <c r="AU109" s="113">
        <f>'Agency North'!AV109+'Agency South'!AV109</f>
        <v>6062</v>
      </c>
      <c r="AV109" s="113"/>
      <c r="AW109" s="113"/>
      <c r="AX109" s="113"/>
      <c r="AY109" s="113"/>
      <c r="AZ109" s="113"/>
      <c r="BA109" s="22">
        <f>INDEX(AO109:AQ109,IF($A$2&lt;3,$A$2,3))</f>
        <v>5661</v>
      </c>
      <c r="BB109" s="22">
        <f>INDEX(AR109:AT109,IF($A$2&lt;7,$A$2-3,3))</f>
        <v>6043</v>
      </c>
      <c r="BC109" s="22">
        <f>INDEX(AS109:AU109,IF($A$2&lt;7,$A$2-3,3))</f>
        <v>6062</v>
      </c>
      <c r="BE109" s="22">
        <f>INDEX(AO109:AZ109,$A$2)</f>
        <v>6062</v>
      </c>
      <c r="BF109" s="125">
        <f>AO109/N109</f>
        <v>2.5551669316375198</v>
      </c>
      <c r="BG109" s="31">
        <f t="shared" ref="BG109:BL116" si="466">AP109/O109</f>
        <v>1.8156005221932114</v>
      </c>
      <c r="BH109" s="31">
        <f t="shared" si="466"/>
        <v>1.7306634056863344</v>
      </c>
      <c r="BI109" s="31">
        <f t="shared" si="466"/>
        <v>1.5181224004753417</v>
      </c>
      <c r="BJ109" s="31">
        <f t="shared" si="466"/>
        <v>1.4515780954950095</v>
      </c>
      <c r="BK109" s="31">
        <f t="shared" si="466"/>
        <v>1.3440836298932384</v>
      </c>
      <c r="BL109" s="31">
        <f t="shared" si="466"/>
        <v>1.2121575684863028</v>
      </c>
      <c r="BR109" s="111">
        <f>BA109/INDEX(N109:P109,IF($A$2&lt;3,$A$2,3))</f>
        <v>1.7306634056863344</v>
      </c>
      <c r="BS109" s="111">
        <f>BB109/INDEX(Q109:S109,IF($A$2&lt;7,$A$2-3,3))</f>
        <v>1.3440836298932384</v>
      </c>
      <c r="BT109" s="111">
        <f>BC109/INDEX(R109:T109,IF($A$2&lt;7,$A$2-3,3))</f>
        <v>1.2121575684863028</v>
      </c>
      <c r="BV109" s="111">
        <f t="shared" ref="BV109" si="467">BE109/Z109</f>
        <v>1.2121575684863028</v>
      </c>
    </row>
    <row r="110" spans="1:74" x14ac:dyDescent="0.25">
      <c r="A110" t="s">
        <v>34</v>
      </c>
      <c r="B110" s="6">
        <f>'Agency North'!C110+'Agency South'!C110</f>
        <v>107</v>
      </c>
      <c r="C110" s="6">
        <f>'Agency North'!D110+'Agency South'!D110</f>
        <v>123</v>
      </c>
      <c r="D110" s="6">
        <f>'Agency North'!E110+'Agency South'!E110</f>
        <v>136</v>
      </c>
      <c r="E110" s="6">
        <f>'Agency North'!F110+'Agency South'!F110</f>
        <v>134</v>
      </c>
      <c r="F110" s="6">
        <f>'Agency North'!G110+'Agency South'!G110</f>
        <v>138</v>
      </c>
      <c r="G110" s="6">
        <f>'Agency North'!H110+'Agency South'!H110</f>
        <v>123</v>
      </c>
      <c r="H110" s="6">
        <f>'Agency North'!I110+'Agency South'!I110</f>
        <v>108</v>
      </c>
      <c r="I110" s="6">
        <f>'Agency North'!J110+'Agency South'!J110</f>
        <v>102</v>
      </c>
      <c r="J110" s="6">
        <f>'Agency North'!K110+'Agency South'!K110</f>
        <v>102</v>
      </c>
      <c r="K110" s="6">
        <f>'Agency North'!L110+'Agency South'!L110</f>
        <v>118</v>
      </c>
      <c r="L110" s="6">
        <f>'Agency North'!M110+'Agency South'!M110</f>
        <v>133</v>
      </c>
      <c r="M110" s="6">
        <f>'Agency North'!N110+'Agency South'!N110</f>
        <v>137</v>
      </c>
      <c r="N110" s="6">
        <f>'Agency North'!O110+'Agency South'!O110</f>
        <v>145</v>
      </c>
      <c r="O110" s="6">
        <f>'Agency North'!P110+'Agency South'!P110</f>
        <v>157</v>
      </c>
      <c r="P110" s="6">
        <f>'Agency North'!Q110+'Agency South'!Q110</f>
        <v>171</v>
      </c>
      <c r="Q110" s="6">
        <f>'Agency North'!R110+'Agency South'!R110</f>
        <v>204</v>
      </c>
      <c r="R110" s="6">
        <f>'Agency North'!S110+'Agency South'!S110</f>
        <v>209</v>
      </c>
      <c r="S110" s="6">
        <f>'Agency North'!T110+'Agency South'!T110</f>
        <v>201</v>
      </c>
      <c r="T110" s="6">
        <f>'Agency North'!U110+'Agency South'!U110</f>
        <v>208</v>
      </c>
      <c r="U110" s="6">
        <f>'Agency North'!V110+'Agency South'!V110</f>
        <v>238</v>
      </c>
      <c r="V110" s="6">
        <f>'Agency North'!W110+'Agency South'!W110</f>
        <v>261</v>
      </c>
      <c r="W110" s="6">
        <f>'Agency North'!X110+'Agency South'!X110</f>
        <v>285</v>
      </c>
      <c r="X110" s="6">
        <f>'Agency North'!Y110+'Agency South'!Y110</f>
        <v>291</v>
      </c>
      <c r="Y110" s="6">
        <f>'Agency North'!Z110+'Agency South'!Z110</f>
        <v>321</v>
      </c>
      <c r="Z110" s="22">
        <f t="shared" ref="Z110:Z116" si="468">INDEX($N110:$Y110,$A$2)</f>
        <v>208</v>
      </c>
      <c r="AA110" s="22">
        <f>P110</f>
        <v>171</v>
      </c>
      <c r="AB110" s="22">
        <f>S110</f>
        <v>201</v>
      </c>
      <c r="AC110" s="22">
        <f t="shared" si="456"/>
        <v>208</v>
      </c>
      <c r="AD110" s="22">
        <f>Y110</f>
        <v>321</v>
      </c>
      <c r="AE110" s="22">
        <f t="shared" ref="AE110:AE116" si="469">INDEX($B110:$M110,$A$2)</f>
        <v>108</v>
      </c>
      <c r="AF110" s="22">
        <f t="shared" si="458"/>
        <v>136</v>
      </c>
      <c r="AG110" s="22">
        <f t="shared" si="459"/>
        <v>123</v>
      </c>
      <c r="AH110" s="22">
        <f t="shared" si="460"/>
        <v>102</v>
      </c>
      <c r="AI110" s="22">
        <f t="shared" si="461"/>
        <v>137</v>
      </c>
      <c r="AJ110" s="31">
        <f t="shared" ref="AJ110:AJ116" si="470">Z110/AE110-1</f>
        <v>0.92592592592592582</v>
      </c>
      <c r="AK110" s="31">
        <f t="shared" si="462"/>
        <v>0.25735294117647056</v>
      </c>
      <c r="AL110" s="31">
        <f t="shared" si="463"/>
        <v>0.63414634146341453</v>
      </c>
      <c r="AM110" s="31">
        <f t="shared" si="464"/>
        <v>1.0392156862745097</v>
      </c>
      <c r="AN110" s="31">
        <f t="shared" si="465"/>
        <v>1.3430656934306571</v>
      </c>
      <c r="AO110" s="113">
        <f>'Agency North'!AP110+'Agency South'!AP110</f>
        <v>338</v>
      </c>
      <c r="AP110" s="113">
        <f>'Agency North'!AQ110+'Agency South'!AQ110</f>
        <v>369</v>
      </c>
      <c r="AQ110" s="113">
        <f>'Agency North'!AR110+'Agency South'!AR110</f>
        <v>412</v>
      </c>
      <c r="AR110" s="113">
        <f>'Agency North'!AS110+'Agency South'!AS110</f>
        <v>426</v>
      </c>
      <c r="AS110" s="113">
        <f>'Agency North'!AT110+'Agency South'!AT110</f>
        <v>459</v>
      </c>
      <c r="AT110" s="113">
        <f>'Agency North'!AU110+'Agency South'!AU110</f>
        <v>467</v>
      </c>
      <c r="AU110" s="113">
        <f>'Agency North'!AV110+'Agency South'!AV110</f>
        <v>429</v>
      </c>
      <c r="AV110" s="113"/>
      <c r="AW110" s="113"/>
      <c r="AX110" s="113"/>
      <c r="AY110" s="113"/>
      <c r="AZ110" s="113"/>
      <c r="BA110" s="22">
        <f t="shared" ref="BA110:BA114" si="471">INDEX(AO110:AQ110,IF($A$2&lt;3,$A$2,3))</f>
        <v>412</v>
      </c>
      <c r="BB110" s="18">
        <f t="shared" ref="BB110:BB115" si="472">INDEX(AR110:AT110,IF($A$2&lt;7,$A$2-3,3))</f>
        <v>467</v>
      </c>
      <c r="BC110" s="22">
        <f t="shared" ref="BC110:BC115" si="473">INDEX(AS110:AU110,IF($A$2&lt;7,$A$2-3,3))</f>
        <v>429</v>
      </c>
      <c r="BE110" s="22">
        <f t="shared" ref="BE110:BE115" si="474">INDEX(AO110:AZ110,$A$2)</f>
        <v>429</v>
      </c>
      <c r="BF110" s="125">
        <f t="shared" ref="BF110:BF114" si="475">AO110/N110</f>
        <v>2.3310344827586209</v>
      </c>
      <c r="BG110" s="31">
        <f t="shared" si="466"/>
        <v>2.3503184713375798</v>
      </c>
      <c r="BH110" s="31">
        <f t="shared" si="466"/>
        <v>2.4093567251461989</v>
      </c>
      <c r="BI110" s="31">
        <f t="shared" si="466"/>
        <v>2.0882352941176472</v>
      </c>
      <c r="BJ110" s="31">
        <f t="shared" si="466"/>
        <v>2.1961722488038276</v>
      </c>
      <c r="BK110" s="31">
        <f t="shared" si="466"/>
        <v>2.3233830845771144</v>
      </c>
      <c r="BL110" s="31">
        <f t="shared" si="466"/>
        <v>2.0625</v>
      </c>
      <c r="BR110" s="111">
        <f t="shared" ref="BR110:BR114" si="476">BA110/INDEX(N110:P110,IF($A$2&lt;3,$A$2,3))</f>
        <v>2.4093567251461989</v>
      </c>
      <c r="BS110" s="111">
        <f t="shared" ref="BS110:BS116" si="477">BB110/INDEX(Q110:S110,IF($A$2&lt;7,$A$2-3,3))</f>
        <v>2.3233830845771144</v>
      </c>
      <c r="BT110" s="111">
        <f t="shared" ref="BT110:BT116" si="478">BC110/INDEX(R110:T110,IF($A$2&lt;7,$A$2-3,3))</f>
        <v>2.0625</v>
      </c>
      <c r="BV110" s="111">
        <f t="shared" ref="BV110:BV114" si="479">BE110/Z110</f>
        <v>2.0625</v>
      </c>
    </row>
    <row r="111" spans="1:74" x14ac:dyDescent="0.25">
      <c r="A111" t="s">
        <v>35</v>
      </c>
      <c r="B111" s="6">
        <f>'Agency North'!C111+'Agency South'!C111</f>
        <v>334</v>
      </c>
      <c r="C111" s="6">
        <f>'Agency North'!D111+'Agency South'!D111</f>
        <v>348</v>
      </c>
      <c r="D111" s="6">
        <f>'Agency North'!E111+'Agency South'!E111</f>
        <v>379</v>
      </c>
      <c r="E111" s="6">
        <f>'Agency North'!F111+'Agency South'!F111</f>
        <v>435</v>
      </c>
      <c r="F111" s="6">
        <f>'Agency North'!G111+'Agency South'!G111</f>
        <v>465</v>
      </c>
      <c r="G111" s="6">
        <f>'Agency North'!H111+'Agency South'!H111</f>
        <v>455</v>
      </c>
      <c r="H111" s="6">
        <f>'Agency North'!I111+'Agency South'!I111</f>
        <v>469</v>
      </c>
      <c r="I111" s="6">
        <f>'Agency North'!J111+'Agency South'!J111</f>
        <v>471</v>
      </c>
      <c r="J111" s="6">
        <f>'Agency North'!K111+'Agency South'!K111</f>
        <v>526</v>
      </c>
      <c r="K111" s="6">
        <f>'Agency North'!L111+'Agency South'!L111</f>
        <v>552</v>
      </c>
      <c r="L111" s="6">
        <f>'Agency North'!M111+'Agency South'!M111</f>
        <v>571</v>
      </c>
      <c r="M111" s="6">
        <f>'Agency North'!N111+'Agency South'!N111</f>
        <v>560</v>
      </c>
      <c r="N111" s="6">
        <f>'Agency North'!O111+'Agency South'!O111</f>
        <v>562</v>
      </c>
      <c r="O111" s="6">
        <f>'Agency North'!P111+'Agency South'!P111</f>
        <v>542</v>
      </c>
      <c r="P111" s="6">
        <f>'Agency North'!Q111+'Agency South'!Q111</f>
        <v>565</v>
      </c>
      <c r="Q111" s="6">
        <f>'Agency North'!R111+'Agency South'!R111</f>
        <v>595</v>
      </c>
      <c r="R111" s="6">
        <f>'Agency North'!S111+'Agency South'!S111</f>
        <v>652</v>
      </c>
      <c r="S111" s="6">
        <f>'Agency North'!T111+'Agency South'!T111</f>
        <v>727</v>
      </c>
      <c r="T111" s="6">
        <f>'Agency North'!U111+'Agency South'!U111</f>
        <v>719</v>
      </c>
      <c r="U111" s="6">
        <f>'Agency North'!V111+'Agency South'!V111</f>
        <v>784</v>
      </c>
      <c r="V111" s="6">
        <f>'Agency North'!W111+'Agency South'!W111</f>
        <v>867</v>
      </c>
      <c r="W111" s="6">
        <f>'Agency North'!X111+'Agency South'!X111</f>
        <v>953</v>
      </c>
      <c r="X111" s="6">
        <f>'Agency North'!Y111+'Agency South'!Y111</f>
        <v>1035</v>
      </c>
      <c r="Y111" s="6">
        <f>'Agency North'!Z111+'Agency South'!Z111</f>
        <v>1093</v>
      </c>
      <c r="Z111" s="22">
        <f t="shared" si="468"/>
        <v>719</v>
      </c>
      <c r="AA111" s="22">
        <f t="shared" ref="AA111:AA116" si="480">P111</f>
        <v>565</v>
      </c>
      <c r="AB111" s="22">
        <f t="shared" ref="AB111:AB116" si="481">S111</f>
        <v>727</v>
      </c>
      <c r="AC111" s="22">
        <f t="shared" si="456"/>
        <v>719</v>
      </c>
      <c r="AD111" s="22">
        <f t="shared" ref="AD111:AD116" si="482">Y111</f>
        <v>1093</v>
      </c>
      <c r="AE111" s="22">
        <f t="shared" si="469"/>
        <v>469</v>
      </c>
      <c r="AF111" s="22">
        <f t="shared" si="458"/>
        <v>379</v>
      </c>
      <c r="AG111" s="22">
        <f t="shared" si="459"/>
        <v>455</v>
      </c>
      <c r="AH111" s="22">
        <f t="shared" si="460"/>
        <v>526</v>
      </c>
      <c r="AI111" s="22">
        <f t="shared" si="461"/>
        <v>560</v>
      </c>
      <c r="AJ111" s="31">
        <f t="shared" si="470"/>
        <v>0.53304904051172697</v>
      </c>
      <c r="AK111" s="31">
        <f t="shared" si="462"/>
        <v>0.49076517150395782</v>
      </c>
      <c r="AL111" s="31">
        <f t="shared" si="463"/>
        <v>0.5978021978021979</v>
      </c>
      <c r="AM111" s="31">
        <f t="shared" si="464"/>
        <v>0.36692015209125484</v>
      </c>
      <c r="AN111" s="31">
        <f t="shared" si="465"/>
        <v>0.95178571428571423</v>
      </c>
      <c r="AO111" s="113">
        <f>'Agency North'!AP111+'Agency South'!AP111</f>
        <v>1078</v>
      </c>
      <c r="AP111" s="113">
        <f>'Agency North'!AQ111+'Agency South'!AQ111</f>
        <v>1137</v>
      </c>
      <c r="AQ111" s="113">
        <f>'Agency North'!AR111+'Agency South'!AR111</f>
        <v>1116</v>
      </c>
      <c r="AR111" s="113">
        <f>'Agency North'!AS111+'Agency South'!AS111</f>
        <v>938</v>
      </c>
      <c r="AS111" s="113">
        <f>'Agency North'!AT111+'Agency South'!AT111</f>
        <v>955</v>
      </c>
      <c r="AT111" s="113">
        <f>'Agency North'!AU111+'Agency South'!AU111</f>
        <v>950</v>
      </c>
      <c r="AU111" s="113">
        <f>'Agency North'!AV111+'Agency South'!AV111</f>
        <v>861</v>
      </c>
      <c r="AV111" s="113"/>
      <c r="AW111" s="113"/>
      <c r="AX111" s="113"/>
      <c r="AY111" s="113"/>
      <c r="AZ111" s="113"/>
      <c r="BA111" s="22">
        <f t="shared" si="471"/>
        <v>1116</v>
      </c>
      <c r="BB111" s="18">
        <f t="shared" si="472"/>
        <v>950</v>
      </c>
      <c r="BC111" s="22">
        <f t="shared" si="473"/>
        <v>861</v>
      </c>
      <c r="BE111" s="22">
        <f t="shared" si="474"/>
        <v>861</v>
      </c>
      <c r="BF111" s="125">
        <f t="shared" si="475"/>
        <v>1.9181494661921707</v>
      </c>
      <c r="BG111" s="31">
        <f t="shared" si="466"/>
        <v>2.0977859778597785</v>
      </c>
      <c r="BH111" s="31">
        <f t="shared" si="466"/>
        <v>1.975221238938053</v>
      </c>
      <c r="BI111" s="31">
        <f t="shared" si="466"/>
        <v>1.5764705882352941</v>
      </c>
      <c r="BJ111" s="31">
        <f t="shared" si="466"/>
        <v>1.4647239263803682</v>
      </c>
      <c r="BK111" s="31">
        <f t="shared" si="466"/>
        <v>1.3067400275103163</v>
      </c>
      <c r="BL111" s="31">
        <f t="shared" si="466"/>
        <v>1.1974965229485397</v>
      </c>
      <c r="BR111" s="111">
        <f t="shared" si="476"/>
        <v>1.975221238938053</v>
      </c>
      <c r="BS111" s="111">
        <f t="shared" si="477"/>
        <v>1.3067400275103163</v>
      </c>
      <c r="BT111" s="111">
        <f t="shared" si="478"/>
        <v>1.1974965229485397</v>
      </c>
      <c r="BV111" s="111">
        <f t="shared" si="479"/>
        <v>1.1974965229485397</v>
      </c>
    </row>
    <row r="112" spans="1:74" x14ac:dyDescent="0.25">
      <c r="A112" t="s">
        <v>36</v>
      </c>
      <c r="B112" s="6">
        <f>'Agency North'!C112+'Agency South'!C112</f>
        <v>111</v>
      </c>
      <c r="C112" s="6">
        <f>'Agency North'!D112+'Agency South'!D112</f>
        <v>113</v>
      </c>
      <c r="D112" s="6">
        <f>'Agency North'!E112+'Agency South'!E112</f>
        <v>125</v>
      </c>
      <c r="E112" s="6">
        <f>'Agency North'!F112+'Agency South'!F112</f>
        <v>152</v>
      </c>
      <c r="F112" s="6">
        <f>'Agency North'!G112+'Agency South'!G112</f>
        <v>162</v>
      </c>
      <c r="G112" s="6">
        <f>'Agency North'!H112+'Agency South'!H112</f>
        <v>170</v>
      </c>
      <c r="H112" s="6">
        <f>'Agency North'!I112+'Agency South'!I112</f>
        <v>178</v>
      </c>
      <c r="I112" s="6">
        <f>'Agency North'!J112+'Agency South'!J112</f>
        <v>175</v>
      </c>
      <c r="J112" s="6">
        <f>'Agency North'!K112+'Agency South'!K112</f>
        <v>191</v>
      </c>
      <c r="K112" s="6">
        <f>'Agency North'!L112+'Agency South'!L112</f>
        <v>200</v>
      </c>
      <c r="L112" s="6">
        <f>'Agency North'!M112+'Agency South'!M112</f>
        <v>198</v>
      </c>
      <c r="M112" s="6">
        <f>'Agency North'!N112+'Agency South'!N112</f>
        <v>198</v>
      </c>
      <c r="N112" s="6">
        <f>'Agency North'!O112+'Agency South'!O112</f>
        <v>204</v>
      </c>
      <c r="O112" s="6">
        <f>'Agency North'!P112+'Agency South'!P112</f>
        <v>205</v>
      </c>
      <c r="P112" s="6">
        <f>'Agency North'!Q112+'Agency South'!Q112</f>
        <v>216</v>
      </c>
      <c r="Q112" s="6">
        <f>'Agency North'!R112+'Agency South'!R112</f>
        <v>235</v>
      </c>
      <c r="R112" s="6">
        <f>'Agency North'!S112+'Agency South'!S112</f>
        <v>255</v>
      </c>
      <c r="S112" s="6">
        <f>'Agency North'!T112+'Agency South'!T112</f>
        <v>277</v>
      </c>
      <c r="T112" s="6">
        <f>'Agency North'!U112+'Agency South'!U112</f>
        <v>282</v>
      </c>
      <c r="U112" s="6">
        <f>'Agency North'!V112+'Agency South'!V112</f>
        <v>297</v>
      </c>
      <c r="V112" s="6">
        <f>'Agency North'!W112+'Agency South'!W112</f>
        <v>326</v>
      </c>
      <c r="W112" s="6">
        <f>'Agency North'!X112+'Agency South'!X112</f>
        <v>340</v>
      </c>
      <c r="X112" s="6">
        <f>'Agency North'!Y112+'Agency South'!Y112</f>
        <v>367</v>
      </c>
      <c r="Y112" s="6">
        <f>'Agency North'!Z112+'Agency South'!Z112</f>
        <v>393</v>
      </c>
      <c r="Z112" s="22">
        <f t="shared" si="468"/>
        <v>282</v>
      </c>
      <c r="AA112" s="22">
        <f t="shared" si="480"/>
        <v>216</v>
      </c>
      <c r="AB112" s="22">
        <f t="shared" si="481"/>
        <v>277</v>
      </c>
      <c r="AC112" s="22">
        <f t="shared" si="456"/>
        <v>282</v>
      </c>
      <c r="AD112" s="22">
        <f t="shared" si="482"/>
        <v>393</v>
      </c>
      <c r="AE112" s="22">
        <f t="shared" si="469"/>
        <v>178</v>
      </c>
      <c r="AF112" s="22">
        <f t="shared" si="458"/>
        <v>125</v>
      </c>
      <c r="AG112" s="22">
        <f t="shared" si="459"/>
        <v>170</v>
      </c>
      <c r="AH112" s="22">
        <f t="shared" si="460"/>
        <v>191</v>
      </c>
      <c r="AI112" s="22">
        <f t="shared" si="461"/>
        <v>198</v>
      </c>
      <c r="AJ112" s="31">
        <f t="shared" si="470"/>
        <v>0.58426966292134841</v>
      </c>
      <c r="AK112" s="31">
        <f t="shared" si="462"/>
        <v>0.72799999999999998</v>
      </c>
      <c r="AL112" s="31">
        <f t="shared" si="463"/>
        <v>0.62941176470588234</v>
      </c>
      <c r="AM112" s="31">
        <f t="shared" si="464"/>
        <v>0.47643979057591612</v>
      </c>
      <c r="AN112" s="31">
        <f t="shared" si="465"/>
        <v>0.98484848484848486</v>
      </c>
      <c r="AO112" s="113">
        <f>'Agency North'!AP112+'Agency South'!AP112</f>
        <v>398</v>
      </c>
      <c r="AP112" s="113">
        <f>'Agency North'!AQ112+'Agency South'!AQ112</f>
        <v>410</v>
      </c>
      <c r="AQ112" s="113">
        <f>'Agency North'!AR112+'Agency South'!AR112</f>
        <v>393</v>
      </c>
      <c r="AR112" s="113">
        <f>'Agency North'!AS112+'Agency South'!AS112</f>
        <v>385</v>
      </c>
      <c r="AS112" s="113">
        <f>'Agency North'!AT112+'Agency South'!AT112</f>
        <v>385</v>
      </c>
      <c r="AT112" s="113">
        <f>'Agency North'!AU112+'Agency South'!AU112</f>
        <v>359</v>
      </c>
      <c r="AU112" s="113">
        <f>'Agency North'!AV112+'Agency South'!AV112</f>
        <v>333</v>
      </c>
      <c r="AV112" s="113"/>
      <c r="AW112" s="113"/>
      <c r="AX112" s="113"/>
      <c r="AY112" s="113"/>
      <c r="AZ112" s="113"/>
      <c r="BA112" s="22">
        <f t="shared" si="471"/>
        <v>393</v>
      </c>
      <c r="BB112" s="18">
        <f t="shared" si="472"/>
        <v>359</v>
      </c>
      <c r="BC112" s="22">
        <f t="shared" si="473"/>
        <v>333</v>
      </c>
      <c r="BE112" s="22">
        <f t="shared" si="474"/>
        <v>333</v>
      </c>
      <c r="BF112" s="125">
        <f t="shared" si="475"/>
        <v>1.9509803921568627</v>
      </c>
      <c r="BG112" s="31">
        <f t="shared" si="466"/>
        <v>2</v>
      </c>
      <c r="BH112" s="31">
        <f t="shared" si="466"/>
        <v>1.8194444444444444</v>
      </c>
      <c r="BI112" s="31">
        <f t="shared" si="466"/>
        <v>1.6382978723404256</v>
      </c>
      <c r="BJ112" s="31">
        <f t="shared" si="466"/>
        <v>1.5098039215686274</v>
      </c>
      <c r="BK112" s="31">
        <f t="shared" si="466"/>
        <v>1.296028880866426</v>
      </c>
      <c r="BL112" s="31">
        <f t="shared" si="466"/>
        <v>1.1808510638297873</v>
      </c>
      <c r="BR112" s="111">
        <f t="shared" si="476"/>
        <v>1.8194444444444444</v>
      </c>
      <c r="BS112" s="111">
        <f t="shared" si="477"/>
        <v>1.296028880866426</v>
      </c>
      <c r="BT112" s="111">
        <f t="shared" si="478"/>
        <v>1.1808510638297873</v>
      </c>
      <c r="BV112" s="111">
        <f t="shared" si="479"/>
        <v>1.1808510638297873</v>
      </c>
    </row>
    <row r="113" spans="1:74" x14ac:dyDescent="0.25">
      <c r="A113" t="s">
        <v>37</v>
      </c>
      <c r="B113" s="6">
        <f>'Agency North'!C113+'Agency South'!C113</f>
        <v>63</v>
      </c>
      <c r="C113" s="6">
        <f>'Agency North'!D113+'Agency South'!D113</f>
        <v>64</v>
      </c>
      <c r="D113" s="6">
        <f>'Agency North'!E113+'Agency South'!E113</f>
        <v>70</v>
      </c>
      <c r="E113" s="6">
        <f>'Agency North'!F113+'Agency South'!F113</f>
        <v>76</v>
      </c>
      <c r="F113" s="6">
        <f>'Agency North'!G113+'Agency South'!G113</f>
        <v>77</v>
      </c>
      <c r="G113" s="6">
        <f>'Agency North'!H113+'Agency South'!H113</f>
        <v>76</v>
      </c>
      <c r="H113" s="6">
        <f>'Agency North'!I113+'Agency South'!I113</f>
        <v>75</v>
      </c>
      <c r="I113" s="6">
        <f>'Agency North'!J113+'Agency South'!J113</f>
        <v>71</v>
      </c>
      <c r="J113" s="6">
        <f>'Agency North'!K113+'Agency South'!K113</f>
        <v>72</v>
      </c>
      <c r="K113" s="6">
        <f>'Agency North'!L113+'Agency South'!L113</f>
        <v>72</v>
      </c>
      <c r="L113" s="6">
        <f>'Agency North'!M113+'Agency South'!M113</f>
        <v>68</v>
      </c>
      <c r="M113" s="6">
        <f>'Agency North'!N113+'Agency South'!N113</f>
        <v>68</v>
      </c>
      <c r="N113" s="6">
        <f>'Agency North'!O113+'Agency South'!O113</f>
        <v>70</v>
      </c>
      <c r="O113" s="6">
        <f>'Agency North'!P113+'Agency South'!P113</f>
        <v>67</v>
      </c>
      <c r="P113" s="6">
        <f>'Agency North'!Q113+'Agency South'!Q113</f>
        <v>68</v>
      </c>
      <c r="Q113" s="6">
        <f>'Agency North'!R113+'Agency South'!R113</f>
        <v>68</v>
      </c>
      <c r="R113" s="6">
        <f>'Agency North'!S113+'Agency South'!S113</f>
        <v>69</v>
      </c>
      <c r="S113" s="6">
        <f>'Agency North'!T113+'Agency South'!T113</f>
        <v>75</v>
      </c>
      <c r="T113" s="6">
        <f>'Agency North'!U113+'Agency South'!U113</f>
        <v>78</v>
      </c>
      <c r="U113" s="6">
        <f>'Agency North'!V113+'Agency South'!V113</f>
        <v>80</v>
      </c>
      <c r="V113" s="6">
        <f>'Agency North'!W113+'Agency South'!W113</f>
        <v>94</v>
      </c>
      <c r="W113" s="6">
        <f>'Agency North'!X113+'Agency South'!X113</f>
        <v>105</v>
      </c>
      <c r="X113" s="6">
        <f>'Agency North'!Y113+'Agency South'!Y113</f>
        <v>109</v>
      </c>
      <c r="Y113" s="6">
        <f>'Agency North'!Z113+'Agency South'!Z113</f>
        <v>109</v>
      </c>
      <c r="Z113" s="22">
        <f t="shared" si="468"/>
        <v>78</v>
      </c>
      <c r="AA113" s="22">
        <f t="shared" si="480"/>
        <v>68</v>
      </c>
      <c r="AB113" s="22">
        <f t="shared" si="481"/>
        <v>75</v>
      </c>
      <c r="AC113" s="22">
        <f t="shared" si="456"/>
        <v>78</v>
      </c>
      <c r="AD113" s="22">
        <f t="shared" si="482"/>
        <v>109</v>
      </c>
      <c r="AE113" s="22">
        <f t="shared" si="469"/>
        <v>75</v>
      </c>
      <c r="AF113" s="22">
        <f t="shared" si="458"/>
        <v>70</v>
      </c>
      <c r="AG113" s="22">
        <f t="shared" si="459"/>
        <v>76</v>
      </c>
      <c r="AH113" s="22">
        <f t="shared" si="460"/>
        <v>72</v>
      </c>
      <c r="AI113" s="22">
        <f t="shared" si="461"/>
        <v>68</v>
      </c>
      <c r="AJ113" s="31">
        <f t="shared" si="470"/>
        <v>4.0000000000000036E-2</v>
      </c>
      <c r="AK113" s="31">
        <f t="shared" si="462"/>
        <v>-2.8571428571428581E-2</v>
      </c>
      <c r="AL113" s="31">
        <f t="shared" si="463"/>
        <v>-1.3157894736842146E-2</v>
      </c>
      <c r="AM113" s="31">
        <f t="shared" si="464"/>
        <v>8.3333333333333259E-2</v>
      </c>
      <c r="AN113" s="31">
        <f t="shared" si="465"/>
        <v>0.60294117647058831</v>
      </c>
      <c r="AO113" s="113">
        <f>'Agency North'!AP113+'Agency South'!AP113</f>
        <v>111</v>
      </c>
      <c r="AP113" s="113">
        <f>'Agency North'!AQ113+'Agency South'!AQ113</f>
        <v>123</v>
      </c>
      <c r="AQ113" s="113">
        <f>'Agency North'!AR113+'Agency South'!AR113</f>
        <v>122</v>
      </c>
      <c r="AR113" s="113">
        <f>'Agency North'!AS113+'Agency South'!AS113</f>
        <v>124</v>
      </c>
      <c r="AS113" s="113">
        <f>'Agency North'!AT113+'Agency South'!AT113</f>
        <v>124</v>
      </c>
      <c r="AT113" s="113">
        <f>'Agency North'!AU113+'Agency South'!AU113</f>
        <v>122</v>
      </c>
      <c r="AU113" s="113">
        <f>'Agency North'!AV113+'Agency South'!AV113</f>
        <v>114</v>
      </c>
      <c r="AV113" s="113"/>
      <c r="AW113" s="113"/>
      <c r="AX113" s="113"/>
      <c r="AY113" s="113"/>
      <c r="AZ113" s="113"/>
      <c r="BA113" s="22">
        <f t="shared" si="471"/>
        <v>122</v>
      </c>
      <c r="BB113" s="18">
        <f t="shared" si="472"/>
        <v>122</v>
      </c>
      <c r="BC113" s="22">
        <f t="shared" si="473"/>
        <v>114</v>
      </c>
      <c r="BE113" s="22">
        <f t="shared" si="474"/>
        <v>114</v>
      </c>
      <c r="BF113" s="125">
        <f t="shared" si="475"/>
        <v>1.5857142857142856</v>
      </c>
      <c r="BG113" s="31">
        <f t="shared" si="466"/>
        <v>1.835820895522388</v>
      </c>
      <c r="BH113" s="31">
        <f t="shared" si="466"/>
        <v>1.7941176470588236</v>
      </c>
      <c r="BI113" s="31">
        <f t="shared" si="466"/>
        <v>1.8235294117647058</v>
      </c>
      <c r="BJ113" s="31">
        <f t="shared" si="466"/>
        <v>1.7971014492753623</v>
      </c>
      <c r="BK113" s="31">
        <f t="shared" si="466"/>
        <v>1.6266666666666667</v>
      </c>
      <c r="BL113" s="31">
        <f t="shared" si="466"/>
        <v>1.4615384615384615</v>
      </c>
      <c r="BR113" s="111">
        <f t="shared" si="476"/>
        <v>1.7941176470588236</v>
      </c>
      <c r="BS113" s="111">
        <f t="shared" si="477"/>
        <v>1.6266666666666667</v>
      </c>
      <c r="BT113" s="111">
        <f t="shared" si="478"/>
        <v>1.4615384615384615</v>
      </c>
      <c r="BV113" s="111">
        <f t="shared" si="479"/>
        <v>1.4615384615384615</v>
      </c>
    </row>
    <row r="114" spans="1:74" x14ac:dyDescent="0.25">
      <c r="A114" t="s">
        <v>38</v>
      </c>
      <c r="B114" s="6">
        <f>'Agency North'!C114+'Agency South'!C114</f>
        <v>11</v>
      </c>
      <c r="C114" s="6">
        <f>'Agency North'!D114+'Agency South'!D114</f>
        <v>12</v>
      </c>
      <c r="D114" s="6">
        <f>'Agency North'!E114+'Agency South'!E114</f>
        <v>13</v>
      </c>
      <c r="E114" s="6">
        <f>'Agency North'!F114+'Agency South'!F114</f>
        <v>18</v>
      </c>
      <c r="F114" s="6">
        <f>'Agency North'!G114+'Agency South'!G114</f>
        <v>21</v>
      </c>
      <c r="G114" s="6">
        <f>'Agency North'!H114+'Agency South'!H114</f>
        <v>22</v>
      </c>
      <c r="H114" s="6">
        <f>'Agency North'!I114+'Agency South'!I114</f>
        <v>25</v>
      </c>
      <c r="I114" s="6">
        <f>'Agency North'!J114+'Agency South'!J114</f>
        <v>27</v>
      </c>
      <c r="J114" s="6">
        <f>'Agency North'!K114+'Agency South'!K114</f>
        <v>30</v>
      </c>
      <c r="K114" s="6">
        <f>'Agency North'!L114+'Agency South'!L114</f>
        <v>30</v>
      </c>
      <c r="L114" s="6">
        <f>'Agency North'!M114+'Agency South'!M114</f>
        <v>30</v>
      </c>
      <c r="M114" s="6">
        <f>'Agency North'!N114+'Agency South'!N114</f>
        <v>31</v>
      </c>
      <c r="N114" s="6">
        <f>'Agency North'!O114+'Agency South'!O114</f>
        <v>32</v>
      </c>
      <c r="O114" s="6">
        <f>'Agency North'!P114+'Agency South'!P114</f>
        <v>33</v>
      </c>
      <c r="P114" s="6">
        <f>'Agency North'!Q114+'Agency South'!Q114</f>
        <v>36</v>
      </c>
      <c r="Q114" s="6">
        <f>'Agency North'!R114+'Agency South'!R114</f>
        <v>38</v>
      </c>
      <c r="R114" s="6">
        <f>'Agency North'!S114+'Agency South'!S114</f>
        <v>38</v>
      </c>
      <c r="S114" s="6">
        <f>'Agency North'!T114+'Agency South'!T114</f>
        <v>45</v>
      </c>
      <c r="T114" s="6">
        <f>'Agency North'!U114+'Agency South'!U114</f>
        <v>47</v>
      </c>
      <c r="U114" s="6">
        <f>'Agency North'!V114+'Agency South'!V114</f>
        <v>50</v>
      </c>
      <c r="V114" s="6">
        <f>'Agency North'!W114+'Agency South'!W114</f>
        <v>56</v>
      </c>
      <c r="W114" s="6">
        <f>'Agency North'!X114+'Agency South'!X114</f>
        <v>60</v>
      </c>
      <c r="X114" s="6">
        <f>'Agency North'!Y114+'Agency South'!Y114</f>
        <v>64</v>
      </c>
      <c r="Y114" s="6">
        <f>'Agency North'!Z114+'Agency South'!Z114</f>
        <v>68</v>
      </c>
      <c r="Z114" s="22">
        <f t="shared" si="468"/>
        <v>47</v>
      </c>
      <c r="AA114" s="22">
        <f t="shared" si="480"/>
        <v>36</v>
      </c>
      <c r="AB114" s="22">
        <f t="shared" si="481"/>
        <v>45</v>
      </c>
      <c r="AC114" s="22">
        <f t="shared" si="456"/>
        <v>47</v>
      </c>
      <c r="AD114" s="22">
        <f t="shared" si="482"/>
        <v>68</v>
      </c>
      <c r="AE114" s="22">
        <f t="shared" si="469"/>
        <v>25</v>
      </c>
      <c r="AF114" s="22">
        <f t="shared" si="458"/>
        <v>13</v>
      </c>
      <c r="AG114" s="22">
        <f t="shared" si="459"/>
        <v>22</v>
      </c>
      <c r="AH114" s="22">
        <f t="shared" si="460"/>
        <v>30</v>
      </c>
      <c r="AI114" s="22">
        <f t="shared" si="461"/>
        <v>31</v>
      </c>
      <c r="AJ114" s="31">
        <f t="shared" si="470"/>
        <v>0.87999999999999989</v>
      </c>
      <c r="AK114" s="31">
        <f t="shared" si="462"/>
        <v>1.7692307692307692</v>
      </c>
      <c r="AL114" s="31">
        <f t="shared" si="463"/>
        <v>1.0454545454545454</v>
      </c>
      <c r="AM114" s="31">
        <f t="shared" si="464"/>
        <v>0.56666666666666665</v>
      </c>
      <c r="AN114" s="31">
        <f t="shared" si="465"/>
        <v>1.193548387096774</v>
      </c>
      <c r="AO114" s="113">
        <f>'Agency North'!AP114+'Agency South'!AP114</f>
        <v>69</v>
      </c>
      <c r="AP114" s="113">
        <f>'Agency North'!AQ114+'Agency South'!AQ114</f>
        <v>74</v>
      </c>
      <c r="AQ114" s="113">
        <f>'Agency North'!AR114+'Agency South'!AR114</f>
        <v>73</v>
      </c>
      <c r="AR114" s="113">
        <f>'Agency North'!AS114+'Agency South'!AS114</f>
        <v>74</v>
      </c>
      <c r="AS114" s="113">
        <f>'Agency North'!AT114+'Agency South'!AT114</f>
        <v>76</v>
      </c>
      <c r="AT114" s="113">
        <f>'Agency North'!AU114+'Agency South'!AU114</f>
        <v>74</v>
      </c>
      <c r="AU114" s="113">
        <f>'Agency North'!AV114+'Agency South'!AV114</f>
        <v>64</v>
      </c>
      <c r="AV114" s="113"/>
      <c r="AW114" s="113"/>
      <c r="AX114" s="113"/>
      <c r="AY114" s="113"/>
      <c r="AZ114" s="113"/>
      <c r="BA114" s="22">
        <f t="shared" si="471"/>
        <v>73</v>
      </c>
      <c r="BB114" s="18">
        <f t="shared" si="472"/>
        <v>74</v>
      </c>
      <c r="BC114" s="22">
        <f t="shared" si="473"/>
        <v>64</v>
      </c>
      <c r="BE114" s="22">
        <f t="shared" si="474"/>
        <v>64</v>
      </c>
      <c r="BF114" s="125">
        <f t="shared" si="475"/>
        <v>2.15625</v>
      </c>
      <c r="BG114" s="31">
        <f t="shared" si="466"/>
        <v>2.2424242424242422</v>
      </c>
      <c r="BH114" s="31">
        <f t="shared" si="466"/>
        <v>2.0277777777777777</v>
      </c>
      <c r="BI114" s="31">
        <f t="shared" si="466"/>
        <v>1.9473684210526316</v>
      </c>
      <c r="BJ114" s="31">
        <f t="shared" si="466"/>
        <v>2</v>
      </c>
      <c r="BK114" s="31">
        <f t="shared" si="466"/>
        <v>1.6444444444444444</v>
      </c>
      <c r="BL114" s="31">
        <f t="shared" si="466"/>
        <v>1.3617021276595744</v>
      </c>
      <c r="BR114" s="111">
        <f t="shared" si="476"/>
        <v>2.0277777777777777</v>
      </c>
      <c r="BS114" s="111">
        <f t="shared" si="477"/>
        <v>1.6444444444444444</v>
      </c>
      <c r="BT114" s="111">
        <f t="shared" si="478"/>
        <v>1.3617021276595744</v>
      </c>
      <c r="BV114" s="111">
        <f t="shared" si="479"/>
        <v>1.3617021276595744</v>
      </c>
    </row>
    <row r="115" spans="1:74" x14ac:dyDescent="0.25">
      <c r="A115" s="135" t="s">
        <v>136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31"/>
      <c r="AK115" s="31"/>
      <c r="AL115" s="31"/>
      <c r="AM115" s="31"/>
      <c r="AN115" s="31"/>
      <c r="AO115" s="113"/>
      <c r="AP115" s="113">
        <f>'Agency North'!AQ115+'Agency South'!AQ115</f>
        <v>2354</v>
      </c>
      <c r="AQ115" s="113">
        <f>'Agency North'!AR115+'Agency South'!AR115</f>
        <v>2611</v>
      </c>
      <c r="AR115" s="113">
        <f>'Agency North'!AS115+'Agency South'!AS115</f>
        <v>3496</v>
      </c>
      <c r="AS115" s="113">
        <f>'Agency North'!AT115+'Agency South'!AT115</f>
        <v>4041</v>
      </c>
      <c r="AT115" s="113">
        <f>'Agency North'!AU115+'Agency South'!AU115</f>
        <v>4849</v>
      </c>
      <c r="AU115" s="113">
        <f>'Agency North'!AV115+'Agency South'!AV115</f>
        <v>5854</v>
      </c>
      <c r="AV115" s="113"/>
      <c r="AW115" s="113"/>
      <c r="AX115" s="113"/>
      <c r="AY115" s="113"/>
      <c r="AZ115" s="113"/>
      <c r="BA115" s="22"/>
      <c r="BB115" s="18">
        <f t="shared" si="472"/>
        <v>4849</v>
      </c>
      <c r="BC115" s="22">
        <f t="shared" si="473"/>
        <v>5854</v>
      </c>
      <c r="BE115" s="22">
        <f t="shared" si="474"/>
        <v>5854</v>
      </c>
      <c r="BF115" s="125"/>
      <c r="BG115" s="31"/>
      <c r="BH115" s="31"/>
      <c r="BI115" s="31"/>
      <c r="BJ115" s="31"/>
      <c r="BK115" s="31"/>
      <c r="BL115" s="31"/>
      <c r="BR115" s="111"/>
      <c r="BS115" s="111"/>
      <c r="BT115" s="111"/>
      <c r="BV115" s="111"/>
    </row>
    <row r="116" spans="1:74" s="17" customFormat="1" x14ac:dyDescent="0.25">
      <c r="A116" s="1" t="s">
        <v>137</v>
      </c>
      <c r="B116" s="7">
        <f t="shared" ref="B116:Y116" si="483">SUM(B109:B114)</f>
        <v>2496</v>
      </c>
      <c r="C116" s="7">
        <f t="shared" si="483"/>
        <v>2586</v>
      </c>
      <c r="D116" s="7">
        <f t="shared" si="483"/>
        <v>2808</v>
      </c>
      <c r="E116" s="7">
        <f t="shared" si="483"/>
        <v>3135</v>
      </c>
      <c r="F116" s="7">
        <f t="shared" si="483"/>
        <v>3049</v>
      </c>
      <c r="G116" s="7">
        <f t="shared" si="483"/>
        <v>3106</v>
      </c>
      <c r="H116" s="7">
        <f t="shared" si="483"/>
        <v>3135</v>
      </c>
      <c r="I116" s="7">
        <f t="shared" si="483"/>
        <v>3323</v>
      </c>
      <c r="J116" s="7">
        <f t="shared" si="483"/>
        <v>3466</v>
      </c>
      <c r="K116" s="7">
        <f t="shared" si="483"/>
        <v>3654</v>
      </c>
      <c r="L116" s="7">
        <f t="shared" si="483"/>
        <v>4005</v>
      </c>
      <c r="M116" s="7">
        <f t="shared" si="483"/>
        <v>4120</v>
      </c>
      <c r="N116" s="7">
        <f t="shared" si="483"/>
        <v>4158</v>
      </c>
      <c r="O116" s="7">
        <f t="shared" si="483"/>
        <v>4068</v>
      </c>
      <c r="P116" s="7">
        <f t="shared" si="483"/>
        <v>4327</v>
      </c>
      <c r="Q116" s="7">
        <f t="shared" si="483"/>
        <v>4506</v>
      </c>
      <c r="R116" s="7">
        <f t="shared" si="483"/>
        <v>4930</v>
      </c>
      <c r="S116" s="7">
        <f t="shared" si="483"/>
        <v>5821</v>
      </c>
      <c r="T116" s="7">
        <f t="shared" si="483"/>
        <v>6335</v>
      </c>
      <c r="U116" s="7">
        <f t="shared" si="483"/>
        <v>6970</v>
      </c>
      <c r="V116" s="7">
        <f t="shared" si="483"/>
        <v>7706</v>
      </c>
      <c r="W116" s="7">
        <f t="shared" si="483"/>
        <v>8408</v>
      </c>
      <c r="X116" s="7">
        <f t="shared" si="483"/>
        <v>9051</v>
      </c>
      <c r="Y116" s="7">
        <f t="shared" si="483"/>
        <v>9845</v>
      </c>
      <c r="Z116" s="27">
        <f t="shared" si="468"/>
        <v>6335</v>
      </c>
      <c r="AA116" s="27">
        <f t="shared" si="480"/>
        <v>4327</v>
      </c>
      <c r="AB116" s="27">
        <f t="shared" si="481"/>
        <v>5821</v>
      </c>
      <c r="AC116" s="27">
        <f>SUM(AC109:AC114)</f>
        <v>6335</v>
      </c>
      <c r="AD116" s="27">
        <f t="shared" si="482"/>
        <v>9845</v>
      </c>
      <c r="AE116" s="27">
        <f t="shared" si="469"/>
        <v>3135</v>
      </c>
      <c r="AF116" s="27">
        <f t="shared" si="458"/>
        <v>2808</v>
      </c>
      <c r="AG116" s="27">
        <f t="shared" si="459"/>
        <v>3106</v>
      </c>
      <c r="AH116" s="27">
        <f t="shared" si="460"/>
        <v>3466</v>
      </c>
      <c r="AI116" s="27">
        <f t="shared" si="461"/>
        <v>4120</v>
      </c>
      <c r="AJ116" s="32">
        <f t="shared" si="470"/>
        <v>1.0207336523125998</v>
      </c>
      <c r="AK116" s="32">
        <f t="shared" si="462"/>
        <v>0.54095441595441596</v>
      </c>
      <c r="AL116" s="32">
        <f t="shared" si="463"/>
        <v>0.87411461687057312</v>
      </c>
      <c r="AM116" s="32">
        <f t="shared" si="464"/>
        <v>0.82775533756491626</v>
      </c>
      <c r="AN116" s="32">
        <f t="shared" si="465"/>
        <v>1.3895631067961167</v>
      </c>
      <c r="AO116" s="114">
        <f t="shared" ref="AO116:BE116" si="484">SUM(AO109:AO114)</f>
        <v>10030</v>
      </c>
      <c r="AP116" s="114">
        <f t="shared" si="484"/>
        <v>7676</v>
      </c>
      <c r="AQ116" s="114">
        <f t="shared" si="484"/>
        <v>7777</v>
      </c>
      <c r="AR116" s="114">
        <f t="shared" si="484"/>
        <v>7057</v>
      </c>
      <c r="AS116" s="114">
        <f t="shared" ref="AS116:AT116" si="485">SUM(AS109:AS114)</f>
        <v>7380</v>
      </c>
      <c r="AT116" s="114">
        <f t="shared" si="485"/>
        <v>8015</v>
      </c>
      <c r="AU116" s="114">
        <f t="shared" ref="AU116" si="486">SUM(AU109:AU114)</f>
        <v>7863</v>
      </c>
      <c r="AV116" s="114">
        <f t="shared" si="484"/>
        <v>0</v>
      </c>
      <c r="AW116" s="114">
        <f t="shared" si="484"/>
        <v>0</v>
      </c>
      <c r="AX116" s="114">
        <f t="shared" si="484"/>
        <v>0</v>
      </c>
      <c r="AY116" s="114">
        <f t="shared" si="484"/>
        <v>0</v>
      </c>
      <c r="AZ116" s="114">
        <f t="shared" si="484"/>
        <v>0</v>
      </c>
      <c r="BA116" s="114">
        <f t="shared" si="484"/>
        <v>7777</v>
      </c>
      <c r="BB116" s="114">
        <f t="shared" si="484"/>
        <v>8015</v>
      </c>
      <c r="BC116" s="114">
        <f t="shared" si="484"/>
        <v>7863</v>
      </c>
      <c r="BD116" s="114">
        <f t="shared" si="484"/>
        <v>0</v>
      </c>
      <c r="BE116" s="114">
        <f t="shared" si="484"/>
        <v>7863</v>
      </c>
      <c r="BF116" s="134">
        <f t="shared" ref="BF116" si="487">AO116/N116</f>
        <v>2.4122174122174123</v>
      </c>
      <c r="BG116" s="32">
        <f t="shared" ref="BG116" si="488">AP116/O116</f>
        <v>1.8869223205506391</v>
      </c>
      <c r="BH116" s="32">
        <f t="shared" ref="BH116" si="489">AQ116/P116</f>
        <v>1.7973191587705108</v>
      </c>
      <c r="BI116" s="32">
        <f t="shared" ref="BI116:BK116" si="490">AR116/Q116</f>
        <v>1.5661340434975588</v>
      </c>
      <c r="BJ116" s="32">
        <f t="shared" si="490"/>
        <v>1.4969574036511155</v>
      </c>
      <c r="BK116" s="32">
        <f t="shared" si="490"/>
        <v>1.3769111836454218</v>
      </c>
      <c r="BL116" s="32">
        <f t="shared" si="466"/>
        <v>1.2411996842936071</v>
      </c>
      <c r="BM116" s="37"/>
      <c r="BN116" s="37"/>
      <c r="BO116" s="37"/>
      <c r="BP116" s="37"/>
      <c r="BQ116" s="37"/>
      <c r="BR116" s="118">
        <f t="shared" ref="BR116" si="491">BA116/INDEX(N116:P116,IF($A$2&lt;3,$A$2,3))</f>
        <v>1.7973191587705108</v>
      </c>
      <c r="BS116" s="118">
        <f t="shared" si="477"/>
        <v>1.3769111836454218</v>
      </c>
      <c r="BT116" s="118">
        <f t="shared" si="478"/>
        <v>1.2411996842936071</v>
      </c>
      <c r="BU116" s="37"/>
      <c r="BV116" s="118">
        <f t="shared" ref="BV116" si="492">BE116/Z116</f>
        <v>1.2411996842936071</v>
      </c>
    </row>
    <row r="117" spans="1:74" x14ac:dyDescent="0.25">
      <c r="B117" s="6">
        <f t="shared" ref="B117:S117" si="493">B24</f>
        <v>2496</v>
      </c>
      <c r="C117" s="6">
        <f t="shared" si="493"/>
        <v>2586</v>
      </c>
      <c r="D117" s="6">
        <f t="shared" si="493"/>
        <v>2805</v>
      </c>
      <c r="E117" s="6">
        <f t="shared" si="493"/>
        <v>3133</v>
      </c>
      <c r="F117" s="6">
        <f t="shared" si="493"/>
        <v>3046</v>
      </c>
      <c r="G117" s="6">
        <f t="shared" si="493"/>
        <v>3101</v>
      </c>
      <c r="H117" s="6">
        <f t="shared" si="493"/>
        <v>3127</v>
      </c>
      <c r="I117" s="6">
        <f t="shared" si="493"/>
        <v>3315</v>
      </c>
      <c r="J117" s="6">
        <f t="shared" si="493"/>
        <v>3461</v>
      </c>
      <c r="K117" s="6">
        <f t="shared" si="493"/>
        <v>3650</v>
      </c>
      <c r="L117" s="6">
        <f t="shared" si="493"/>
        <v>4000</v>
      </c>
      <c r="M117" s="6">
        <f t="shared" si="493"/>
        <v>4117</v>
      </c>
      <c r="N117" s="6">
        <f t="shared" si="493"/>
        <v>4156</v>
      </c>
      <c r="O117" s="6">
        <f t="shared" si="493"/>
        <v>4067</v>
      </c>
      <c r="P117" s="6">
        <f t="shared" si="493"/>
        <v>4326</v>
      </c>
      <c r="Q117" s="6">
        <f t="shared" si="493"/>
        <v>4505</v>
      </c>
      <c r="R117" s="6">
        <f t="shared" si="493"/>
        <v>4930</v>
      </c>
      <c r="S117" s="6">
        <f t="shared" si="493"/>
        <v>5819</v>
      </c>
      <c r="BF117" s="124"/>
    </row>
    <row r="118" spans="1:74" x14ac:dyDescent="0.25">
      <c r="BF118" s="124"/>
    </row>
    <row r="119" spans="1:74" s="20" customFormat="1" x14ac:dyDescent="0.25">
      <c r="A119" s="2" t="s">
        <v>15</v>
      </c>
      <c r="B119" s="3">
        <v>42005</v>
      </c>
      <c r="C119" s="3">
        <v>42036</v>
      </c>
      <c r="D119" s="3">
        <v>42064</v>
      </c>
      <c r="E119" s="3">
        <v>42095</v>
      </c>
      <c r="F119" s="3">
        <v>42125</v>
      </c>
      <c r="G119" s="3">
        <v>42156</v>
      </c>
      <c r="H119" s="3">
        <v>42186</v>
      </c>
      <c r="I119" s="3">
        <v>42217</v>
      </c>
      <c r="J119" s="3">
        <v>42248</v>
      </c>
      <c r="K119" s="3">
        <v>42278</v>
      </c>
      <c r="L119" s="3">
        <v>42309</v>
      </c>
      <c r="M119" s="3">
        <v>42339</v>
      </c>
      <c r="N119" s="3">
        <v>42370</v>
      </c>
      <c r="O119" s="3">
        <v>42401</v>
      </c>
      <c r="P119" s="3">
        <v>42430</v>
      </c>
      <c r="Q119" s="3">
        <v>42461</v>
      </c>
      <c r="R119" s="3">
        <v>42491</v>
      </c>
      <c r="S119" s="3">
        <v>42522</v>
      </c>
      <c r="T119" s="3">
        <v>42552</v>
      </c>
      <c r="U119" s="3">
        <v>42583</v>
      </c>
      <c r="V119" s="3">
        <v>42614</v>
      </c>
      <c r="W119" s="3">
        <v>42644</v>
      </c>
      <c r="X119" s="3">
        <v>42675</v>
      </c>
      <c r="Y119" s="3">
        <v>42705</v>
      </c>
      <c r="Z119" s="29" t="s">
        <v>18</v>
      </c>
      <c r="AA119" s="29" t="s">
        <v>19</v>
      </c>
      <c r="AB119" s="29" t="s">
        <v>20</v>
      </c>
      <c r="AC119" s="29" t="s">
        <v>21</v>
      </c>
      <c r="AD119" s="29" t="s">
        <v>22</v>
      </c>
      <c r="AE119" s="26" t="str">
        <f t="shared" ref="AE119:AI119" si="494">AE108</f>
        <v>YTD /15</v>
      </c>
      <c r="AF119" s="26" t="str">
        <f t="shared" si="494"/>
        <v>Q1 '15</v>
      </c>
      <c r="AG119" s="26" t="str">
        <f t="shared" si="494"/>
        <v>Q2 '15</v>
      </c>
      <c r="AH119" s="26" t="str">
        <f t="shared" si="494"/>
        <v>Q3 '15</v>
      </c>
      <c r="AI119" s="26" t="str">
        <f t="shared" si="494"/>
        <v>Q4 '15</v>
      </c>
      <c r="AJ119" s="30" t="s">
        <v>27</v>
      </c>
      <c r="AK119" s="30" t="s">
        <v>29</v>
      </c>
      <c r="AL119" s="30" t="s">
        <v>30</v>
      </c>
      <c r="AM119" s="30" t="s">
        <v>31</v>
      </c>
      <c r="AN119" s="30" t="s">
        <v>32</v>
      </c>
      <c r="AO119" s="108">
        <v>42736</v>
      </c>
      <c r="AP119" s="108">
        <v>42767</v>
      </c>
      <c r="AQ119" s="108">
        <v>42795</v>
      </c>
      <c r="AR119" s="108">
        <v>42826</v>
      </c>
      <c r="AS119" s="108">
        <v>42856</v>
      </c>
      <c r="AT119" s="108">
        <v>42887</v>
      </c>
      <c r="AU119" s="108">
        <v>42917</v>
      </c>
      <c r="AV119" s="108">
        <v>42948</v>
      </c>
      <c r="AW119" s="108">
        <v>42979</v>
      </c>
      <c r="AX119" s="108">
        <v>43009</v>
      </c>
      <c r="AY119" s="108">
        <v>43040</v>
      </c>
      <c r="AZ119" s="108">
        <v>43070</v>
      </c>
      <c r="BA119" s="29" t="s">
        <v>123</v>
      </c>
      <c r="BB119" s="29" t="s">
        <v>124</v>
      </c>
      <c r="BC119" s="29" t="s">
        <v>125</v>
      </c>
      <c r="BD119" s="29" t="s">
        <v>126</v>
      </c>
      <c r="BE119" s="29" t="str">
        <f>"YTD " &amp; A118 &amp;"/17"</f>
        <v>YTD /17</v>
      </c>
      <c r="BF119" s="121">
        <v>42736</v>
      </c>
      <c r="BG119" s="108">
        <v>42767</v>
      </c>
      <c r="BH119" s="108">
        <v>42795</v>
      </c>
      <c r="BI119" s="108">
        <v>42826</v>
      </c>
      <c r="BJ119" s="108">
        <v>42856</v>
      </c>
      <c r="BK119" s="108">
        <v>42887</v>
      </c>
      <c r="BL119" s="108">
        <v>42917</v>
      </c>
      <c r="BM119" s="108">
        <v>42948</v>
      </c>
      <c r="BN119" s="108">
        <v>42979</v>
      </c>
      <c r="BO119" s="108">
        <v>43009</v>
      </c>
      <c r="BP119" s="108">
        <v>43040</v>
      </c>
      <c r="BQ119" s="108">
        <v>43070</v>
      </c>
      <c r="BR119" s="29" t="s">
        <v>127</v>
      </c>
      <c r="BS119" s="29" t="s">
        <v>128</v>
      </c>
      <c r="BT119" s="29" t="s">
        <v>96</v>
      </c>
      <c r="BU119" s="29" t="s">
        <v>129</v>
      </c>
      <c r="BV119" s="112" t="s">
        <v>130</v>
      </c>
    </row>
    <row r="120" spans="1:74" s="20" customFormat="1" x14ac:dyDescent="0.25">
      <c r="A120" t="s">
        <v>17</v>
      </c>
      <c r="B120" s="6">
        <f>'Agency North'!C121+'Agency South'!C121</f>
        <v>350</v>
      </c>
      <c r="C120" s="6">
        <f>'Agency North'!D121+'Agency South'!D121</f>
        <v>183</v>
      </c>
      <c r="D120" s="6">
        <f>'Agency North'!E121+'Agency South'!E121</f>
        <v>388</v>
      </c>
      <c r="E120" s="6">
        <f>'Agency North'!F121+'Agency South'!F121</f>
        <v>478</v>
      </c>
      <c r="F120" s="6">
        <f>'Agency North'!G121+'Agency South'!G121</f>
        <v>404</v>
      </c>
      <c r="G120" s="6">
        <f>'Agency North'!H121+'Agency South'!H121</f>
        <v>426</v>
      </c>
      <c r="H120" s="6">
        <f>'Agency North'!I121+'Agency South'!I121</f>
        <v>446</v>
      </c>
      <c r="I120" s="6">
        <f>'Agency North'!J121+'Agency South'!J121</f>
        <v>428</v>
      </c>
      <c r="J120" s="6">
        <f>'Agency North'!K121+'Agency South'!K121</f>
        <v>475</v>
      </c>
      <c r="K120" s="6">
        <f>'Agency North'!L121+'Agency South'!L121</f>
        <v>408</v>
      </c>
      <c r="L120" s="6">
        <f>'Agency North'!M121+'Agency South'!M121</f>
        <v>746</v>
      </c>
      <c r="M120" s="6">
        <f>'Agency North'!N121+'Agency South'!N121</f>
        <v>548</v>
      </c>
      <c r="N120" s="6">
        <f>'Agency North'!O121+'Agency South'!O121</f>
        <v>191</v>
      </c>
      <c r="O120" s="6">
        <f>'Agency North'!P121+'Agency South'!P121</f>
        <v>188</v>
      </c>
      <c r="P120" s="6">
        <f>'Agency North'!Q121+'Agency South'!Q121</f>
        <v>627</v>
      </c>
      <c r="Q120" s="6">
        <f>'Agency North'!R121+'Agency South'!R121</f>
        <v>481</v>
      </c>
      <c r="R120" s="6">
        <f>'Agency North'!S121+'Agency South'!S121</f>
        <v>625</v>
      </c>
      <c r="S120" s="6">
        <f>'Agency North'!T121+'Agency South'!T121</f>
        <v>1127</v>
      </c>
      <c r="T120" s="6">
        <f>'Agency North'!U121+'Agency South'!U121</f>
        <v>826</v>
      </c>
      <c r="U120" s="6">
        <f>'Agency North'!V121+'Agency South'!V121</f>
        <v>949</v>
      </c>
      <c r="V120" s="6">
        <f>'Agency North'!W121+'Agency South'!W121</f>
        <v>1083</v>
      </c>
      <c r="W120" s="6">
        <f>'Agency North'!X121+'Agency South'!X121</f>
        <v>1014</v>
      </c>
      <c r="X120" s="6">
        <f>'Agency North'!Y121+'Agency South'!Y121</f>
        <v>1100</v>
      </c>
      <c r="Y120" s="6">
        <f>'Agency North'!Z121+'Agency South'!Z121</f>
        <v>1354</v>
      </c>
      <c r="Z120" s="22">
        <f>SUM(N120:INDEX(N120:Y120,$A$2))</f>
        <v>4065</v>
      </c>
      <c r="AA120" s="22">
        <f t="shared" ref="AA120:AA125" si="495">SUM(N120:P120)</f>
        <v>1006</v>
      </c>
      <c r="AB120" s="22">
        <f t="shared" ref="AB120:AB125" si="496">SUM(Q120:S120)</f>
        <v>2233</v>
      </c>
      <c r="AC120" s="22">
        <f t="shared" ref="AC120:AC125" si="497">SUM(T120:V120)</f>
        <v>2858</v>
      </c>
      <c r="AD120" s="22">
        <f t="shared" ref="AD120:AD125" si="498">SUM(W120:Y120)</f>
        <v>3468</v>
      </c>
      <c r="AE120" s="22">
        <f>SUM(B120                                                                                : INDEX(B120:M120,$A$2))</f>
        <v>2675</v>
      </c>
      <c r="AF120" s="22">
        <f t="shared" ref="AF120:AF126" si="499">SUM(B120:D120)</f>
        <v>921</v>
      </c>
      <c r="AG120" s="22">
        <f t="shared" ref="AG120:AG126" si="500">SUM(E120:G120)</f>
        <v>1308</v>
      </c>
      <c r="AH120" s="22">
        <f t="shared" ref="AH120:AH126" si="501">SUM(H120:J120)</f>
        <v>1349</v>
      </c>
      <c r="AI120" s="22">
        <f t="shared" ref="AI120:AI126" si="502">SUM(K120:M120)</f>
        <v>1702</v>
      </c>
      <c r="AJ120" s="31">
        <f>Z120/AE120-1</f>
        <v>0.51962616822429908</v>
      </c>
      <c r="AK120" s="31">
        <f t="shared" ref="AK120:AL126" si="503">AA120/AF120-1</f>
        <v>9.229098805646041E-2</v>
      </c>
      <c r="AL120" s="31">
        <f t="shared" si="503"/>
        <v>0.70718654434250761</v>
      </c>
      <c r="AM120" s="31">
        <f t="shared" ref="AM120:AM126" si="504">AC120/AH120-1</f>
        <v>1.1186063750926611</v>
      </c>
      <c r="AN120" s="31">
        <f t="shared" ref="AN120:AN126" si="505">AD120/AI120-1</f>
        <v>1.0376028202115157</v>
      </c>
      <c r="AO120" s="113">
        <f>'Agency North'!AP121+'Agency South'!AP121</f>
        <v>431</v>
      </c>
      <c r="AP120" s="113">
        <f>'Agency North'!AQ121+'Agency South'!AQ121</f>
        <v>920</v>
      </c>
      <c r="AQ120" s="113">
        <f>'Agency North'!AR121+'Agency South'!AR121</f>
        <v>1151</v>
      </c>
      <c r="AR120" s="113">
        <f>'Agency North'!AS121+'Agency South'!AS121</f>
        <v>905</v>
      </c>
      <c r="AS120" s="113">
        <f>'Agency North'!AT121+'Agency South'!AT121</f>
        <v>899</v>
      </c>
      <c r="AT120" s="113">
        <f>'Agency North'!AU121+'Agency South'!AU121</f>
        <v>1684</v>
      </c>
      <c r="AU120" s="113">
        <f>'Agency North'!AV121+'Agency South'!AV121</f>
        <v>1103</v>
      </c>
      <c r="AV120" s="113">
        <f>'Agency North'!AW121+'Agency South'!AW121</f>
        <v>0</v>
      </c>
      <c r="AW120" s="113">
        <f>'Agency North'!AX121+'Agency South'!AX121</f>
        <v>0</v>
      </c>
      <c r="AX120" s="113">
        <f>'Agency North'!AY121+'Agency South'!AY121</f>
        <v>0</v>
      </c>
      <c r="AY120" s="113">
        <f>'Agency North'!AZ121+'Agency South'!AZ121</f>
        <v>0</v>
      </c>
      <c r="AZ120" s="113">
        <f>'Agency North'!BA121+'Agency South'!BA121</f>
        <v>0</v>
      </c>
      <c r="BA120" s="113">
        <f>SUM(AO120:INDEX(AO120:AQ120,IF($A$2&lt;3,$A$2,3)))</f>
        <v>2502</v>
      </c>
      <c r="BB120" s="113" t="e">
        <f>SUM(AR120:INDEX(AR120:AT120,IF(AND($A$2&gt;3,A118&lt;7),$A$2-3,0)))</f>
        <v>#REF!</v>
      </c>
      <c r="BC120" s="113">
        <f>SUM(AU120:INDEX(AU120:AW120,IF(AND($A$2&gt;6,$A$2&lt;10),$A$2-6,0)))</f>
        <v>1103</v>
      </c>
      <c r="BD120" s="113">
        <f>SUM(AX120:INDEX(AX120:AZ120,IF($A$2&gt;9,$A$2-9,0)))</f>
        <v>0</v>
      </c>
      <c r="BE120" s="113">
        <f>SUM($AO120:INDEX(AO120:AZ120,$A$2))</f>
        <v>7093</v>
      </c>
      <c r="BF120" s="122">
        <f>IFERROR(AO120/N120,0)</f>
        <v>2.256544502617801</v>
      </c>
      <c r="BG120" s="111">
        <f t="shared" ref="BG120:BQ125" si="506">IFERROR(AP120/O120,0)</f>
        <v>4.8936170212765955</v>
      </c>
      <c r="BH120" s="111">
        <f t="shared" si="506"/>
        <v>1.835725677830941</v>
      </c>
      <c r="BI120" s="111">
        <f t="shared" si="506"/>
        <v>1.8814968814968815</v>
      </c>
      <c r="BJ120" s="111">
        <f t="shared" si="506"/>
        <v>1.4383999999999999</v>
      </c>
      <c r="BK120" s="111">
        <f t="shared" si="506"/>
        <v>1.4942324755989351</v>
      </c>
      <c r="BL120" s="111">
        <f t="shared" si="506"/>
        <v>1.3353510895883778</v>
      </c>
      <c r="BM120" s="111">
        <f t="shared" si="506"/>
        <v>0</v>
      </c>
      <c r="BN120" s="111">
        <f t="shared" si="506"/>
        <v>0</v>
      </c>
      <c r="BO120" s="111">
        <f t="shared" si="506"/>
        <v>0</v>
      </c>
      <c r="BP120" s="111">
        <f t="shared" si="506"/>
        <v>0</v>
      </c>
      <c r="BQ120" s="111">
        <f t="shared" si="506"/>
        <v>0</v>
      </c>
      <c r="BR120" s="111">
        <f>IFERROR(BA120/SUM(N120:INDEX(N120:P120,IF($A$2&lt;3,$A$2,3))),0)</f>
        <v>2.4870775347912524</v>
      </c>
      <c r="BS120" s="111">
        <f>IFERROR(BB120/SUM(Q120:INDEX(Q120:S120,IF($A$2&lt;7,$A$2-3,3))),0)</f>
        <v>0</v>
      </c>
      <c r="BT120" s="111">
        <f>IFERROR(BC120/SUM(T120:INDEX(T120:V120,IF($A$2&lt;3,$A$2,3))),0)</f>
        <v>0.38593421973407976</v>
      </c>
      <c r="BU120" s="111">
        <f>IFERROR(BD120/SUM(W120:INDEX(W120:Y120,IF($A$2&lt;3,$A$2,3))),0)</f>
        <v>0</v>
      </c>
      <c r="BV120" s="111">
        <f>IFERROR(BE120/Z120,0)</f>
        <v>1.7448954489544894</v>
      </c>
    </row>
    <row r="121" spans="1:74" s="20" customFormat="1" x14ac:dyDescent="0.25">
      <c r="A121" t="s">
        <v>34</v>
      </c>
      <c r="B121" s="6">
        <f>'Agency North'!C122+'Agency South'!C122</f>
        <v>19</v>
      </c>
      <c r="C121" s="6">
        <f>'Agency North'!D122+'Agency South'!D122</f>
        <v>8</v>
      </c>
      <c r="D121" s="6">
        <f>'Agency North'!E122+'Agency South'!E122</f>
        <v>16</v>
      </c>
      <c r="E121" s="6">
        <f>'Agency North'!F122+'Agency South'!F122</f>
        <v>6</v>
      </c>
      <c r="F121" s="6">
        <f>'Agency North'!G122+'Agency South'!G122</f>
        <v>4</v>
      </c>
      <c r="G121" s="6">
        <f>'Agency North'!H122+'Agency South'!H122</f>
        <v>2</v>
      </c>
      <c r="H121" s="6">
        <f>'Agency North'!I122+'Agency South'!I122</f>
        <v>0</v>
      </c>
      <c r="I121" s="6">
        <f>'Agency North'!J122+'Agency South'!J122</f>
        <v>0</v>
      </c>
      <c r="J121" s="6">
        <f>'Agency North'!K122+'Agency South'!K122</f>
        <v>0</v>
      </c>
      <c r="K121" s="6">
        <f>'Agency North'!L122+'Agency South'!L122</f>
        <v>0</v>
      </c>
      <c r="L121" s="6">
        <f>'Agency North'!M122+'Agency South'!M122</f>
        <v>0</v>
      </c>
      <c r="M121" s="6">
        <f>'Agency North'!N122+'Agency South'!N122</f>
        <v>0</v>
      </c>
      <c r="N121" s="6">
        <f>'Agency North'!O122+'Agency South'!O122</f>
        <v>0</v>
      </c>
      <c r="O121" s="6">
        <f>'Agency North'!P122+'Agency South'!P122</f>
        <v>0</v>
      </c>
      <c r="P121" s="6">
        <f>'Agency North'!Q122+'Agency South'!Q122</f>
        <v>0</v>
      </c>
      <c r="Q121" s="6">
        <f>'Agency North'!R122+'Agency South'!R122</f>
        <v>0</v>
      </c>
      <c r="R121" s="6">
        <f>'Agency North'!S122+'Agency South'!S122</f>
        <v>0</v>
      </c>
      <c r="S121" s="6">
        <f>'Agency North'!T122+'Agency South'!T122</f>
        <v>0</v>
      </c>
      <c r="T121" s="6">
        <f>'Agency North'!U122+'Agency South'!U122</f>
        <v>0</v>
      </c>
      <c r="U121" s="6">
        <f>'Agency North'!V122+'Agency South'!V122</f>
        <v>0</v>
      </c>
      <c r="V121" s="6">
        <f>'Agency North'!W122+'Agency South'!W122</f>
        <v>0</v>
      </c>
      <c r="W121" s="6">
        <f>'Agency North'!X122+'Agency South'!X122</f>
        <v>0</v>
      </c>
      <c r="X121" s="6">
        <f>'Agency North'!Y122+'Agency South'!Y122</f>
        <v>0</v>
      </c>
      <c r="Y121" s="6">
        <f>'Agency North'!Z122+'Agency South'!Z122</f>
        <v>0</v>
      </c>
      <c r="Z121" s="22">
        <f>SUM(N121:INDEX(N121:Y121,$A$2))</f>
        <v>0</v>
      </c>
      <c r="AA121" s="22">
        <f t="shared" si="495"/>
        <v>0</v>
      </c>
      <c r="AB121" s="22">
        <f t="shared" si="496"/>
        <v>0</v>
      </c>
      <c r="AC121" s="22">
        <f t="shared" si="497"/>
        <v>0</v>
      </c>
      <c r="AD121" s="22">
        <f t="shared" si="498"/>
        <v>0</v>
      </c>
      <c r="AE121" s="22">
        <f>SUM(B121                                                                                : INDEX(B121:M121,$A$2))</f>
        <v>55</v>
      </c>
      <c r="AF121" s="22">
        <f t="shared" si="499"/>
        <v>43</v>
      </c>
      <c r="AG121" s="22">
        <f t="shared" si="500"/>
        <v>12</v>
      </c>
      <c r="AH121" s="22">
        <f t="shared" si="501"/>
        <v>0</v>
      </c>
      <c r="AI121" s="22">
        <f t="shared" si="502"/>
        <v>0</v>
      </c>
      <c r="AJ121" s="31">
        <f t="shared" ref="AJ121:AJ126" si="507">Z121/AE121-1</f>
        <v>-1</v>
      </c>
      <c r="AK121" s="31">
        <f t="shared" si="503"/>
        <v>-1</v>
      </c>
      <c r="AL121" s="31">
        <f t="shared" si="503"/>
        <v>-1</v>
      </c>
      <c r="AM121" s="31">
        <f>IFERROR(AC121/AH121-1,0)</f>
        <v>0</v>
      </c>
      <c r="AN121" s="31">
        <f>IFERROR(AD121/AI121-1,0)</f>
        <v>0</v>
      </c>
      <c r="AO121" s="113">
        <f>'Agency North'!AP122+'Agency South'!AP122</f>
        <v>0</v>
      </c>
      <c r="AP121" s="113">
        <f>'Agency North'!AQ122+'Agency South'!AQ122</f>
        <v>1</v>
      </c>
      <c r="AQ121" s="113">
        <f>'Agency North'!AR122+'Agency South'!AR122</f>
        <v>0</v>
      </c>
      <c r="AR121" s="113">
        <f>'Agency North'!AS122+'Agency South'!AS122</f>
        <v>0</v>
      </c>
      <c r="AS121" s="113">
        <f>'Agency North'!AT122+'Agency South'!AT122</f>
        <v>0</v>
      </c>
      <c r="AT121" s="113">
        <f>'Agency North'!AU122+'Agency South'!AU122</f>
        <v>2</v>
      </c>
      <c r="AU121" s="113">
        <f>'Agency North'!AV122+'Agency South'!AV122</f>
        <v>0</v>
      </c>
      <c r="AV121" s="113">
        <f>'Agency North'!AW122+'Agency South'!AW122</f>
        <v>0</v>
      </c>
      <c r="AW121" s="113">
        <f>'Agency North'!AX122+'Agency South'!AX122</f>
        <v>0</v>
      </c>
      <c r="AX121" s="113">
        <f>'Agency North'!AY122+'Agency South'!AY122</f>
        <v>0</v>
      </c>
      <c r="AY121" s="113">
        <f>'Agency North'!AZ122+'Agency South'!AZ122</f>
        <v>0</v>
      </c>
      <c r="AZ121" s="113">
        <f>'Agency North'!BA122+'Agency South'!BA122</f>
        <v>0</v>
      </c>
      <c r="BA121" s="113">
        <f>SUM(AO121:INDEX(AO121:AQ121,IF($A$2&lt;3,$A$2,3)))</f>
        <v>1</v>
      </c>
      <c r="BB121" s="113">
        <f>SUM(AR121:INDEX(AR121:AT121,IF(AND($A$2&gt;3,A119&lt;7),$A$2-3,0)))</f>
        <v>2</v>
      </c>
      <c r="BC121" s="113">
        <f>SUM(AU121:INDEX(AU121:AW121,IF(AND($A$2&gt;6,$A$2&lt;10),$A$2-6,0)))</f>
        <v>0</v>
      </c>
      <c r="BD121" s="113">
        <f>SUM(AX121:INDEX(AX121:AZ121,IF($A$2&gt;9,$A$2-9,0)))</f>
        <v>0</v>
      </c>
      <c r="BE121" s="113">
        <f>SUM($AO121:INDEX(AO121:AZ121,$A$2))</f>
        <v>3</v>
      </c>
      <c r="BF121" s="122">
        <f t="shared" ref="BF121:BF125" si="508">IFERROR(AO121/N121,0)</f>
        <v>0</v>
      </c>
      <c r="BG121" s="111">
        <f t="shared" si="506"/>
        <v>0</v>
      </c>
      <c r="BH121" s="111">
        <f t="shared" si="506"/>
        <v>0</v>
      </c>
      <c r="BI121" s="111">
        <f t="shared" si="506"/>
        <v>0</v>
      </c>
      <c r="BJ121" s="111">
        <f t="shared" si="506"/>
        <v>0</v>
      </c>
      <c r="BK121" s="111">
        <f t="shared" si="506"/>
        <v>0</v>
      </c>
      <c r="BL121" s="111">
        <f t="shared" si="506"/>
        <v>0</v>
      </c>
      <c r="BM121" s="111">
        <f t="shared" si="506"/>
        <v>0</v>
      </c>
      <c r="BN121" s="111">
        <f t="shared" si="506"/>
        <v>0</v>
      </c>
      <c r="BO121" s="111">
        <f t="shared" si="506"/>
        <v>0</v>
      </c>
      <c r="BP121" s="111">
        <f t="shared" si="506"/>
        <v>0</v>
      </c>
      <c r="BQ121" s="111">
        <f t="shared" si="506"/>
        <v>0</v>
      </c>
      <c r="BR121" s="111">
        <f>IFERROR(BA121/SUM(N121:INDEX(N121:P121,IF($A$2&lt;3,$A$2,3))),0)</f>
        <v>0</v>
      </c>
      <c r="BS121" s="111">
        <f>IFERROR(BB121/SUM(Q121:INDEX(Q121:S121,IF($A$2&lt;7,$A$2-3,3))),0)</f>
        <v>0</v>
      </c>
      <c r="BT121" s="111">
        <f>IFERROR(BC121/SUM(T121:INDEX(T121:V121,IF($A$2&lt;3,$A$2,3))),0)</f>
        <v>0</v>
      </c>
      <c r="BU121" s="111">
        <f>IFERROR(BD121/SUM(W121:INDEX(W121:Y121,IF($A$2&lt;3,$A$2,3))),0)</f>
        <v>0</v>
      </c>
      <c r="BV121" s="111">
        <f t="shared" ref="BV121:BV126" si="509">IFERROR(BE121/Z121,0)</f>
        <v>0</v>
      </c>
    </row>
    <row r="122" spans="1:74" s="20" customFormat="1" x14ac:dyDescent="0.25">
      <c r="A122" t="s">
        <v>35</v>
      </c>
      <c r="B122" s="6">
        <f>'Agency North'!C123+'Agency South'!C123</f>
        <v>51</v>
      </c>
      <c r="C122" s="6">
        <f>'Agency North'!D123+'Agency South'!D123</f>
        <v>20</v>
      </c>
      <c r="D122" s="6">
        <f>'Agency North'!E123+'Agency South'!E123</f>
        <v>38</v>
      </c>
      <c r="E122" s="6">
        <f>'Agency North'!F123+'Agency South'!F123</f>
        <v>70</v>
      </c>
      <c r="F122" s="6">
        <f>'Agency North'!G123+'Agency South'!G123</f>
        <v>51</v>
      </c>
      <c r="G122" s="6">
        <f>'Agency North'!H123+'Agency South'!H123</f>
        <v>56</v>
      </c>
      <c r="H122" s="6">
        <f>'Agency North'!I123+'Agency South'!I123</f>
        <v>44</v>
      </c>
      <c r="I122" s="6">
        <f>'Agency North'!J123+'Agency South'!J123</f>
        <v>50</v>
      </c>
      <c r="J122" s="6">
        <f>'Agency North'!K123+'Agency South'!K123</f>
        <v>75</v>
      </c>
      <c r="K122" s="6">
        <f>'Agency North'!L123+'Agency South'!L123</f>
        <v>47</v>
      </c>
      <c r="L122" s="6">
        <f>'Agency North'!M123+'Agency South'!M123</f>
        <v>57</v>
      </c>
      <c r="M122" s="6">
        <f>'Agency North'!N123+'Agency South'!N123</f>
        <v>40</v>
      </c>
      <c r="N122" s="6">
        <f>'Agency North'!O123+'Agency South'!O123</f>
        <v>12</v>
      </c>
      <c r="O122" s="6">
        <f>'Agency North'!P123+'Agency South'!P123</f>
        <v>6</v>
      </c>
      <c r="P122" s="6">
        <f>'Agency North'!Q123+'Agency South'!Q123</f>
        <v>44</v>
      </c>
      <c r="Q122" s="6">
        <f>'Agency North'!R123+'Agency South'!R123</f>
        <v>53</v>
      </c>
      <c r="R122" s="6">
        <f>'Agency North'!S123+'Agency South'!S123</f>
        <v>96</v>
      </c>
      <c r="S122" s="6">
        <f>'Agency North'!T123+'Agency South'!T123</f>
        <v>133</v>
      </c>
      <c r="T122" s="6">
        <f>'Agency North'!U123+'Agency South'!U123</f>
        <v>81</v>
      </c>
      <c r="U122" s="6">
        <f>'Agency North'!V123+'Agency South'!V123</f>
        <v>85</v>
      </c>
      <c r="V122" s="6">
        <f>'Agency North'!W123+'Agency South'!W123</f>
        <v>127</v>
      </c>
      <c r="W122" s="6">
        <f>'Agency North'!X123+'Agency South'!X123</f>
        <v>131</v>
      </c>
      <c r="X122" s="6">
        <f>'Agency North'!Y123+'Agency South'!Y123</f>
        <v>166</v>
      </c>
      <c r="Y122" s="6">
        <f>'Agency North'!Z123+'Agency South'!Z123</f>
        <v>116</v>
      </c>
      <c r="Z122" s="22">
        <f>SUM(N122:INDEX(N122:Y122,$A$2))</f>
        <v>425</v>
      </c>
      <c r="AA122" s="22">
        <f t="shared" si="495"/>
        <v>62</v>
      </c>
      <c r="AB122" s="22">
        <f t="shared" si="496"/>
        <v>282</v>
      </c>
      <c r="AC122" s="22">
        <f t="shared" si="497"/>
        <v>293</v>
      </c>
      <c r="AD122" s="22">
        <f t="shared" si="498"/>
        <v>413</v>
      </c>
      <c r="AE122" s="22">
        <f>SUM(B122                                                                                : INDEX(B122:M122,$A$2))</f>
        <v>330</v>
      </c>
      <c r="AF122" s="22">
        <f t="shared" si="499"/>
        <v>109</v>
      </c>
      <c r="AG122" s="22">
        <f t="shared" si="500"/>
        <v>177</v>
      </c>
      <c r="AH122" s="22">
        <f t="shared" si="501"/>
        <v>169</v>
      </c>
      <c r="AI122" s="22">
        <f t="shared" si="502"/>
        <v>144</v>
      </c>
      <c r="AJ122" s="31">
        <f t="shared" si="507"/>
        <v>0.28787878787878785</v>
      </c>
      <c r="AK122" s="31">
        <f t="shared" si="503"/>
        <v>-0.43119266055045868</v>
      </c>
      <c r="AL122" s="31">
        <f t="shared" si="503"/>
        <v>0.59322033898305082</v>
      </c>
      <c r="AM122" s="31">
        <f t="shared" si="504"/>
        <v>0.73372781065088755</v>
      </c>
      <c r="AN122" s="31">
        <f t="shared" si="505"/>
        <v>1.8680555555555554</v>
      </c>
      <c r="AO122" s="113">
        <f>'Agency North'!AP123+'Agency South'!AP123</f>
        <v>51</v>
      </c>
      <c r="AP122" s="113">
        <f>'Agency North'!AQ123+'Agency South'!AQ123</f>
        <v>89</v>
      </c>
      <c r="AQ122" s="113">
        <f>'Agency North'!AR123+'Agency South'!AR123</f>
        <v>40</v>
      </c>
      <c r="AR122" s="113">
        <f>'Agency North'!AS123+'Agency South'!AS123</f>
        <v>41</v>
      </c>
      <c r="AS122" s="113">
        <f>'Agency North'!AT123+'Agency South'!AT123</f>
        <v>33</v>
      </c>
      <c r="AT122" s="113">
        <f>'Agency North'!AU123+'Agency South'!AU123</f>
        <v>43</v>
      </c>
      <c r="AU122" s="113">
        <f>'Agency North'!AV123+'Agency South'!AV123</f>
        <v>46</v>
      </c>
      <c r="AV122" s="113">
        <f>'Agency North'!AW123+'Agency South'!AW123</f>
        <v>0</v>
      </c>
      <c r="AW122" s="113">
        <f>'Agency North'!AX123+'Agency South'!AX123</f>
        <v>0</v>
      </c>
      <c r="AX122" s="113">
        <f>'Agency North'!AY123+'Agency South'!AY123</f>
        <v>0</v>
      </c>
      <c r="AY122" s="113">
        <f>'Agency North'!AZ123+'Agency South'!AZ123</f>
        <v>0</v>
      </c>
      <c r="AZ122" s="113">
        <f>'Agency North'!BA123+'Agency South'!BA123</f>
        <v>0</v>
      </c>
      <c r="BA122" s="113">
        <f>SUM(AO122:INDEX(AO122:AQ122,IF($A$2&lt;3,$A$2,3)))</f>
        <v>180</v>
      </c>
      <c r="BB122" s="113">
        <f>SUM(AR122:INDEX(AR122:AT122,IF(AND($A$2&gt;3,A120&lt;7),$A$2-3,0)))</f>
        <v>117</v>
      </c>
      <c r="BC122" s="113">
        <f>SUM(AU122:INDEX(AU122:AW122,IF(AND($A$2&gt;6,$A$2&lt;10),$A$2-6,0)))</f>
        <v>46</v>
      </c>
      <c r="BD122" s="113">
        <f>SUM(AX122:INDEX(AX122:AZ122,IF($A$2&gt;9,$A$2-9,0)))</f>
        <v>0</v>
      </c>
      <c r="BE122" s="113">
        <f>SUM($AO122:INDEX(AO122:AZ122,$A$2))</f>
        <v>343</v>
      </c>
      <c r="BF122" s="122">
        <f t="shared" si="508"/>
        <v>4.25</v>
      </c>
      <c r="BG122" s="111">
        <f t="shared" si="506"/>
        <v>14.833333333333334</v>
      </c>
      <c r="BH122" s="111">
        <f t="shared" si="506"/>
        <v>0.90909090909090906</v>
      </c>
      <c r="BI122" s="111">
        <f t="shared" si="506"/>
        <v>0.77358490566037741</v>
      </c>
      <c r="BJ122" s="111">
        <f t="shared" si="506"/>
        <v>0.34375</v>
      </c>
      <c r="BK122" s="111">
        <f t="shared" si="506"/>
        <v>0.32330827067669171</v>
      </c>
      <c r="BL122" s="111">
        <f t="shared" si="506"/>
        <v>0.5679012345679012</v>
      </c>
      <c r="BM122" s="111">
        <f t="shared" si="506"/>
        <v>0</v>
      </c>
      <c r="BN122" s="111">
        <f t="shared" si="506"/>
        <v>0</v>
      </c>
      <c r="BO122" s="111">
        <f t="shared" si="506"/>
        <v>0</v>
      </c>
      <c r="BP122" s="111">
        <f t="shared" si="506"/>
        <v>0</v>
      </c>
      <c r="BQ122" s="111">
        <f t="shared" si="506"/>
        <v>0</v>
      </c>
      <c r="BR122" s="111">
        <f>IFERROR(BA122/SUM(N122:INDEX(N122:P122,IF($A$2&lt;3,$A$2,3))),0)</f>
        <v>2.903225806451613</v>
      </c>
      <c r="BS122" s="111">
        <f>IFERROR(BB122/SUM(Q122:INDEX(Q122:S122,IF($A$2&lt;7,$A$2-3,3))),0)</f>
        <v>0.41489361702127658</v>
      </c>
      <c r="BT122" s="111">
        <f>IFERROR(BC122/SUM(T122:INDEX(T122:V122,IF($A$2&lt;3,$A$2,3))),0)</f>
        <v>0.15699658703071673</v>
      </c>
      <c r="BU122" s="111">
        <f>IFERROR(BD122/SUM(W122:INDEX(W122:Y122,IF($A$2&lt;3,$A$2,3))),0)</f>
        <v>0</v>
      </c>
      <c r="BV122" s="111">
        <f t="shared" si="509"/>
        <v>0.80705882352941172</v>
      </c>
    </row>
    <row r="123" spans="1:74" s="20" customFormat="1" x14ac:dyDescent="0.25">
      <c r="A123" t="s">
        <v>36</v>
      </c>
      <c r="B123" s="6">
        <f>'Agency North'!C124+'Agency South'!C124</f>
        <v>12</v>
      </c>
      <c r="C123" s="6">
        <f>'Agency North'!D124+'Agency South'!D124</f>
        <v>2</v>
      </c>
      <c r="D123" s="6">
        <f>'Agency North'!E124+'Agency South'!E124</f>
        <v>11</v>
      </c>
      <c r="E123" s="6">
        <f>'Agency North'!F124+'Agency South'!F124</f>
        <v>27</v>
      </c>
      <c r="F123" s="6">
        <f>'Agency North'!G124+'Agency South'!G124</f>
        <v>10</v>
      </c>
      <c r="G123" s="6">
        <f>'Agency North'!H124+'Agency South'!H124</f>
        <v>18</v>
      </c>
      <c r="H123" s="6">
        <f>'Agency North'!I124+'Agency South'!I124</f>
        <v>13</v>
      </c>
      <c r="I123" s="6">
        <f>'Agency North'!J124+'Agency South'!J124</f>
        <v>10</v>
      </c>
      <c r="J123" s="6">
        <f>'Agency North'!K124+'Agency South'!K124</f>
        <v>19</v>
      </c>
      <c r="K123" s="6">
        <f>'Agency North'!L124+'Agency South'!L124</f>
        <v>8</v>
      </c>
      <c r="L123" s="6">
        <f>'Agency North'!M124+'Agency South'!M124</f>
        <v>8</v>
      </c>
      <c r="M123" s="6">
        <f>'Agency North'!N124+'Agency South'!N124</f>
        <v>11</v>
      </c>
      <c r="N123" s="6">
        <f>'Agency North'!O124+'Agency South'!O124</f>
        <v>1</v>
      </c>
      <c r="O123" s="6">
        <f>'Agency North'!P124+'Agency South'!P124</f>
        <v>1</v>
      </c>
      <c r="P123" s="6">
        <f>'Agency North'!Q124+'Agency South'!Q124</f>
        <v>15</v>
      </c>
      <c r="Q123" s="6">
        <f>'Agency North'!R124+'Agency South'!R124</f>
        <v>17</v>
      </c>
      <c r="R123" s="6">
        <f>'Agency North'!S124+'Agency South'!S124</f>
        <v>23</v>
      </c>
      <c r="S123" s="6">
        <f>'Agency North'!T124+'Agency South'!T124</f>
        <v>31</v>
      </c>
      <c r="T123" s="6">
        <f>'Agency North'!U124+'Agency South'!U124</f>
        <v>14</v>
      </c>
      <c r="U123" s="6">
        <f>'Agency North'!V124+'Agency South'!V124</f>
        <v>18</v>
      </c>
      <c r="V123" s="6">
        <f>'Agency North'!W124+'Agency South'!W124</f>
        <v>40</v>
      </c>
      <c r="W123" s="6">
        <f>'Agency North'!X124+'Agency South'!X124</f>
        <v>26</v>
      </c>
      <c r="X123" s="6">
        <f>'Agency North'!Y124+'Agency South'!Y124</f>
        <v>38</v>
      </c>
      <c r="Y123" s="6">
        <f>'Agency North'!Z124+'Agency South'!Z124</f>
        <v>29</v>
      </c>
      <c r="Z123" s="22">
        <f>SUM(N123:INDEX(N123:Y123,$A$2))</f>
        <v>102</v>
      </c>
      <c r="AA123" s="22">
        <f t="shared" si="495"/>
        <v>17</v>
      </c>
      <c r="AB123" s="22">
        <f t="shared" si="496"/>
        <v>71</v>
      </c>
      <c r="AC123" s="22">
        <f t="shared" si="497"/>
        <v>72</v>
      </c>
      <c r="AD123" s="22">
        <f t="shared" si="498"/>
        <v>93</v>
      </c>
      <c r="AE123" s="22">
        <f>SUM(B123                                                                                : INDEX(B123:M123,$A$2))</f>
        <v>93</v>
      </c>
      <c r="AF123" s="22">
        <f t="shared" si="499"/>
        <v>25</v>
      </c>
      <c r="AG123" s="22">
        <f t="shared" si="500"/>
        <v>55</v>
      </c>
      <c r="AH123" s="22">
        <f t="shared" si="501"/>
        <v>42</v>
      </c>
      <c r="AI123" s="22">
        <f t="shared" si="502"/>
        <v>27</v>
      </c>
      <c r="AJ123" s="31">
        <f t="shared" si="507"/>
        <v>9.6774193548387011E-2</v>
      </c>
      <c r="AK123" s="31">
        <f t="shared" si="503"/>
        <v>-0.31999999999999995</v>
      </c>
      <c r="AL123" s="31">
        <f t="shared" si="503"/>
        <v>0.29090909090909101</v>
      </c>
      <c r="AM123" s="31">
        <f t="shared" si="504"/>
        <v>0.71428571428571419</v>
      </c>
      <c r="AN123" s="31">
        <f t="shared" si="505"/>
        <v>2.4444444444444446</v>
      </c>
      <c r="AO123" s="113">
        <f>'Agency North'!AP124+'Agency South'!AP124</f>
        <v>20</v>
      </c>
      <c r="AP123" s="113">
        <f>'Agency North'!AQ124+'Agency South'!AQ124</f>
        <v>25</v>
      </c>
      <c r="AQ123" s="113">
        <f>'Agency North'!AR124+'Agency South'!AR124</f>
        <v>15</v>
      </c>
      <c r="AR123" s="113">
        <f>'Agency North'!AS124+'Agency South'!AS124</f>
        <v>7</v>
      </c>
      <c r="AS123" s="113">
        <f>'Agency North'!AT124+'Agency South'!AT124</f>
        <v>13</v>
      </c>
      <c r="AT123" s="113">
        <f>'Agency North'!AU124+'Agency South'!AU124</f>
        <v>5</v>
      </c>
      <c r="AU123" s="113">
        <f>'Agency North'!AV124+'Agency South'!AV124</f>
        <v>7</v>
      </c>
      <c r="AV123" s="113">
        <f>'Agency North'!AW124+'Agency South'!AW124</f>
        <v>0</v>
      </c>
      <c r="AW123" s="113">
        <f>'Agency North'!AX124+'Agency South'!AX124</f>
        <v>0</v>
      </c>
      <c r="AX123" s="113">
        <f>'Agency North'!AY124+'Agency South'!AY124</f>
        <v>0</v>
      </c>
      <c r="AY123" s="113">
        <f>'Agency North'!AZ124+'Agency South'!AZ124</f>
        <v>0</v>
      </c>
      <c r="AZ123" s="113">
        <f>'Agency North'!BA124+'Agency South'!BA124</f>
        <v>0</v>
      </c>
      <c r="BA123" s="113">
        <f>SUM(AO123:INDEX(AO123:AQ123,IF($A$2&lt;3,$A$2,3)))</f>
        <v>60</v>
      </c>
      <c r="BB123" s="113">
        <f>SUM(AR123:INDEX(AR123:AT123,IF(AND($A$2&gt;3,A121&lt;7),$A$2-3,0)))</f>
        <v>25</v>
      </c>
      <c r="BC123" s="113">
        <f>SUM(AU123:INDEX(AU123:AW123,IF(AND($A$2&gt;6,$A$2&lt;10),$A$2-6,0)))</f>
        <v>7</v>
      </c>
      <c r="BD123" s="113">
        <f>SUM(AX123:INDEX(AX123:AZ123,IF($A$2&gt;9,$A$2-9,0)))</f>
        <v>0</v>
      </c>
      <c r="BE123" s="113">
        <f>SUM($AO123:INDEX(AO123:AZ123,$A$2))</f>
        <v>92</v>
      </c>
      <c r="BF123" s="122">
        <f t="shared" si="508"/>
        <v>20</v>
      </c>
      <c r="BG123" s="111">
        <f t="shared" si="506"/>
        <v>25</v>
      </c>
      <c r="BH123" s="111">
        <f t="shared" si="506"/>
        <v>1</v>
      </c>
      <c r="BI123" s="111">
        <f t="shared" si="506"/>
        <v>0.41176470588235292</v>
      </c>
      <c r="BJ123" s="111">
        <f t="shared" si="506"/>
        <v>0.56521739130434778</v>
      </c>
      <c r="BK123" s="111">
        <f t="shared" si="506"/>
        <v>0.16129032258064516</v>
      </c>
      <c r="BL123" s="111">
        <f t="shared" si="506"/>
        <v>0.5</v>
      </c>
      <c r="BM123" s="111">
        <f t="shared" si="506"/>
        <v>0</v>
      </c>
      <c r="BN123" s="111">
        <f t="shared" si="506"/>
        <v>0</v>
      </c>
      <c r="BO123" s="111">
        <f t="shared" si="506"/>
        <v>0</v>
      </c>
      <c r="BP123" s="111">
        <f t="shared" si="506"/>
        <v>0</v>
      </c>
      <c r="BQ123" s="111">
        <f t="shared" si="506"/>
        <v>0</v>
      </c>
      <c r="BR123" s="111">
        <f>IFERROR(BA123/SUM(N123:INDEX(N123:P123,IF($A$2&lt;3,$A$2,3))),0)</f>
        <v>3.5294117647058822</v>
      </c>
      <c r="BS123" s="111">
        <f>IFERROR(BB123/SUM(Q123:INDEX(Q123:S123,IF($A$2&lt;7,$A$2-3,3))),0)</f>
        <v>0.352112676056338</v>
      </c>
      <c r="BT123" s="111">
        <f>IFERROR(BC123/SUM(T123:INDEX(T123:V123,IF($A$2&lt;3,$A$2,3))),0)</f>
        <v>9.7222222222222224E-2</v>
      </c>
      <c r="BU123" s="111">
        <f>IFERROR(BD123/SUM(W123:INDEX(W123:Y123,IF($A$2&lt;3,$A$2,3))),0)</f>
        <v>0</v>
      </c>
      <c r="BV123" s="111">
        <f t="shared" si="509"/>
        <v>0.90196078431372551</v>
      </c>
    </row>
    <row r="124" spans="1:74" s="20" customFormat="1" x14ac:dyDescent="0.25">
      <c r="A124" t="s">
        <v>37</v>
      </c>
      <c r="B124" s="6">
        <f>'Agency North'!C125+'Agency South'!C125</f>
        <v>8</v>
      </c>
      <c r="C124" s="6">
        <f>'Agency North'!D125+'Agency South'!D125</f>
        <v>2</v>
      </c>
      <c r="D124" s="6">
        <f>'Agency North'!E125+'Agency South'!E125</f>
        <v>7</v>
      </c>
      <c r="E124" s="6">
        <f>'Agency North'!F125+'Agency South'!F125</f>
        <v>6</v>
      </c>
      <c r="F124" s="6">
        <f>'Agency North'!G125+'Agency South'!G125</f>
        <v>3</v>
      </c>
      <c r="G124" s="6">
        <f>'Agency North'!H125+'Agency South'!H125</f>
        <v>3</v>
      </c>
      <c r="H124" s="6">
        <f>'Agency North'!I125+'Agency South'!I125</f>
        <v>2</v>
      </c>
      <c r="I124" s="6">
        <f>'Agency North'!J125+'Agency South'!J125</f>
        <v>2</v>
      </c>
      <c r="J124" s="6">
        <f>'Agency North'!K125+'Agency South'!K125</f>
        <v>5</v>
      </c>
      <c r="K124" s="6">
        <f>'Agency North'!L125+'Agency South'!L125</f>
        <v>2</v>
      </c>
      <c r="L124" s="6">
        <f>'Agency North'!M125+'Agency South'!M125</f>
        <v>2</v>
      </c>
      <c r="M124" s="6">
        <f>'Agency North'!N125+'Agency South'!N125</f>
        <v>1</v>
      </c>
      <c r="N124" s="6">
        <f>'Agency North'!O125+'Agency South'!O125</f>
        <v>1</v>
      </c>
      <c r="O124" s="6">
        <f>'Agency North'!P125+'Agency South'!P125</f>
        <v>1</v>
      </c>
      <c r="P124" s="6">
        <f>'Agency North'!Q125+'Agency South'!Q125</f>
        <v>3</v>
      </c>
      <c r="Q124" s="6">
        <f>'Agency North'!R125+'Agency South'!R125</f>
        <v>2</v>
      </c>
      <c r="R124" s="6">
        <f>'Agency North'!S125+'Agency South'!S125</f>
        <v>8</v>
      </c>
      <c r="S124" s="6">
        <f>'Agency North'!T125+'Agency South'!T125</f>
        <v>9</v>
      </c>
      <c r="T124" s="6">
        <f>'Agency North'!U125+'Agency South'!U125</f>
        <v>5</v>
      </c>
      <c r="U124" s="6">
        <f>'Agency North'!V125+'Agency South'!V125</f>
        <v>5</v>
      </c>
      <c r="V124" s="6">
        <f>'Agency North'!W125+'Agency South'!W125</f>
        <v>16</v>
      </c>
      <c r="W124" s="6">
        <f>'Agency North'!X125+'Agency South'!X125</f>
        <v>14</v>
      </c>
      <c r="X124" s="6">
        <f>'Agency North'!Y125+'Agency South'!Y125</f>
        <v>10</v>
      </c>
      <c r="Y124" s="6">
        <f>'Agency North'!Z125+'Agency South'!Z125</f>
        <v>4</v>
      </c>
      <c r="Z124" s="22">
        <f>SUM(N124:INDEX(N124:Y124,$A$2))</f>
        <v>29</v>
      </c>
      <c r="AA124" s="22">
        <f t="shared" si="495"/>
        <v>5</v>
      </c>
      <c r="AB124" s="22">
        <f t="shared" si="496"/>
        <v>19</v>
      </c>
      <c r="AC124" s="22">
        <f t="shared" si="497"/>
        <v>26</v>
      </c>
      <c r="AD124" s="22">
        <f t="shared" si="498"/>
        <v>28</v>
      </c>
      <c r="AE124" s="22">
        <f>SUM(B124                                                                                : INDEX(B124:M124,$A$2))</f>
        <v>31</v>
      </c>
      <c r="AF124" s="22">
        <f t="shared" si="499"/>
        <v>17</v>
      </c>
      <c r="AG124" s="22">
        <f t="shared" si="500"/>
        <v>12</v>
      </c>
      <c r="AH124" s="22">
        <f t="shared" si="501"/>
        <v>9</v>
      </c>
      <c r="AI124" s="22">
        <f t="shared" si="502"/>
        <v>5</v>
      </c>
      <c r="AJ124" s="31">
        <f t="shared" si="507"/>
        <v>-6.4516129032258118E-2</v>
      </c>
      <c r="AK124" s="31">
        <f t="shared" si="503"/>
        <v>-0.70588235294117641</v>
      </c>
      <c r="AL124" s="31">
        <f t="shared" si="503"/>
        <v>0.58333333333333326</v>
      </c>
      <c r="AM124" s="31">
        <f t="shared" si="504"/>
        <v>1.8888888888888888</v>
      </c>
      <c r="AN124" s="31">
        <f t="shared" si="505"/>
        <v>4.5999999999999996</v>
      </c>
      <c r="AO124" s="113">
        <f>'Agency North'!AP125+'Agency South'!AP125</f>
        <v>4</v>
      </c>
      <c r="AP124" s="113">
        <f>'Agency North'!AQ125+'Agency South'!AQ125</f>
        <v>11</v>
      </c>
      <c r="AQ124" s="113">
        <f>'Agency North'!AR125+'Agency South'!AR125</f>
        <v>3</v>
      </c>
      <c r="AR124" s="113">
        <f>'Agency North'!AS125+'Agency South'!AS125</f>
        <v>5</v>
      </c>
      <c r="AS124" s="113">
        <f>'Agency North'!AT125+'Agency South'!AT125</f>
        <v>6</v>
      </c>
      <c r="AT124" s="113">
        <f>'Agency North'!AU125+'Agency South'!AU125</f>
        <v>3</v>
      </c>
      <c r="AU124" s="113">
        <f>'Agency North'!AV125+'Agency South'!AV125</f>
        <v>5</v>
      </c>
      <c r="AV124" s="113">
        <f>'Agency North'!AW125+'Agency South'!AW125</f>
        <v>0</v>
      </c>
      <c r="AW124" s="113">
        <f>'Agency North'!AX125+'Agency South'!AX125</f>
        <v>0</v>
      </c>
      <c r="AX124" s="113">
        <f>'Agency North'!AY125+'Agency South'!AY125</f>
        <v>0</v>
      </c>
      <c r="AY124" s="113">
        <f>'Agency North'!AZ125+'Agency South'!AZ125</f>
        <v>0</v>
      </c>
      <c r="AZ124" s="113">
        <f>'Agency North'!BA125+'Agency South'!BA125</f>
        <v>0</v>
      </c>
      <c r="BA124" s="113">
        <f>SUM(AO124:INDEX(AO124:AQ124,IF($A$2&lt;3,$A$2,3)))</f>
        <v>18</v>
      </c>
      <c r="BB124" s="113">
        <f>SUM(AR124:INDEX(AR124:AT124,IF(AND($A$2&gt;3,A122&lt;7),$A$2-3,0)))</f>
        <v>14</v>
      </c>
      <c r="BC124" s="113">
        <f>SUM(AU124:INDEX(AU124:AW124,IF(AND($A$2&gt;6,$A$2&lt;10),$A$2-6,0)))</f>
        <v>5</v>
      </c>
      <c r="BD124" s="113">
        <f>SUM(AX124:INDEX(AX124:AZ124,IF($A$2&gt;9,$A$2-9,0)))</f>
        <v>0</v>
      </c>
      <c r="BE124" s="113">
        <f>SUM($AO124:INDEX(AO124:AZ124,$A$2))</f>
        <v>37</v>
      </c>
      <c r="BF124" s="122">
        <f t="shared" si="508"/>
        <v>4</v>
      </c>
      <c r="BG124" s="111">
        <f t="shared" si="506"/>
        <v>11</v>
      </c>
      <c r="BH124" s="111">
        <f t="shared" si="506"/>
        <v>1</v>
      </c>
      <c r="BI124" s="111">
        <f t="shared" si="506"/>
        <v>2.5</v>
      </c>
      <c r="BJ124" s="111">
        <f t="shared" si="506"/>
        <v>0.75</v>
      </c>
      <c r="BK124" s="111">
        <f t="shared" si="506"/>
        <v>0.33333333333333331</v>
      </c>
      <c r="BL124" s="111">
        <f t="shared" si="506"/>
        <v>1</v>
      </c>
      <c r="BM124" s="111">
        <f t="shared" si="506"/>
        <v>0</v>
      </c>
      <c r="BN124" s="111">
        <f t="shared" si="506"/>
        <v>0</v>
      </c>
      <c r="BO124" s="111">
        <f t="shared" si="506"/>
        <v>0</v>
      </c>
      <c r="BP124" s="111">
        <f t="shared" si="506"/>
        <v>0</v>
      </c>
      <c r="BQ124" s="111">
        <f t="shared" si="506"/>
        <v>0</v>
      </c>
      <c r="BR124" s="111">
        <f>IFERROR(BA124/SUM(N124:INDEX(N124:P124,IF($A$2&lt;3,$A$2,3))),0)</f>
        <v>3.6</v>
      </c>
      <c r="BS124" s="111">
        <f>IFERROR(BB124/SUM(Q124:INDEX(Q124:S124,IF($A$2&lt;7,$A$2-3,3))),0)</f>
        <v>0.73684210526315785</v>
      </c>
      <c r="BT124" s="111">
        <f>IFERROR(BC124/SUM(T124:INDEX(T124:V124,IF($A$2&lt;3,$A$2,3))),0)</f>
        <v>0.19230769230769232</v>
      </c>
      <c r="BU124" s="111">
        <f>IFERROR(BD124/SUM(W124:INDEX(W124:Y124,IF($A$2&lt;3,$A$2,3))),0)</f>
        <v>0</v>
      </c>
      <c r="BV124" s="111">
        <f t="shared" si="509"/>
        <v>1.2758620689655173</v>
      </c>
    </row>
    <row r="125" spans="1:74" s="20" customFormat="1" x14ac:dyDescent="0.25">
      <c r="A125" t="s">
        <v>38</v>
      </c>
      <c r="B125" s="6">
        <f>'Agency North'!C126+'Agency South'!C126</f>
        <v>0</v>
      </c>
      <c r="C125" s="6">
        <f>'Agency North'!D126+'Agency South'!D126</f>
        <v>1</v>
      </c>
      <c r="D125" s="6">
        <f>'Agency North'!E126+'Agency South'!E126</f>
        <v>0</v>
      </c>
      <c r="E125" s="6">
        <f>'Agency North'!F126+'Agency South'!F126</f>
        <v>4</v>
      </c>
      <c r="F125" s="6">
        <f>'Agency North'!G126+'Agency South'!G126</f>
        <v>2</v>
      </c>
      <c r="G125" s="6">
        <f>'Agency North'!H126+'Agency South'!H126</f>
        <v>1</v>
      </c>
      <c r="H125" s="6">
        <f>'Agency North'!I126+'Agency South'!I126</f>
        <v>2</v>
      </c>
      <c r="I125" s="6">
        <f>'Agency North'!J126+'Agency South'!J126</f>
        <v>1</v>
      </c>
      <c r="J125" s="6">
        <f>'Agency North'!K126+'Agency South'!K126</f>
        <v>3</v>
      </c>
      <c r="K125" s="6">
        <f>'Agency North'!L126+'Agency South'!L126</f>
        <v>2</v>
      </c>
      <c r="L125" s="6">
        <f>'Agency North'!M126+'Agency South'!M126</f>
        <v>0</v>
      </c>
      <c r="M125" s="6">
        <f>'Agency North'!N126+'Agency South'!N126</f>
        <v>1</v>
      </c>
      <c r="N125" s="6">
        <f>'Agency North'!O126+'Agency South'!O126</f>
        <v>0</v>
      </c>
      <c r="O125" s="6">
        <f>'Agency North'!P126+'Agency South'!P126</f>
        <v>1</v>
      </c>
      <c r="P125" s="6">
        <f>'Agency North'!Q126+'Agency South'!Q126</f>
        <v>4</v>
      </c>
      <c r="Q125" s="6">
        <f>'Agency North'!R126+'Agency South'!R126</f>
        <v>3</v>
      </c>
      <c r="R125" s="6">
        <f>'Agency North'!S126+'Agency South'!S126</f>
        <v>3</v>
      </c>
      <c r="S125" s="6">
        <f>'Agency North'!T126+'Agency South'!T126</f>
        <v>7</v>
      </c>
      <c r="T125" s="6">
        <f>'Agency North'!U126+'Agency South'!U126</f>
        <v>3</v>
      </c>
      <c r="U125" s="6">
        <f>'Agency North'!V126+'Agency South'!V126</f>
        <v>4</v>
      </c>
      <c r="V125" s="6">
        <f>'Agency North'!W126+'Agency South'!W126</f>
        <v>9</v>
      </c>
      <c r="W125" s="6">
        <f>'Agency North'!X126+'Agency South'!X126</f>
        <v>5</v>
      </c>
      <c r="X125" s="6">
        <f>'Agency North'!Y126+'Agency South'!Y126</f>
        <v>5</v>
      </c>
      <c r="Y125" s="6">
        <f>'Agency North'!Z126+'Agency South'!Z126</f>
        <v>4</v>
      </c>
      <c r="Z125" s="22">
        <f>SUM(N125:INDEX(N125:Y125,$A$2))</f>
        <v>21</v>
      </c>
      <c r="AA125" s="22">
        <f t="shared" si="495"/>
        <v>5</v>
      </c>
      <c r="AB125" s="22">
        <f t="shared" si="496"/>
        <v>13</v>
      </c>
      <c r="AC125" s="22">
        <f t="shared" si="497"/>
        <v>16</v>
      </c>
      <c r="AD125" s="22">
        <f t="shared" si="498"/>
        <v>14</v>
      </c>
      <c r="AE125" s="22">
        <f>SUM(B125                                                                                : INDEX(B125:M125,$A$2))</f>
        <v>10</v>
      </c>
      <c r="AF125" s="22">
        <f t="shared" si="499"/>
        <v>1</v>
      </c>
      <c r="AG125" s="22">
        <f t="shared" si="500"/>
        <v>7</v>
      </c>
      <c r="AH125" s="22">
        <f t="shared" si="501"/>
        <v>6</v>
      </c>
      <c r="AI125" s="22">
        <f t="shared" si="502"/>
        <v>3</v>
      </c>
      <c r="AJ125" s="31">
        <f>IFERROR(Z125/AE125-1,0)</f>
        <v>1.1000000000000001</v>
      </c>
      <c r="AK125" s="31">
        <f t="shared" si="503"/>
        <v>4</v>
      </c>
      <c r="AL125" s="31">
        <f t="shared" si="503"/>
        <v>0.85714285714285721</v>
      </c>
      <c r="AM125" s="31">
        <f t="shared" si="504"/>
        <v>1.6666666666666665</v>
      </c>
      <c r="AN125" s="31">
        <f t="shared" si="505"/>
        <v>3.666666666666667</v>
      </c>
      <c r="AO125" s="113">
        <f>'Agency North'!AP126+'Agency South'!AP126</f>
        <v>3</v>
      </c>
      <c r="AP125" s="113">
        <f>'Agency North'!AQ126+'Agency South'!AQ126</f>
        <v>6</v>
      </c>
      <c r="AQ125" s="113">
        <f>'Agency North'!AR126+'Agency South'!AR126</f>
        <v>0</v>
      </c>
      <c r="AR125" s="113">
        <f>'Agency North'!AS126+'Agency South'!AS126</f>
        <v>4</v>
      </c>
      <c r="AS125" s="113">
        <f>'Agency North'!AT126+'Agency South'!AT126</f>
        <v>2</v>
      </c>
      <c r="AT125" s="113">
        <f>'Agency North'!AU126+'Agency South'!AU126</f>
        <v>2</v>
      </c>
      <c r="AU125" s="113">
        <f>'Agency North'!AV126+'Agency South'!AV126</f>
        <v>3</v>
      </c>
      <c r="AV125" s="113">
        <f>'Agency North'!AW126+'Agency South'!AW126</f>
        <v>0</v>
      </c>
      <c r="AW125" s="113">
        <f>'Agency North'!AX126+'Agency South'!AX126</f>
        <v>0</v>
      </c>
      <c r="AX125" s="113">
        <f>'Agency North'!AY126+'Agency South'!AY126</f>
        <v>0</v>
      </c>
      <c r="AY125" s="113">
        <f>'Agency North'!AZ126+'Agency South'!AZ126</f>
        <v>0</v>
      </c>
      <c r="AZ125" s="113">
        <f>'Agency North'!BA126+'Agency South'!BA126</f>
        <v>0</v>
      </c>
      <c r="BA125" s="113">
        <f>SUM(AO125:INDEX(AO125:AQ125,IF($A$2&lt;3,$A$2,3)))</f>
        <v>9</v>
      </c>
      <c r="BB125" s="113">
        <f>SUM(AR125:INDEX(AR125:AT125,IF(AND($A$2&gt;3,A123&lt;7),$A$2-3,0)))</f>
        <v>8</v>
      </c>
      <c r="BC125" s="113">
        <f>SUM(AU125:INDEX(AU125:AW125,IF(AND($A$2&gt;6,$A$2&lt;10),$A$2-6,0)))</f>
        <v>3</v>
      </c>
      <c r="BD125" s="113">
        <f>SUM(AX125:INDEX(AX125:AZ125,IF($A$2&gt;9,$A$2-9,0)))</f>
        <v>0</v>
      </c>
      <c r="BE125" s="113">
        <f>SUM($AO125:INDEX(AO125:AZ125,$A$2))</f>
        <v>20</v>
      </c>
      <c r="BF125" s="122">
        <f t="shared" si="508"/>
        <v>0</v>
      </c>
      <c r="BG125" s="111">
        <f t="shared" si="506"/>
        <v>6</v>
      </c>
      <c r="BH125" s="111">
        <f t="shared" si="506"/>
        <v>0</v>
      </c>
      <c r="BI125" s="111">
        <f t="shared" si="506"/>
        <v>1.3333333333333333</v>
      </c>
      <c r="BJ125" s="111">
        <f t="shared" si="506"/>
        <v>0.66666666666666663</v>
      </c>
      <c r="BK125" s="111">
        <f t="shared" si="506"/>
        <v>0.2857142857142857</v>
      </c>
      <c r="BL125" s="111">
        <f t="shared" si="506"/>
        <v>1</v>
      </c>
      <c r="BM125" s="111">
        <f t="shared" si="506"/>
        <v>0</v>
      </c>
      <c r="BN125" s="111">
        <f t="shared" si="506"/>
        <v>0</v>
      </c>
      <c r="BO125" s="111">
        <f t="shared" si="506"/>
        <v>0</v>
      </c>
      <c r="BP125" s="111">
        <f t="shared" si="506"/>
        <v>0</v>
      </c>
      <c r="BQ125" s="111">
        <f t="shared" si="506"/>
        <v>0</v>
      </c>
      <c r="BR125" s="111">
        <f>IFERROR(BA125/SUM(N125:INDEX(N125:P125,IF($A$2&lt;3,$A$2,3))),0)</f>
        <v>1.8</v>
      </c>
      <c r="BS125" s="111">
        <f>IFERROR(BB125/SUM(Q125:INDEX(Q125:S125,IF($A$2&lt;7,$A$2-3,3))),0)</f>
        <v>0.61538461538461542</v>
      </c>
      <c r="BT125" s="111">
        <f>IFERROR(BC125/SUM(T125:INDEX(T125:V125,IF($A$2&lt;3,$A$2,3))),0)</f>
        <v>0.1875</v>
      </c>
      <c r="BU125" s="111">
        <f>IFERROR(BD125/SUM(W125:INDEX(W125:Y125,IF($A$2&lt;3,$A$2,3))),0)</f>
        <v>0</v>
      </c>
      <c r="BV125" s="111">
        <f t="shared" si="509"/>
        <v>0.95238095238095233</v>
      </c>
    </row>
    <row r="126" spans="1:74" s="20" customFormat="1" x14ac:dyDescent="0.25">
      <c r="A126" s="1" t="s">
        <v>3</v>
      </c>
      <c r="B126" s="7">
        <f>SUM(B120:B125)</f>
        <v>440</v>
      </c>
      <c r="C126" s="7">
        <f t="shared" ref="C126:AD126" si="510">SUM(C120:C125)</f>
        <v>216</v>
      </c>
      <c r="D126" s="7">
        <f t="shared" si="510"/>
        <v>460</v>
      </c>
      <c r="E126" s="7">
        <f t="shared" si="510"/>
        <v>591</v>
      </c>
      <c r="F126" s="7">
        <f t="shared" si="510"/>
        <v>474</v>
      </c>
      <c r="G126" s="7">
        <f t="shared" si="510"/>
        <v>506</v>
      </c>
      <c r="H126" s="7">
        <f t="shared" si="510"/>
        <v>507</v>
      </c>
      <c r="I126" s="7">
        <f t="shared" si="510"/>
        <v>491</v>
      </c>
      <c r="J126" s="7">
        <f t="shared" si="510"/>
        <v>577</v>
      </c>
      <c r="K126" s="7">
        <f t="shared" si="510"/>
        <v>467</v>
      </c>
      <c r="L126" s="7">
        <f t="shared" si="510"/>
        <v>813</v>
      </c>
      <c r="M126" s="7">
        <f t="shared" si="510"/>
        <v>601</v>
      </c>
      <c r="N126" s="7">
        <f t="shared" si="510"/>
        <v>205</v>
      </c>
      <c r="O126" s="7">
        <f t="shared" si="510"/>
        <v>197</v>
      </c>
      <c r="P126" s="7">
        <f t="shared" si="510"/>
        <v>693</v>
      </c>
      <c r="Q126" s="7">
        <f t="shared" si="510"/>
        <v>556</v>
      </c>
      <c r="R126" s="7">
        <f t="shared" si="510"/>
        <v>755</v>
      </c>
      <c r="S126" s="7">
        <f t="shared" si="510"/>
        <v>1307</v>
      </c>
      <c r="T126" s="7">
        <f>SUM(T120:T125)</f>
        <v>929</v>
      </c>
      <c r="U126" s="7">
        <f t="shared" si="510"/>
        <v>1061</v>
      </c>
      <c r="V126" s="7">
        <f t="shared" si="510"/>
        <v>1275</v>
      </c>
      <c r="W126" s="7">
        <f t="shared" si="510"/>
        <v>1190</v>
      </c>
      <c r="X126" s="7">
        <f t="shared" si="510"/>
        <v>1319</v>
      </c>
      <c r="Y126" s="7">
        <f t="shared" si="510"/>
        <v>1507</v>
      </c>
      <c r="Z126" s="7">
        <f>SUM(N126:INDEX(N126:Y126,$A$2))</f>
        <v>4642</v>
      </c>
      <c r="AA126" s="7">
        <f t="shared" si="510"/>
        <v>1095</v>
      </c>
      <c r="AB126" s="7">
        <f t="shared" si="510"/>
        <v>2618</v>
      </c>
      <c r="AC126" s="7">
        <f t="shared" si="510"/>
        <v>3265</v>
      </c>
      <c r="AD126" s="7">
        <f t="shared" si="510"/>
        <v>4016</v>
      </c>
      <c r="AE126" s="7">
        <f>SUM(B126                                                                                : INDEX(B126:M126,$A$2))</f>
        <v>3194</v>
      </c>
      <c r="AF126" s="7">
        <f t="shared" si="499"/>
        <v>1116</v>
      </c>
      <c r="AG126" s="7">
        <f t="shared" si="500"/>
        <v>1571</v>
      </c>
      <c r="AH126" s="7">
        <f t="shared" si="501"/>
        <v>1575</v>
      </c>
      <c r="AI126" s="7">
        <f t="shared" si="502"/>
        <v>1881</v>
      </c>
      <c r="AJ126" s="32">
        <f t="shared" si="507"/>
        <v>0.45335003130870377</v>
      </c>
      <c r="AK126" s="32">
        <f t="shared" si="503"/>
        <v>-1.8817204301075252E-2</v>
      </c>
      <c r="AL126" s="32">
        <f t="shared" si="503"/>
        <v>0.66645448758752379</v>
      </c>
      <c r="AM126" s="32">
        <f t="shared" si="504"/>
        <v>1.0730158730158732</v>
      </c>
      <c r="AN126" s="32">
        <f t="shared" si="505"/>
        <v>1.1350345560871875</v>
      </c>
      <c r="AO126" s="113">
        <f t="shared" ref="AO126:BA126" si="511">SUM(AO120:AO125)</f>
        <v>509</v>
      </c>
      <c r="AP126" s="113">
        <f t="shared" si="511"/>
        <v>1052</v>
      </c>
      <c r="AQ126" s="113">
        <f t="shared" si="511"/>
        <v>1209</v>
      </c>
      <c r="AR126" s="113">
        <f t="shared" si="511"/>
        <v>962</v>
      </c>
      <c r="AS126" s="113">
        <f t="shared" si="511"/>
        <v>953</v>
      </c>
      <c r="AT126" s="113">
        <f t="shared" si="511"/>
        <v>1739</v>
      </c>
      <c r="AU126" s="113">
        <f t="shared" si="511"/>
        <v>1164</v>
      </c>
      <c r="AV126" s="113">
        <f t="shared" si="511"/>
        <v>0</v>
      </c>
      <c r="AW126" s="113">
        <f t="shared" si="511"/>
        <v>0</v>
      </c>
      <c r="AX126" s="113">
        <f t="shared" si="511"/>
        <v>0</v>
      </c>
      <c r="AY126" s="113">
        <f t="shared" si="511"/>
        <v>0</v>
      </c>
      <c r="AZ126" s="113">
        <f t="shared" si="511"/>
        <v>0</v>
      </c>
      <c r="BA126" s="117">
        <f t="shared" si="511"/>
        <v>2770</v>
      </c>
      <c r="BB126" s="117">
        <f>SUM(AR126:INDEX(AR126:AT126,IF(AND($A$2&gt;3,A124&lt;7),$A$2-3,0)))</f>
        <v>3654</v>
      </c>
      <c r="BC126" s="117">
        <f>SUM(AU126:INDEX(AU126:AW126,IF(AND($A$2&gt;6,$A$2&lt;10),$A$2-6,0)))</f>
        <v>1164</v>
      </c>
      <c r="BD126" s="117">
        <f>SUM(AX126:INDEX(AX126:AZ126,IF($A$2&gt;9,$A$2-9,0)))</f>
        <v>0</v>
      </c>
      <c r="BE126" s="117">
        <f>SUM($AO126:INDEX(AO126:AZ126,$A$2))</f>
        <v>7588</v>
      </c>
      <c r="BF126" s="123">
        <f t="shared" ref="BF126" si="512">AO126/N126</f>
        <v>2.4829268292682927</v>
      </c>
      <c r="BG126" s="118">
        <f t="shared" ref="BG126" si="513">AP126/O126</f>
        <v>5.3401015228426392</v>
      </c>
      <c r="BH126" s="118">
        <f t="shared" ref="BH126" si="514">AQ126/P126</f>
        <v>1.7445887445887447</v>
      </c>
      <c r="BI126" s="118">
        <f t="shared" ref="BI126" si="515">AR126/Q126</f>
        <v>1.7302158273381294</v>
      </c>
      <c r="BJ126" s="118">
        <f t="shared" ref="BJ126" si="516">AS126/R126</f>
        <v>1.262251655629139</v>
      </c>
      <c r="BK126" s="118">
        <f t="shared" ref="BK126" si="517">AT126/S126</f>
        <v>1.3305279265493497</v>
      </c>
      <c r="BL126" s="118">
        <f t="shared" ref="BL126" si="518">AU126/T126</f>
        <v>1.2529601722282024</v>
      </c>
      <c r="BM126" s="118">
        <f t="shared" ref="BM126" si="519">AV126/U126</f>
        <v>0</v>
      </c>
      <c r="BN126" s="118">
        <f t="shared" ref="BN126" si="520">AW126/V126</f>
        <v>0</v>
      </c>
      <c r="BO126" s="118">
        <f t="shared" ref="BO126" si="521">AX126/W126</f>
        <v>0</v>
      </c>
      <c r="BP126" s="118">
        <f t="shared" ref="BP126" si="522">AY126/X126</f>
        <v>0</v>
      </c>
      <c r="BQ126" s="118">
        <f t="shared" ref="BQ126" si="523">AZ126/Y126</f>
        <v>0</v>
      </c>
      <c r="BR126" s="118">
        <f>IFERROR(BA126/SUM(N126:INDEX(N126:P126,IF($A$2&lt;3,$A$2,3))),0)</f>
        <v>2.5296803652968038</v>
      </c>
      <c r="BS126" s="118">
        <f>IFERROR(BB126/SUM(Q126:INDEX(Q126:S126,IF($A$2&lt;7,$A$2-3,3))),0)</f>
        <v>1.3957219251336899</v>
      </c>
      <c r="BT126" s="118">
        <f>IFERROR(BC126/SUM(T126:INDEX(T126:V126,IF($A$2&lt;3,$A$2,3))),0)</f>
        <v>0.35650842266462479</v>
      </c>
      <c r="BU126" s="118">
        <f>IFERROR(BD126/SUM(W126:INDEX(W126:Y126,IF($A$2&lt;3,$A$2,3))),0)</f>
        <v>0</v>
      </c>
      <c r="BV126" s="118">
        <f t="shared" si="509"/>
        <v>1.6346402412753123</v>
      </c>
    </row>
    <row r="127" spans="1:74" x14ac:dyDescent="0.25">
      <c r="B127" s="6">
        <f t="shared" ref="B127:L127" si="524">B92</f>
        <v>448</v>
      </c>
      <c r="C127" s="6">
        <f t="shared" si="524"/>
        <v>219</v>
      </c>
      <c r="D127" s="6">
        <f t="shared" si="524"/>
        <v>462</v>
      </c>
      <c r="E127" s="6">
        <f t="shared" si="524"/>
        <v>595</v>
      </c>
      <c r="F127" s="6">
        <f t="shared" si="524"/>
        <v>476</v>
      </c>
      <c r="G127" s="6">
        <f t="shared" si="524"/>
        <v>507</v>
      </c>
      <c r="H127" s="6">
        <f t="shared" si="524"/>
        <v>508</v>
      </c>
      <c r="I127" s="6">
        <f t="shared" si="524"/>
        <v>492</v>
      </c>
      <c r="J127" s="6">
        <f t="shared" si="524"/>
        <v>575</v>
      </c>
      <c r="K127" s="6">
        <f t="shared" si="524"/>
        <v>464</v>
      </c>
      <c r="L127" s="6">
        <f t="shared" si="524"/>
        <v>809</v>
      </c>
      <c r="M127" s="6">
        <f>M92</f>
        <v>610</v>
      </c>
      <c r="N127" s="6">
        <f t="shared" ref="N127:T127" si="525">N92</f>
        <v>206</v>
      </c>
      <c r="O127" s="6">
        <f t="shared" si="525"/>
        <v>198</v>
      </c>
      <c r="P127" s="6">
        <f t="shared" si="525"/>
        <v>685</v>
      </c>
      <c r="Q127" s="6">
        <f t="shared" si="525"/>
        <v>545</v>
      </c>
      <c r="R127" s="6">
        <f t="shared" si="525"/>
        <v>749</v>
      </c>
      <c r="S127" s="6">
        <f t="shared" si="525"/>
        <v>1300</v>
      </c>
      <c r="T127" s="6">
        <f t="shared" si="525"/>
        <v>929</v>
      </c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</row>
    <row r="129" spans="1:77" x14ac:dyDescent="0.25">
      <c r="A129" s="2" t="s">
        <v>47</v>
      </c>
      <c r="B129" s="3">
        <v>42005</v>
      </c>
      <c r="C129" s="3">
        <v>42036</v>
      </c>
      <c r="D129" s="3">
        <v>42064</v>
      </c>
      <c r="E129" s="3">
        <v>42095</v>
      </c>
      <c r="F129" s="3">
        <v>42125</v>
      </c>
      <c r="G129" s="3">
        <v>42156</v>
      </c>
      <c r="H129" s="3">
        <v>42186</v>
      </c>
      <c r="I129" s="3">
        <v>42217</v>
      </c>
      <c r="J129" s="3">
        <v>42248</v>
      </c>
      <c r="K129" s="3">
        <v>42278</v>
      </c>
      <c r="L129" s="3">
        <v>42309</v>
      </c>
      <c r="M129" s="3">
        <v>42339</v>
      </c>
      <c r="N129" s="3">
        <v>42370</v>
      </c>
      <c r="O129" s="3">
        <v>42401</v>
      </c>
      <c r="P129" s="3">
        <v>42430</v>
      </c>
      <c r="Q129" s="3">
        <v>42461</v>
      </c>
      <c r="R129" s="3">
        <v>42491</v>
      </c>
      <c r="S129" s="3">
        <v>42522</v>
      </c>
      <c r="T129" s="3">
        <v>42552</v>
      </c>
      <c r="U129" s="3">
        <v>42583</v>
      </c>
      <c r="V129" s="3">
        <v>42614</v>
      </c>
      <c r="W129" s="3">
        <v>42644</v>
      </c>
      <c r="X129" s="3">
        <v>42675</v>
      </c>
      <c r="Y129" s="3">
        <v>42705</v>
      </c>
      <c r="Z129" s="18" t="s">
        <v>122</v>
      </c>
      <c r="AO129" s="108">
        <v>42736</v>
      </c>
      <c r="AP129" s="108">
        <v>42767</v>
      </c>
      <c r="AQ129" s="108">
        <v>42795</v>
      </c>
      <c r="AR129" s="108">
        <v>42826</v>
      </c>
      <c r="AS129" s="108">
        <v>42856</v>
      </c>
      <c r="AT129" s="108">
        <v>42887</v>
      </c>
      <c r="AU129" s="108">
        <v>42917</v>
      </c>
      <c r="AV129" s="108">
        <v>42948</v>
      </c>
      <c r="AW129" s="108">
        <v>42979</v>
      </c>
      <c r="AX129" s="108">
        <v>43009</v>
      </c>
      <c r="AY129" s="108">
        <v>43040</v>
      </c>
      <c r="AZ129" s="108">
        <v>43070</v>
      </c>
      <c r="BA129" s="29" t="s">
        <v>123</v>
      </c>
      <c r="BB129" s="29" t="s">
        <v>124</v>
      </c>
      <c r="BC129" s="29" t="s">
        <v>125</v>
      </c>
      <c r="BD129" s="29" t="s">
        <v>126</v>
      </c>
      <c r="BE129" s="29" t="str">
        <f>"YTD " &amp; A128 &amp;"/17"</f>
        <v>YTD /17</v>
      </c>
      <c r="BF129" s="108">
        <v>42736</v>
      </c>
      <c r="BG129" s="108">
        <v>42767</v>
      </c>
      <c r="BH129" s="108">
        <v>42795</v>
      </c>
      <c r="BI129" s="108">
        <v>42826</v>
      </c>
      <c r="BJ129" s="108">
        <v>42856</v>
      </c>
      <c r="BK129" s="108">
        <v>42887</v>
      </c>
      <c r="BL129" s="108">
        <v>42917</v>
      </c>
      <c r="BM129" s="108">
        <v>42948</v>
      </c>
      <c r="BN129" s="108">
        <v>42979</v>
      </c>
      <c r="BO129" s="108">
        <v>43009</v>
      </c>
      <c r="BP129" s="108">
        <v>43040</v>
      </c>
      <c r="BQ129" s="108">
        <v>43070</v>
      </c>
      <c r="BR129" s="29" t="s">
        <v>127</v>
      </c>
      <c r="BS129" s="29" t="s">
        <v>128</v>
      </c>
      <c r="BT129" s="29" t="s">
        <v>96</v>
      </c>
      <c r="BU129" s="29" t="s">
        <v>129</v>
      </c>
      <c r="BV129" s="112" t="s">
        <v>130</v>
      </c>
    </row>
    <row r="130" spans="1:77" x14ac:dyDescent="0.25">
      <c r="A130" t="s">
        <v>5</v>
      </c>
      <c r="B130" s="8">
        <v>0.21262111309481932</v>
      </c>
      <c r="C130" s="8">
        <v>0.12550006868156918</v>
      </c>
      <c r="D130" s="8">
        <v>0.15252401662255535</v>
      </c>
      <c r="E130" s="8">
        <v>0.20720532101352498</v>
      </c>
      <c r="F130" s="8">
        <v>0.17397816289510715</v>
      </c>
      <c r="G130" s="8">
        <v>0.14465571370954175</v>
      </c>
      <c r="H130" s="8">
        <v>0.1558796774204817</v>
      </c>
      <c r="I130" s="8">
        <v>0.17664562659413122</v>
      </c>
      <c r="J130" s="8">
        <v>0.16514076198955696</v>
      </c>
      <c r="K130" s="8">
        <v>0.14954541302589053</v>
      </c>
      <c r="L130" s="8">
        <v>0.21068415726554748</v>
      </c>
      <c r="M130" s="8">
        <v>0.15319723696220608</v>
      </c>
      <c r="N130" s="8">
        <v>0.10657568359013686</v>
      </c>
      <c r="O130" s="8">
        <v>7.992238323488346E-2</v>
      </c>
      <c r="P130" s="8">
        <v>0.26717322539217886</v>
      </c>
      <c r="Q130" s="8">
        <v>0.24146886900346712</v>
      </c>
      <c r="R130" s="8">
        <v>0.21720141590413253</v>
      </c>
      <c r="S130" s="8">
        <v>0.3003922854713294</v>
      </c>
      <c r="T130" s="8">
        <v>0.21929388672166172</v>
      </c>
      <c r="U130" s="8">
        <v>0.25055627980832801</v>
      </c>
      <c r="V130" s="8">
        <v>0.27758934008050795</v>
      </c>
      <c r="W130" s="8">
        <f>VLOOKUP($A130,$A$4:$W$10,23,0)/$W$12</f>
        <v>0.21180383944251063</v>
      </c>
      <c r="X130" s="8">
        <f t="shared" ref="X130:X136" si="526">VLOOKUP($A130,$A$4:$X$10,24,0)/$X$12</f>
        <v>0.22019447623739483</v>
      </c>
      <c r="Y130" s="8">
        <f t="shared" ref="Y130:Y136" si="527">VLOOKUP($A130,$A$4:$Y$10,25,0)/$Y$12</f>
        <v>0.21324797856093705</v>
      </c>
      <c r="Z130" s="8">
        <f t="shared" ref="Z130:Z136" si="528">VLOOKUP($A130,$A$4:$Z$10,26,0)/$Z$12</f>
        <v>0.23135312875348951</v>
      </c>
      <c r="AO130" s="8">
        <f>VLOOKUP($A130,$A$4:AO$10,41,0)/AO$12</f>
        <v>0.15689002985189229</v>
      </c>
      <c r="AP130" s="8">
        <f>VLOOKUP($A130,$A$4:AP$10,42,0)/SUM($AP$4:$AP$10)</f>
        <v>0.14899150428115265</v>
      </c>
      <c r="AQ130" s="8">
        <f>VLOOKUP($A130,$A$4:AQ$10,43,0)/SUM($AQ$4:$AQ$10)</f>
        <v>0.2569252665654414</v>
      </c>
      <c r="AR130" s="8">
        <f>VLOOKUP($A130,$A$4:AR$10,44,0)/SUM($AR$4:$AR$10)</f>
        <v>0.22104139477702381</v>
      </c>
      <c r="AS130" s="8">
        <f>VLOOKUP($A130,$A$4:AS$10,45,0)/SUM($AS$4:$AS$10)</f>
        <v>0.18762147489771527</v>
      </c>
      <c r="AT130" s="8">
        <f t="shared" ref="AT130:AU135" si="529">AT5/SUM(AT$4:AT$10)</f>
        <v>0.33496707379674767</v>
      </c>
      <c r="AU130" s="8">
        <f t="shared" si="529"/>
        <v>0.25077355456799366</v>
      </c>
      <c r="BE130" s="8">
        <f>INDEX($A$4:$BE$10,MATCH(A130,$A$4:$A$10,0),57)/SUM($BE$4:$BE$10)</f>
        <v>0.2323133856818573</v>
      </c>
      <c r="BW130"/>
      <c r="BY130"/>
    </row>
    <row r="131" spans="1:77" x14ac:dyDescent="0.25">
      <c r="A131" t="s">
        <v>6</v>
      </c>
      <c r="B131" s="8">
        <v>0.17599179622177347</v>
      </c>
      <c r="C131" s="8">
        <v>0.20398613903160859</v>
      </c>
      <c r="D131" s="8">
        <v>0.11324688087661548</v>
      </c>
      <c r="E131" s="8">
        <v>0.13616148790782093</v>
      </c>
      <c r="F131" s="8">
        <v>0.18627224795958089</v>
      </c>
      <c r="G131" s="8">
        <v>0.1312466245733005</v>
      </c>
      <c r="H131" s="8">
        <v>0.12354008000308501</v>
      </c>
      <c r="I131" s="8">
        <v>0.15184947783425704</v>
      </c>
      <c r="J131" s="8">
        <v>0.11935948040351022</v>
      </c>
      <c r="K131" s="8">
        <v>0.18223860977134418</v>
      </c>
      <c r="L131" s="8">
        <v>7.1778628910426259E-2</v>
      </c>
      <c r="M131" s="8">
        <v>0.15140921339420196</v>
      </c>
      <c r="N131" s="8">
        <v>0.14737700557356362</v>
      </c>
      <c r="O131" s="8">
        <v>7.7084576528537632E-2</v>
      </c>
      <c r="P131" s="8">
        <v>4.635427432217E-2</v>
      </c>
      <c r="Q131" s="8">
        <v>0.1276795549967123</v>
      </c>
      <c r="R131" s="8">
        <v>0.1302802082049824</v>
      </c>
      <c r="S131" s="8">
        <v>0.15301253331094794</v>
      </c>
      <c r="T131" s="8">
        <v>0.17835314646613831</v>
      </c>
      <c r="U131" s="8">
        <v>0.12489174270535976</v>
      </c>
      <c r="V131" s="8">
        <v>0.16299921514038912</v>
      </c>
      <c r="W131" s="8">
        <f t="shared" ref="W131:W136" si="530">VLOOKUP(A131,$A$4:$W$10,23,0)/$W$12</f>
        <v>0.19523302141107515</v>
      </c>
      <c r="X131" s="8">
        <f t="shared" si="526"/>
        <v>0.16729466166590992</v>
      </c>
      <c r="Y131" s="8">
        <f t="shared" si="527"/>
        <v>0.10518829172458818</v>
      </c>
      <c r="Z131" s="8">
        <f t="shared" si="528"/>
        <v>0.12475386675007472</v>
      </c>
      <c r="AO131" s="8">
        <f>VLOOKUP($A131,$A$4:AO$10,41,0)/AO$12</f>
        <v>0.13835736208233404</v>
      </c>
      <c r="AP131" s="8">
        <f>VLOOKUP($A131,$A$4:AP$10,42,0)/SUM($AP$4:$AP$10)</f>
        <v>6.7285732384538569E-2</v>
      </c>
      <c r="AQ131" s="8">
        <f>VLOOKUP($A131,$A$4:AQ$10,43,0)/SUM($AQ$4:$AQ$10)</f>
        <v>0.12615467294255961</v>
      </c>
      <c r="AR131" s="8">
        <f>VLOOKUP($A131,$A$4:AR$10,44,0)/SUM($AR$4:$AR$10)</f>
        <v>0.12966188733619738</v>
      </c>
      <c r="AS131" s="8">
        <f>VLOOKUP($A131,$A$4:AS$10,45,0)/SUM($AS$4:$AS$10)</f>
        <v>0.1128944547463808</v>
      </c>
      <c r="AT131" s="8">
        <f t="shared" si="529"/>
        <v>7.474388837338071E-2</v>
      </c>
      <c r="AU131" s="8">
        <f t="shared" si="529"/>
        <v>0.12192415887909255</v>
      </c>
      <c r="BE131" s="8">
        <f t="shared" ref="BE131:BE136" si="531">INDEX($A$4:$BE$10,MATCH(A131,$A$4:$A$10,0),57)/SUM($BE$4:$BE$10)</f>
        <v>0.1086311755870062</v>
      </c>
      <c r="BW131"/>
      <c r="BY131"/>
    </row>
    <row r="132" spans="1:77" x14ac:dyDescent="0.25">
      <c r="A132" t="s">
        <v>7</v>
      </c>
      <c r="B132" s="8">
        <v>0.20531110743998712</v>
      </c>
      <c r="C132" s="8">
        <v>0.22382245919358892</v>
      </c>
      <c r="D132" s="8">
        <v>0.21065562776151761</v>
      </c>
      <c r="E132" s="8">
        <v>9.5104609499621351E-2</v>
      </c>
      <c r="F132" s="8">
        <v>0.1349325079205036</v>
      </c>
      <c r="G132" s="8">
        <v>0.20946819114337079</v>
      </c>
      <c r="H132" s="8">
        <v>0.1606966984977144</v>
      </c>
      <c r="I132" s="8">
        <v>0.15360742552152309</v>
      </c>
      <c r="J132" s="8">
        <v>0.14464709501162606</v>
      </c>
      <c r="K132" s="8">
        <v>0.18157512996188455</v>
      </c>
      <c r="L132" s="8">
        <v>0.17570713220805886</v>
      </c>
      <c r="M132" s="8">
        <v>0.12810698203078211</v>
      </c>
      <c r="N132" s="8">
        <v>0.18198201706847919</v>
      </c>
      <c r="O132" s="8">
        <v>0.24799392854863658</v>
      </c>
      <c r="P132" s="8">
        <v>0.14960058851463887</v>
      </c>
      <c r="Q132" s="8">
        <v>6.915623349822099E-2</v>
      </c>
      <c r="R132" s="8">
        <v>0.15947363181001253</v>
      </c>
      <c r="S132" s="8">
        <v>0.15695793916267192</v>
      </c>
      <c r="T132" s="8">
        <v>0.18153857205372365</v>
      </c>
      <c r="U132" s="8">
        <v>0.18953509313101691</v>
      </c>
      <c r="V132" s="8">
        <v>0.17211077619808585</v>
      </c>
      <c r="W132" s="8">
        <f t="shared" si="530"/>
        <v>0.12908288116022193</v>
      </c>
      <c r="X132" s="8">
        <f t="shared" si="526"/>
        <v>0.21554575067800594</v>
      </c>
      <c r="Y132" s="8">
        <f t="shared" si="527"/>
        <v>0.23576875039513334</v>
      </c>
      <c r="Z132" s="8">
        <f t="shared" si="528"/>
        <v>0.15395644419175322</v>
      </c>
      <c r="AO132" s="8">
        <f>VLOOKUP($A132,$A$4:AO$10,41,0)/AO$12</f>
        <v>0.24078847450318475</v>
      </c>
      <c r="AP132" s="8">
        <f>VLOOKUP($A132,$A$4:AP$10,42,0)/SUM($AP$4:$AP$10)</f>
        <v>0.25309917678305327</v>
      </c>
      <c r="AQ132" s="8">
        <f>VLOOKUP($A132,$A$4:AQ$10,43,0)/SUM($AQ$4:$AQ$10)</f>
        <v>0.11875300238653415</v>
      </c>
      <c r="AR132" s="8">
        <f>VLOOKUP($A132,$A$4:AR$10,44,0)/SUM($AR$4:$AR$10)</f>
        <v>0.11269816260914121</v>
      </c>
      <c r="AS132" s="8">
        <f>VLOOKUP($A132,$A$4:AS$10,45,0)/SUM($AS$4:$AS$10)</f>
        <v>0.13835963079937896</v>
      </c>
      <c r="AT132" s="8">
        <f t="shared" si="529"/>
        <v>0.127091981009646</v>
      </c>
      <c r="AU132" s="8">
        <f t="shared" si="529"/>
        <v>0.13720588494683142</v>
      </c>
      <c r="BE132" s="8">
        <f t="shared" si="531"/>
        <v>0.15110908389143629</v>
      </c>
      <c r="BW132"/>
      <c r="BY132"/>
    </row>
    <row r="133" spans="1:77" x14ac:dyDescent="0.25">
      <c r="A133" t="s">
        <v>8</v>
      </c>
      <c r="B133" s="8">
        <v>8.5705119941284214E-2</v>
      </c>
      <c r="C133" s="8">
        <v>0.12611748449304994</v>
      </c>
      <c r="D133" s="8">
        <v>0.13950792096135214</v>
      </c>
      <c r="E133" s="8">
        <v>0.16592078533912377</v>
      </c>
      <c r="F133" s="8">
        <v>0.1678019052251247</v>
      </c>
      <c r="G133" s="8">
        <v>0.10521311455837949</v>
      </c>
      <c r="H133" s="8">
        <v>0.12338458009408011</v>
      </c>
      <c r="I133" s="8">
        <v>0.17421652526760459</v>
      </c>
      <c r="J133" s="8">
        <v>0.12206931322804548</v>
      </c>
      <c r="K133" s="8">
        <v>0.14845669485459062</v>
      </c>
      <c r="L133" s="8">
        <v>0.13690363697407754</v>
      </c>
      <c r="M133" s="8">
        <v>0.14458417549879099</v>
      </c>
      <c r="N133" s="8">
        <v>0.15461262933483721</v>
      </c>
      <c r="O133" s="8">
        <v>0.12682344472967425</v>
      </c>
      <c r="P133" s="8">
        <v>0.16521908439146171</v>
      </c>
      <c r="Q133" s="8">
        <v>0.18149905600382626</v>
      </c>
      <c r="R133" s="8">
        <v>0.10594342798280053</v>
      </c>
      <c r="S133" s="8">
        <v>6.3707938332714306E-2</v>
      </c>
      <c r="T133" s="8">
        <v>8.765532885500131E-2</v>
      </c>
      <c r="U133" s="8">
        <v>0.12413702977549995</v>
      </c>
      <c r="V133" s="8">
        <v>0.12307442818616079</v>
      </c>
      <c r="W133" s="8">
        <f t="shared" si="530"/>
        <v>0.17155415523500647</v>
      </c>
      <c r="X133" s="8">
        <f t="shared" si="526"/>
        <v>9.0356819619241829E-2</v>
      </c>
      <c r="Y133" s="8">
        <f t="shared" si="527"/>
        <v>9.7218453201283611E-2</v>
      </c>
      <c r="Z133" s="8">
        <f t="shared" si="528"/>
        <v>0.12125447001692494</v>
      </c>
      <c r="AO133" s="8">
        <f>VLOOKUP($A133,$A$4:AO$10,41,0)/AO$12</f>
        <v>0.11553910560436104</v>
      </c>
      <c r="AP133" s="8">
        <f>VLOOKUP($A133,$A$4:AP$10,42,0)/SUM($AP$4:$AP$10)</f>
        <v>0.17376280784543538</v>
      </c>
      <c r="AQ133" s="8">
        <f>VLOOKUP($A133,$A$4:AQ$10,43,0)/SUM($AQ$4:$AQ$10)</f>
        <v>0.18484510590658709</v>
      </c>
      <c r="AR133" s="8">
        <f>VLOOKUP($A133,$A$4:AR$10,44,0)/SUM($AR$4:$AR$10)</f>
        <v>0.16905253486537425</v>
      </c>
      <c r="AS133" s="8">
        <f>VLOOKUP($A133,$A$4:AS$10,45,0)/SUM($AS$4:$AS$10)</f>
        <v>0.1025492028271716</v>
      </c>
      <c r="AT133" s="8">
        <f t="shared" si="529"/>
        <v>0.11089655717249756</v>
      </c>
      <c r="AU133" s="8">
        <f t="shared" si="529"/>
        <v>0.1014337764164637</v>
      </c>
      <c r="BE133" s="8">
        <f t="shared" si="531"/>
        <v>0.1378182074768276</v>
      </c>
      <c r="BW133"/>
      <c r="BY133"/>
    </row>
    <row r="134" spans="1:77" x14ac:dyDescent="0.25">
      <c r="A134" t="s">
        <v>1</v>
      </c>
      <c r="B134" s="8">
        <v>8.7781790096585238E-2</v>
      </c>
      <c r="C134" s="8">
        <v>0.13405946088891305</v>
      </c>
      <c r="D134" s="8">
        <v>7.5339154234120451E-2</v>
      </c>
      <c r="E134" s="8">
        <v>0.14073898463097417</v>
      </c>
      <c r="F134" s="8">
        <v>0.13675530654238846</v>
      </c>
      <c r="G134" s="8">
        <v>0.19454797655311931</v>
      </c>
      <c r="H134" s="8">
        <v>0.14293176285217624</v>
      </c>
      <c r="I134" s="8">
        <v>0.1353858928134494</v>
      </c>
      <c r="J134" s="8">
        <v>0.14291186314395091</v>
      </c>
      <c r="K134" s="8">
        <v>0.1826941987226888</v>
      </c>
      <c r="L134" s="8">
        <v>0.18658787292822662</v>
      </c>
      <c r="M134" s="8">
        <v>0.15017872953291</v>
      </c>
      <c r="N134" s="8">
        <v>0.12593893966367006</v>
      </c>
      <c r="O134" s="8">
        <v>0.15015160114345796</v>
      </c>
      <c r="P134" s="8">
        <v>0.14627875592152198</v>
      </c>
      <c r="Q134" s="8">
        <v>0.11176046541625868</v>
      </c>
      <c r="R134" s="8">
        <v>0.16541198406555524</v>
      </c>
      <c r="S134" s="8">
        <v>0.13846519939616991</v>
      </c>
      <c r="T134" s="8">
        <v>0.13851261998947259</v>
      </c>
      <c r="U134" s="8">
        <v>0.11512070274377788</v>
      </c>
      <c r="V134" s="8">
        <v>9.4157795165604685E-2</v>
      </c>
      <c r="W134" s="8">
        <f t="shared" si="530"/>
        <v>9.0337317933873035E-2</v>
      </c>
      <c r="X134" s="8">
        <f t="shared" si="526"/>
        <v>0.135458099013093</v>
      </c>
      <c r="Y134" s="8">
        <f t="shared" si="527"/>
        <v>0.14331644484262079</v>
      </c>
      <c r="Z134" s="8">
        <f t="shared" si="528"/>
        <v>0.13952551835027996</v>
      </c>
      <c r="AO134" s="8">
        <f>VLOOKUP($A134,$A$4:AO$10,41,0)/AO$12</f>
        <v>3.8714795876942203E-2</v>
      </c>
      <c r="AP134" s="8">
        <f>VLOOKUP($A134,$A$4:AP$10,42,0)/SUM($AP$4:$AP$10)</f>
        <v>4.3207840708416635E-2</v>
      </c>
      <c r="AQ134" s="8">
        <f>VLOOKUP($A134,$A$4:AQ$10,43,0)/SUM($AQ$4:$AQ$10)</f>
        <v>6.1358903163279598E-2</v>
      </c>
      <c r="AR134" s="8">
        <f>VLOOKUP($A134,$A$4:AR$10,44,0)/SUM($AR$4:$AR$10)</f>
        <v>0.10165121575642908</v>
      </c>
      <c r="AS134" s="8">
        <f>VLOOKUP($A134,$A$4:AS$10,45,0)/SUM($AS$4:$AS$10)</f>
        <v>0.22119582782202815</v>
      </c>
      <c r="AT134" s="8">
        <f t="shared" si="529"/>
        <v>0.11504796614693071</v>
      </c>
      <c r="AU134" s="8">
        <f t="shared" si="529"/>
        <v>0.13031792121727165</v>
      </c>
      <c r="BE134" s="8">
        <f t="shared" si="531"/>
        <v>0.10803793422953081</v>
      </c>
      <c r="BW134"/>
      <c r="BY134"/>
    </row>
    <row r="135" spans="1:77" x14ac:dyDescent="0.25">
      <c r="A135" t="s">
        <v>2</v>
      </c>
      <c r="B135" s="8">
        <v>3.5552009433231467E-2</v>
      </c>
      <c r="C135" s="8">
        <v>4.2427196707881878E-2</v>
      </c>
      <c r="D135" s="8">
        <v>3.4339627665326389E-2</v>
      </c>
      <c r="E135" s="8">
        <v>1.8259564185044461E-2</v>
      </c>
      <c r="F135" s="8">
        <v>2.629843935747142E-2</v>
      </c>
      <c r="G135" s="8">
        <v>4.0965260612879903E-2</v>
      </c>
      <c r="H135" s="8">
        <v>3.5118732339946751E-2</v>
      </c>
      <c r="I135" s="8">
        <v>6.5185923660691758E-2</v>
      </c>
      <c r="J135" s="8">
        <v>0.13153850057683303</v>
      </c>
      <c r="K135" s="8">
        <v>-2.9566270463637398E-2</v>
      </c>
      <c r="L135" s="8">
        <v>0.10510128636326518</v>
      </c>
      <c r="M135" s="8">
        <v>0.11379390040457341</v>
      </c>
      <c r="N135" s="8">
        <v>0.10828868497622542</v>
      </c>
      <c r="O135" s="8">
        <v>0.16300362882917166</v>
      </c>
      <c r="P135" s="8">
        <v>9.6202971322606981E-2</v>
      </c>
      <c r="Q135" s="8">
        <v>5.2731390580487522E-2</v>
      </c>
      <c r="R135" s="8">
        <v>9.520270604104962E-2</v>
      </c>
      <c r="S135" s="8">
        <v>9.9127939651161456E-2</v>
      </c>
      <c r="T135" s="8">
        <v>8.0085007765568109E-2</v>
      </c>
      <c r="U135" s="8">
        <v>0.11148508776465052</v>
      </c>
      <c r="V135" s="8">
        <v>9.4569936662279766E-2</v>
      </c>
      <c r="W135" s="8">
        <f t="shared" si="530"/>
        <v>0.12316798475780862</v>
      </c>
      <c r="X135" s="8">
        <f t="shared" si="526"/>
        <v>9.4989543912168586E-2</v>
      </c>
      <c r="Y135" s="8">
        <f t="shared" si="527"/>
        <v>0.13323462940761502</v>
      </c>
      <c r="Z135" s="8">
        <f t="shared" si="528"/>
        <v>9.2794779739468036E-2</v>
      </c>
      <c r="AO135" s="8">
        <f>VLOOKUP($A135,$A$4:AO$10,41,0)/AO$12</f>
        <v>0.11341516595987679</v>
      </c>
      <c r="AP135" s="8">
        <f>VLOOKUP($A135,$A$4:AP$10,42,0)/SUM($AP$4:$AP$10)</f>
        <v>7.5023753118529934E-2</v>
      </c>
      <c r="AQ135" s="8">
        <f>VLOOKUP($A135,$A$4:AQ$10,43,0)/SUM($AQ$4:$AQ$10)</f>
        <v>7.1648943311902982E-2</v>
      </c>
      <c r="AR135" s="8">
        <f>VLOOKUP($A135,$A$4:AR$10,44,0)/SUM($AR$4:$AR$10)</f>
        <v>8.4688756708005922E-2</v>
      </c>
      <c r="AS135" s="8">
        <f>VLOOKUP($A135,$A$4:AS$10,45,0)/SUM($AS$4:$AS$10)</f>
        <v>7.651259610534647E-2</v>
      </c>
      <c r="AT135" s="8">
        <f t="shared" si="529"/>
        <v>7.1571605075723188E-2</v>
      </c>
      <c r="AU135" s="8">
        <f t="shared" si="529"/>
        <v>9.3800102970690247E-2</v>
      </c>
      <c r="BE135" s="8">
        <f t="shared" si="531"/>
        <v>8.1143145893191104E-2</v>
      </c>
      <c r="BW135"/>
      <c r="BY135"/>
    </row>
    <row r="136" spans="1:77" x14ac:dyDescent="0.25">
      <c r="A136" t="s">
        <v>4</v>
      </c>
      <c r="B136" s="8">
        <v>0.19703706377231925</v>
      </c>
      <c r="C136" s="8">
        <v>0.14408719100338857</v>
      </c>
      <c r="D136" s="8">
        <v>0.27438677187851263</v>
      </c>
      <c r="E136" s="8">
        <v>0.23660924742389047</v>
      </c>
      <c r="F136" s="8">
        <v>0.17396143009982376</v>
      </c>
      <c r="G136" s="8">
        <v>0.17390311884940818</v>
      </c>
      <c r="H136" s="8">
        <v>0.25844846879251593</v>
      </c>
      <c r="I136" s="8">
        <v>0.14310912830834294</v>
      </c>
      <c r="J136" s="8">
        <v>0.17433298564647726</v>
      </c>
      <c r="K136" s="8">
        <v>0.18505622412723863</v>
      </c>
      <c r="L136" s="8">
        <v>0.11323728535039804</v>
      </c>
      <c r="M136" s="8">
        <v>0.15872976217653562</v>
      </c>
      <c r="N136" s="8">
        <v>0.17522503979308765</v>
      </c>
      <c r="O136" s="8">
        <v>0.15502043698563842</v>
      </c>
      <c r="P136" s="8">
        <v>0.12917110013542152</v>
      </c>
      <c r="Q136" s="8">
        <v>0.21570443050102706</v>
      </c>
      <c r="R136" s="8">
        <v>0.12648662599146734</v>
      </c>
      <c r="S136" s="8">
        <v>8.8336164675004991E-2</v>
      </c>
      <c r="T136" s="8">
        <v>0.11456143814843422</v>
      </c>
      <c r="U136" s="8">
        <v>8.4274064071366964E-2</v>
      </c>
      <c r="V136" s="8">
        <v>7.5498508566971989E-2</v>
      </c>
      <c r="W136" s="8">
        <f t="shared" si="530"/>
        <v>7.8820800059504259E-2</v>
      </c>
      <c r="X136" s="8">
        <f t="shared" si="526"/>
        <v>7.6160648874185846E-2</v>
      </c>
      <c r="Y136" s="8">
        <f t="shared" si="527"/>
        <v>7.2025451867821999E-2</v>
      </c>
      <c r="Z136" s="8">
        <f t="shared" si="528"/>
        <v>0.13636179219800965</v>
      </c>
      <c r="AO136" s="8">
        <f>VLOOKUP($A136,$A$4:AO$10,41,0)/AO$12</f>
        <v>0.19629506612140887</v>
      </c>
      <c r="AP136" s="8">
        <f>VLOOKUP($A136,$A$4:AP$10,42,0)/SUM($AP$4:$AP$10)</f>
        <v>0.23862918487887347</v>
      </c>
      <c r="AQ136" s="8">
        <f>VLOOKUP($A136,$A$4:AQ$10,43,0)/SUM($AQ$4:$AQ$10)</f>
        <v>0.18031410572369519</v>
      </c>
      <c r="AR136" s="8">
        <f>VLOOKUP($A136,$A$4:AR$10,44,0)/SUM($AR$4:$AR$10)</f>
        <v>0.18120604794782844</v>
      </c>
      <c r="AS136" s="8">
        <f>VLOOKUP($A136,$A$4:AS$10,45,0)/SUM($AS$4:$AS$10)</f>
        <v>0.16086681280197879</v>
      </c>
      <c r="AT136" s="8">
        <f>AT4/SUM(AT$4:AT$10)</f>
        <v>0.16568092842507406</v>
      </c>
      <c r="AU136" s="8">
        <f>AU4/SUM(AU$4:AU$10)</f>
        <v>0.16454460100165694</v>
      </c>
      <c r="BE136" s="8">
        <f t="shared" si="531"/>
        <v>0.18094706724015075</v>
      </c>
      <c r="BW136"/>
      <c r="BY136"/>
    </row>
    <row r="137" spans="1:77" x14ac:dyDescent="0.25">
      <c r="A137" s="1" t="s">
        <v>3</v>
      </c>
      <c r="B137" s="8">
        <f t="shared" ref="B137:X137" si="532">B12/B$12</f>
        <v>1</v>
      </c>
      <c r="C137" s="8">
        <f t="shared" si="532"/>
        <v>1</v>
      </c>
      <c r="D137" s="8">
        <f t="shared" si="532"/>
        <v>1</v>
      </c>
      <c r="E137" s="8">
        <f t="shared" si="532"/>
        <v>1</v>
      </c>
      <c r="F137" s="8">
        <f t="shared" si="532"/>
        <v>1</v>
      </c>
      <c r="G137" s="8">
        <f t="shared" si="532"/>
        <v>1</v>
      </c>
      <c r="H137" s="8">
        <f t="shared" si="532"/>
        <v>1</v>
      </c>
      <c r="I137" s="8">
        <f t="shared" si="532"/>
        <v>1</v>
      </c>
      <c r="J137" s="8">
        <f t="shared" si="532"/>
        <v>1</v>
      </c>
      <c r="K137" s="8">
        <f t="shared" si="532"/>
        <v>1</v>
      </c>
      <c r="L137" s="8">
        <f t="shared" si="532"/>
        <v>1</v>
      </c>
      <c r="M137" s="8">
        <f t="shared" si="532"/>
        <v>1</v>
      </c>
      <c r="N137" s="8">
        <f t="shared" si="532"/>
        <v>1</v>
      </c>
      <c r="O137" s="8">
        <f t="shared" si="532"/>
        <v>1</v>
      </c>
      <c r="P137" s="8">
        <f t="shared" si="532"/>
        <v>1</v>
      </c>
      <c r="Q137" s="8">
        <f t="shared" si="532"/>
        <v>1</v>
      </c>
      <c r="R137" s="8">
        <f t="shared" si="532"/>
        <v>1</v>
      </c>
      <c r="S137" s="8">
        <f t="shared" si="532"/>
        <v>1</v>
      </c>
      <c r="T137" s="8">
        <f t="shared" si="532"/>
        <v>1</v>
      </c>
      <c r="U137" s="8">
        <f t="shared" si="532"/>
        <v>1</v>
      </c>
      <c r="V137" s="8">
        <f t="shared" si="532"/>
        <v>1</v>
      </c>
      <c r="W137" s="8">
        <f t="shared" si="532"/>
        <v>1</v>
      </c>
      <c r="X137" s="8">
        <f t="shared" si="532"/>
        <v>1</v>
      </c>
      <c r="Y137" s="8">
        <f t="shared" ref="Y137:Z137" si="533">Y12/Y$12</f>
        <v>1</v>
      </c>
      <c r="Z137" s="8">
        <f t="shared" si="533"/>
        <v>1</v>
      </c>
      <c r="AO137" s="8">
        <f t="shared" ref="AO137:AP137" si="534">AO12/AO$12</f>
        <v>1</v>
      </c>
      <c r="AP137" s="8">
        <f t="shared" si="534"/>
        <v>1</v>
      </c>
      <c r="AQ137" s="8">
        <f t="shared" ref="AQ137:AR137" si="535">AQ12/AQ$12</f>
        <v>1</v>
      </c>
      <c r="AR137" s="8">
        <f t="shared" si="535"/>
        <v>1</v>
      </c>
      <c r="AS137" s="8">
        <f t="shared" ref="AS137:AT137" si="536">AS12/AS$12</f>
        <v>1</v>
      </c>
      <c r="AT137" s="8">
        <f t="shared" si="536"/>
        <v>1</v>
      </c>
      <c r="AU137" s="8">
        <f t="shared" ref="AU137" si="537">AU12/AU$12</f>
        <v>1</v>
      </c>
      <c r="BE137" s="8">
        <f>SUM(BE130:BE136)</f>
        <v>1</v>
      </c>
    </row>
    <row r="139" spans="1:77" x14ac:dyDescent="0.25">
      <c r="A139" s="71" t="s">
        <v>51</v>
      </c>
    </row>
    <row r="140" spans="1:77" x14ac:dyDescent="0.25">
      <c r="A140" t="s">
        <v>48</v>
      </c>
      <c r="B140" s="8">
        <f>SUM(B133:B135)</f>
        <v>0.20903891947110093</v>
      </c>
      <c r="C140" s="8">
        <f t="shared" ref="C140:V140" si="538">SUM(C133:C135)</f>
        <v>0.30260414208984487</v>
      </c>
      <c r="D140" s="8">
        <f t="shared" si="538"/>
        <v>0.24918670286079897</v>
      </c>
      <c r="E140" s="8">
        <f t="shared" si="538"/>
        <v>0.3249193341551424</v>
      </c>
      <c r="F140" s="8">
        <f t="shared" si="538"/>
        <v>0.33085565112498461</v>
      </c>
      <c r="G140" s="8">
        <f t="shared" si="538"/>
        <v>0.34072635172437871</v>
      </c>
      <c r="H140" s="8">
        <f t="shared" si="538"/>
        <v>0.30143507528620306</v>
      </c>
      <c r="I140" s="8">
        <f t="shared" si="538"/>
        <v>0.37478834174174575</v>
      </c>
      <c r="J140" s="8">
        <f t="shared" si="538"/>
        <v>0.39651967694882939</v>
      </c>
      <c r="K140" s="8">
        <f t="shared" si="538"/>
        <v>0.30158462311364204</v>
      </c>
      <c r="L140" s="8">
        <f t="shared" si="538"/>
        <v>0.42859279626556934</v>
      </c>
      <c r="M140" s="8">
        <f t="shared" si="538"/>
        <v>0.40855680543627437</v>
      </c>
      <c r="N140" s="8">
        <f t="shared" si="538"/>
        <v>0.38884025397473271</v>
      </c>
      <c r="O140" s="8">
        <f t="shared" si="538"/>
        <v>0.4399786747023039</v>
      </c>
      <c r="P140" s="8">
        <f t="shared" si="538"/>
        <v>0.40770081163559063</v>
      </c>
      <c r="Q140" s="8">
        <f t="shared" si="538"/>
        <v>0.34599091200057247</v>
      </c>
      <c r="R140" s="8">
        <f t="shared" si="538"/>
        <v>0.36655811808940542</v>
      </c>
      <c r="S140" s="8">
        <f t="shared" si="538"/>
        <v>0.30130107738004569</v>
      </c>
      <c r="T140" s="8">
        <f t="shared" si="538"/>
        <v>0.30625295661004198</v>
      </c>
      <c r="U140" s="8">
        <f t="shared" si="538"/>
        <v>0.35074282028392834</v>
      </c>
      <c r="V140" s="8">
        <f t="shared" si="538"/>
        <v>0.31180216001404526</v>
      </c>
      <c r="W140" s="8">
        <f t="shared" ref="W140:X140" si="539">SUM(W133:W135)</f>
        <v>0.38505945792668811</v>
      </c>
      <c r="X140" s="8">
        <f t="shared" si="539"/>
        <v>0.3208044625445034</v>
      </c>
      <c r="Y140" s="8">
        <f t="shared" ref="Y140" si="540">SUM(Y133:Y135)</f>
        <v>0.37376952745151942</v>
      </c>
      <c r="Z140" s="31">
        <f>AVERAGE(N140:Y140)</f>
        <v>0.3582334360511148</v>
      </c>
      <c r="AO140" s="8">
        <f t="shared" ref="AO140:AP140" si="541">SUM(AO133:AO135)</f>
        <v>0.26766906744118002</v>
      </c>
      <c r="AP140" s="8">
        <f t="shared" si="541"/>
        <v>0.29199440167238194</v>
      </c>
      <c r="AQ140" s="8">
        <f t="shared" ref="AQ140:AR140" si="542">SUM(AQ133:AQ135)</f>
        <v>0.31785295238176969</v>
      </c>
      <c r="AR140" s="8">
        <f t="shared" si="542"/>
        <v>0.3553925073298092</v>
      </c>
      <c r="AS140" s="8">
        <f t="shared" ref="AS140:AT140" si="543">SUM(AS133:AS135)</f>
        <v>0.40025762675454624</v>
      </c>
      <c r="AT140" s="8">
        <f t="shared" si="543"/>
        <v>0.29751612839515146</v>
      </c>
      <c r="AU140" s="8">
        <f t="shared" ref="AU140" si="544">SUM(AU133:AU135)</f>
        <v>0.32555180060442557</v>
      </c>
      <c r="BE140" s="31">
        <f>AVERAGE(AO140:AZ140)</f>
        <v>0.32231921208275205</v>
      </c>
    </row>
    <row r="141" spans="1:77" x14ac:dyDescent="0.25">
      <c r="A141" t="s">
        <v>49</v>
      </c>
      <c r="B141" s="8">
        <f>SUM(B130:B132)</f>
        <v>0.59392401675657991</v>
      </c>
      <c r="C141" s="8">
        <f t="shared" ref="C141:V141" si="545">SUM(C130:C132)</f>
        <v>0.55330866690676672</v>
      </c>
      <c r="D141" s="8">
        <f t="shared" si="545"/>
        <v>0.4764265252606884</v>
      </c>
      <c r="E141" s="8">
        <f t="shared" si="545"/>
        <v>0.43847141842096726</v>
      </c>
      <c r="F141" s="8">
        <f t="shared" si="545"/>
        <v>0.49518291877519161</v>
      </c>
      <c r="G141" s="8">
        <f t="shared" si="545"/>
        <v>0.48537052942621306</v>
      </c>
      <c r="H141" s="8">
        <f t="shared" si="545"/>
        <v>0.44011645592128112</v>
      </c>
      <c r="I141" s="8">
        <f t="shared" si="545"/>
        <v>0.48210252994991132</v>
      </c>
      <c r="J141" s="8">
        <f t="shared" si="545"/>
        <v>0.42914733740469324</v>
      </c>
      <c r="K141" s="8">
        <f t="shared" si="545"/>
        <v>0.51335915275911925</v>
      </c>
      <c r="L141" s="8">
        <f t="shared" si="545"/>
        <v>0.45816991838403265</v>
      </c>
      <c r="M141" s="8">
        <f t="shared" si="545"/>
        <v>0.43271343238719018</v>
      </c>
      <c r="N141" s="8">
        <f t="shared" si="545"/>
        <v>0.43593470623217967</v>
      </c>
      <c r="O141" s="8">
        <f t="shared" si="545"/>
        <v>0.40500088831205772</v>
      </c>
      <c r="P141" s="8">
        <f t="shared" si="545"/>
        <v>0.46312808822898771</v>
      </c>
      <c r="Q141" s="8">
        <f t="shared" si="545"/>
        <v>0.43830465749840042</v>
      </c>
      <c r="R141" s="8">
        <f t="shared" si="545"/>
        <v>0.50695525591912749</v>
      </c>
      <c r="S141" s="8">
        <f t="shared" si="545"/>
        <v>0.61036275794494932</v>
      </c>
      <c r="T141" s="8">
        <f t="shared" si="545"/>
        <v>0.57918560524152363</v>
      </c>
      <c r="U141" s="8">
        <f t="shared" si="545"/>
        <v>0.56498311564470471</v>
      </c>
      <c r="V141" s="8">
        <f t="shared" si="545"/>
        <v>0.61269933141898292</v>
      </c>
      <c r="W141" s="8">
        <f t="shared" ref="W141:X141" si="546">SUM(W130:W132)</f>
        <v>0.53611974201380774</v>
      </c>
      <c r="X141" s="8">
        <f t="shared" si="546"/>
        <v>0.60303488858131071</v>
      </c>
      <c r="Y141" s="8">
        <f t="shared" ref="Y141" si="547">SUM(Y130:Y132)</f>
        <v>0.55420502068065858</v>
      </c>
      <c r="Z141" s="31">
        <f t="shared" ref="Z141:Z143" si="548">AVERAGE(N141:Y141)</f>
        <v>0.52582617147639099</v>
      </c>
      <c r="AO141" s="8">
        <f t="shared" ref="AO141:AP141" si="549">SUM(AO130:AO132)</f>
        <v>0.53603586643741108</v>
      </c>
      <c r="AP141" s="8">
        <f t="shared" si="549"/>
        <v>0.46937641344874448</v>
      </c>
      <c r="AQ141" s="8">
        <f t="shared" ref="AQ141:AR141" si="550">SUM(AQ130:AQ132)</f>
        <v>0.5018329418945352</v>
      </c>
      <c r="AR141" s="8">
        <f t="shared" si="550"/>
        <v>0.46340144472236244</v>
      </c>
      <c r="AS141" s="8">
        <f t="shared" ref="AS141:AT141" si="551">SUM(AS130:AS132)</f>
        <v>0.43887556044347503</v>
      </c>
      <c r="AT141" s="8">
        <f t="shared" si="551"/>
        <v>0.53680294317977439</v>
      </c>
      <c r="AU141" s="8">
        <f t="shared" ref="AU141" si="552">SUM(AU130:AU132)</f>
        <v>0.50990359839391763</v>
      </c>
      <c r="BE141" s="31">
        <f t="shared" ref="BE141:BE143" si="553">AVERAGE(AO141:AZ141)</f>
        <v>0.49374696693146003</v>
      </c>
    </row>
    <row r="142" spans="1:77" x14ac:dyDescent="0.25">
      <c r="A142" t="s">
        <v>4</v>
      </c>
      <c r="B142" s="8">
        <f>B136</f>
        <v>0.19703706377231925</v>
      </c>
      <c r="C142" s="8">
        <f t="shared" ref="C142:V142" si="554">C136</f>
        <v>0.14408719100338857</v>
      </c>
      <c r="D142" s="8">
        <f t="shared" si="554"/>
        <v>0.27438677187851263</v>
      </c>
      <c r="E142" s="8">
        <f t="shared" si="554"/>
        <v>0.23660924742389047</v>
      </c>
      <c r="F142" s="8">
        <f t="shared" si="554"/>
        <v>0.17396143009982376</v>
      </c>
      <c r="G142" s="8">
        <f t="shared" si="554"/>
        <v>0.17390311884940818</v>
      </c>
      <c r="H142" s="8">
        <f t="shared" si="554"/>
        <v>0.25844846879251593</v>
      </c>
      <c r="I142" s="8">
        <f t="shared" si="554"/>
        <v>0.14310912830834294</v>
      </c>
      <c r="J142" s="8">
        <f t="shared" si="554"/>
        <v>0.17433298564647726</v>
      </c>
      <c r="K142" s="8">
        <f t="shared" si="554"/>
        <v>0.18505622412723863</v>
      </c>
      <c r="L142" s="8">
        <f t="shared" si="554"/>
        <v>0.11323728535039804</v>
      </c>
      <c r="M142" s="8">
        <f t="shared" si="554"/>
        <v>0.15872976217653562</v>
      </c>
      <c r="N142" s="8">
        <f t="shared" si="554"/>
        <v>0.17522503979308765</v>
      </c>
      <c r="O142" s="8">
        <f t="shared" si="554"/>
        <v>0.15502043698563842</v>
      </c>
      <c r="P142" s="8">
        <f t="shared" si="554"/>
        <v>0.12917110013542152</v>
      </c>
      <c r="Q142" s="8">
        <f t="shared" si="554"/>
        <v>0.21570443050102706</v>
      </c>
      <c r="R142" s="8">
        <f t="shared" si="554"/>
        <v>0.12648662599146734</v>
      </c>
      <c r="S142" s="8">
        <f t="shared" si="554"/>
        <v>8.8336164675004991E-2</v>
      </c>
      <c r="T142" s="8">
        <f t="shared" si="554"/>
        <v>0.11456143814843422</v>
      </c>
      <c r="U142" s="8">
        <f t="shared" si="554"/>
        <v>8.4274064071366964E-2</v>
      </c>
      <c r="V142" s="8">
        <f t="shared" si="554"/>
        <v>7.5498508566971989E-2</v>
      </c>
      <c r="W142" s="8">
        <f t="shared" ref="W142:X142" si="555">W136</f>
        <v>7.8820800059504259E-2</v>
      </c>
      <c r="X142" s="8">
        <f t="shared" si="555"/>
        <v>7.6160648874185846E-2</v>
      </c>
      <c r="Y142" s="8">
        <f t="shared" ref="Y142" si="556">Y136</f>
        <v>7.2025451867821999E-2</v>
      </c>
      <c r="Z142" s="31">
        <f t="shared" si="548"/>
        <v>0.11594039247249438</v>
      </c>
      <c r="AA142" s="31"/>
      <c r="AO142" s="8">
        <f t="shared" ref="AO142" si="557">AO136</f>
        <v>0.19629506612140887</v>
      </c>
      <c r="AP142" s="8">
        <f>AP136</f>
        <v>0.23862918487887347</v>
      </c>
      <c r="AQ142" s="8">
        <f t="shared" ref="AQ142:AR142" si="558">AQ136</f>
        <v>0.18031410572369519</v>
      </c>
      <c r="AR142" s="8">
        <f t="shared" si="558"/>
        <v>0.18120604794782844</v>
      </c>
      <c r="AS142" s="8">
        <f t="shared" ref="AS142:AT142" si="559">AS136</f>
        <v>0.16086681280197879</v>
      </c>
      <c r="AT142" s="8">
        <f t="shared" si="559"/>
        <v>0.16568092842507406</v>
      </c>
      <c r="AU142" s="8">
        <f t="shared" ref="AU142" si="560">AU136</f>
        <v>0.16454460100165694</v>
      </c>
      <c r="BE142" s="31">
        <f t="shared" si="553"/>
        <v>0.18393382098578795</v>
      </c>
    </row>
    <row r="143" spans="1:77" x14ac:dyDescent="0.25">
      <c r="B143" s="8">
        <f>SUM(B140:B142)</f>
        <v>1.0000000000000002</v>
      </c>
      <c r="C143" s="8">
        <f t="shared" ref="C143:V143" si="561">SUM(C140:C142)</f>
        <v>1.0000000000000002</v>
      </c>
      <c r="D143" s="8">
        <f t="shared" si="561"/>
        <v>1</v>
      </c>
      <c r="E143" s="8">
        <f t="shared" si="561"/>
        <v>1.0000000000000002</v>
      </c>
      <c r="F143" s="8">
        <f t="shared" si="561"/>
        <v>1</v>
      </c>
      <c r="G143" s="8">
        <f t="shared" si="561"/>
        <v>1</v>
      </c>
      <c r="H143" s="8">
        <f t="shared" si="561"/>
        <v>1</v>
      </c>
      <c r="I143" s="8">
        <f t="shared" si="561"/>
        <v>1</v>
      </c>
      <c r="J143" s="8">
        <f t="shared" si="561"/>
        <v>0.99999999999999989</v>
      </c>
      <c r="K143" s="8">
        <f t="shared" si="561"/>
        <v>1</v>
      </c>
      <c r="L143" s="8">
        <f t="shared" si="561"/>
        <v>1</v>
      </c>
      <c r="M143" s="8">
        <f t="shared" si="561"/>
        <v>1.0000000000000002</v>
      </c>
      <c r="N143" s="8">
        <f t="shared" si="561"/>
        <v>1</v>
      </c>
      <c r="O143" s="8">
        <f t="shared" si="561"/>
        <v>1</v>
      </c>
      <c r="P143" s="8">
        <f t="shared" si="561"/>
        <v>0.99999999999999989</v>
      </c>
      <c r="Q143" s="8">
        <f t="shared" si="561"/>
        <v>0.99999999999999989</v>
      </c>
      <c r="R143" s="8">
        <f t="shared" si="561"/>
        <v>1.0000000000000002</v>
      </c>
      <c r="S143" s="8">
        <f t="shared" si="561"/>
        <v>1</v>
      </c>
      <c r="T143" s="8">
        <f t="shared" si="561"/>
        <v>0.99999999999999989</v>
      </c>
      <c r="U143" s="8">
        <f t="shared" si="561"/>
        <v>1</v>
      </c>
      <c r="V143" s="8">
        <f t="shared" si="561"/>
        <v>1.0000000000000002</v>
      </c>
      <c r="W143" s="8">
        <f t="shared" ref="W143:X143" si="562">SUM(W140:W142)</f>
        <v>1.0000000000000002</v>
      </c>
      <c r="X143" s="8">
        <f t="shared" si="562"/>
        <v>0.99999999999999989</v>
      </c>
      <c r="Y143" s="8">
        <f t="shared" ref="Y143" si="563">SUM(Y140:Y142)</f>
        <v>1</v>
      </c>
      <c r="Z143" s="31">
        <f t="shared" si="548"/>
        <v>1</v>
      </c>
      <c r="AO143" s="8">
        <f t="shared" ref="AO143" si="564">SUM(AO140:AO142)</f>
        <v>1</v>
      </c>
      <c r="AP143" s="8">
        <f>SUM(AP140:AP142)</f>
        <v>1</v>
      </c>
      <c r="AQ143" s="8">
        <f t="shared" ref="AQ143:AR143" si="565">SUM(AQ140:AQ142)</f>
        <v>1</v>
      </c>
      <c r="AR143" s="8">
        <f t="shared" si="565"/>
        <v>1</v>
      </c>
      <c r="AS143" s="8">
        <f t="shared" ref="AS143:AT143" si="566">SUM(AS140:AS142)</f>
        <v>1</v>
      </c>
      <c r="AT143" s="8">
        <f t="shared" si="566"/>
        <v>0.99999999999999989</v>
      </c>
      <c r="AU143" s="8">
        <f t="shared" ref="AU143" si="567">SUM(AU140:AU142)</f>
        <v>1.0000000000000002</v>
      </c>
      <c r="BE143" s="31">
        <f t="shared" si="553"/>
        <v>1</v>
      </c>
    </row>
    <row r="144" spans="1:77" x14ac:dyDescent="0.25">
      <c r="A144" s="71" t="s">
        <v>50</v>
      </c>
      <c r="AO144"/>
      <c r="AP144"/>
      <c r="AQ144"/>
      <c r="AR144"/>
      <c r="AS144"/>
      <c r="AT144"/>
      <c r="AU144"/>
    </row>
    <row r="145" spans="1:57" x14ac:dyDescent="0.25">
      <c r="A145" t="s">
        <v>48</v>
      </c>
      <c r="B145" s="8">
        <f>SUM(B20:B22)/B$24</f>
        <v>0.41506410256410259</v>
      </c>
      <c r="C145" s="8">
        <f t="shared" ref="C145:V145" si="568">SUM(C20:C22)/C$24</f>
        <v>0.43155452436194897</v>
      </c>
      <c r="D145" s="8">
        <f t="shared" si="568"/>
        <v>0.45597147950089129</v>
      </c>
      <c r="E145" s="8">
        <f t="shared" si="568"/>
        <v>0.45355888924353654</v>
      </c>
      <c r="F145" s="8">
        <f t="shared" si="568"/>
        <v>0.46257386736703876</v>
      </c>
      <c r="G145" s="8">
        <f t="shared" si="568"/>
        <v>0.4124475975491777</v>
      </c>
      <c r="H145" s="8">
        <f t="shared" si="568"/>
        <v>0.39654621042532778</v>
      </c>
      <c r="I145" s="8">
        <f t="shared" si="568"/>
        <v>0.43257918552036201</v>
      </c>
      <c r="J145" s="8">
        <f t="shared" si="568"/>
        <v>0.43397861889627276</v>
      </c>
      <c r="K145" s="8">
        <f t="shared" si="568"/>
        <v>0.46410958904109589</v>
      </c>
      <c r="L145" s="8">
        <f t="shared" si="568"/>
        <v>0.44074999999999998</v>
      </c>
      <c r="M145" s="8">
        <f t="shared" si="568"/>
        <v>0.44644158367743503</v>
      </c>
      <c r="N145" s="8">
        <f t="shared" si="568"/>
        <v>0.51804619826756493</v>
      </c>
      <c r="O145" s="8">
        <f t="shared" si="568"/>
        <v>0.5677403491517089</v>
      </c>
      <c r="P145" s="8">
        <f t="shared" si="568"/>
        <v>0.60702727693018954</v>
      </c>
      <c r="Q145" s="8">
        <f t="shared" si="568"/>
        <v>0.62086570477247505</v>
      </c>
      <c r="R145" s="8">
        <f t="shared" si="568"/>
        <v>0.55050709939148068</v>
      </c>
      <c r="S145" s="8">
        <f t="shared" si="568"/>
        <v>0.43804777453170646</v>
      </c>
      <c r="T145" s="8">
        <f t="shared" si="568"/>
        <v>0.44183109707971585</v>
      </c>
      <c r="U145" s="8">
        <f t="shared" si="568"/>
        <v>0.43127690100430416</v>
      </c>
      <c r="V145" s="8">
        <f t="shared" si="568"/>
        <v>0.42447443550480146</v>
      </c>
      <c r="W145" s="8">
        <f t="shared" ref="W145:X145" si="569">SUM(W20:W22)/W$24</f>
        <v>0.4774024738344434</v>
      </c>
      <c r="X145" s="8">
        <f t="shared" si="569"/>
        <v>0.47442271572201966</v>
      </c>
      <c r="Y145" s="8">
        <f t="shared" ref="Y145" si="570">SUM(Y20:Y22)/Y$24</f>
        <v>0.475469781615033</v>
      </c>
      <c r="Z145" s="31">
        <f>AVERAGE(N145:X145)</f>
        <v>0.50469472965367368</v>
      </c>
      <c r="AO145" s="8">
        <f t="shared" ref="AO145:AP145" si="571">SUM(AO20:AO22)/AO$24</f>
        <v>0.54795613160518442</v>
      </c>
      <c r="AP145" s="8">
        <f t="shared" si="571"/>
        <v>0.42222511724856698</v>
      </c>
      <c r="AQ145" s="8">
        <f t="shared" ref="AQ145:AR145" si="572">SUM(AQ20:AQ22)/AQ$24</f>
        <v>0.44490163302044489</v>
      </c>
      <c r="AR145" s="8">
        <f t="shared" si="572"/>
        <v>0.47357233952104294</v>
      </c>
      <c r="AS145" s="8">
        <f t="shared" ref="AS145:AT145" si="573">SUM(AS20:AS22)/AS$24</f>
        <v>0.43306233062330624</v>
      </c>
      <c r="AT145" s="8">
        <f t="shared" si="573"/>
        <v>0.40623830318153464</v>
      </c>
      <c r="AU145" s="8">
        <f t="shared" ref="AU145" si="574">SUM(AU20:AU22)/AU$24</f>
        <v>0.40239094493195982</v>
      </c>
      <c r="BE145" s="31">
        <f t="shared" ref="BE145:BE148" si="575">AVERAGE(AO145:AZ145)</f>
        <v>0.44719240001886285</v>
      </c>
    </row>
    <row r="146" spans="1:57" x14ac:dyDescent="0.25">
      <c r="A146" t="s">
        <v>49</v>
      </c>
      <c r="B146" s="8">
        <f>SUM(B17:B19)/B$24</f>
        <v>0.5641025641025641</v>
      </c>
      <c r="C146" s="8">
        <f t="shared" ref="C146:V146" si="576">SUM(C17:C19)/C$24</f>
        <v>0.54640371229698381</v>
      </c>
      <c r="D146" s="8">
        <f t="shared" si="576"/>
        <v>0.52156862745098043</v>
      </c>
      <c r="E146" s="8">
        <f t="shared" si="576"/>
        <v>0.5240983083306735</v>
      </c>
      <c r="F146" s="8">
        <f t="shared" si="576"/>
        <v>0.51411687458962574</v>
      </c>
      <c r="G146" s="8">
        <f t="shared" si="576"/>
        <v>0.56465656239922601</v>
      </c>
      <c r="H146" s="8">
        <f t="shared" si="576"/>
        <v>0.57914934441957144</v>
      </c>
      <c r="I146" s="8">
        <f t="shared" si="576"/>
        <v>0.54449472096530915</v>
      </c>
      <c r="J146" s="8">
        <f t="shared" si="576"/>
        <v>0.5437734758740248</v>
      </c>
      <c r="K146" s="8">
        <f t="shared" si="576"/>
        <v>0.51479452054794517</v>
      </c>
      <c r="L146" s="8">
        <f t="shared" si="576"/>
        <v>0.54100000000000004</v>
      </c>
      <c r="M146" s="8">
        <f t="shared" si="576"/>
        <v>0.5350983726014088</v>
      </c>
      <c r="N146" s="8">
        <f t="shared" si="576"/>
        <v>0.45380173243503369</v>
      </c>
      <c r="O146" s="8">
        <f t="shared" si="576"/>
        <v>0.40373739857388741</v>
      </c>
      <c r="P146" s="8">
        <f t="shared" si="576"/>
        <v>0.36569579288025889</v>
      </c>
      <c r="Q146" s="8">
        <f t="shared" si="576"/>
        <v>0.35316315205327414</v>
      </c>
      <c r="R146" s="8">
        <f t="shared" si="576"/>
        <v>0.42677484787018255</v>
      </c>
      <c r="S146" s="8">
        <f t="shared" si="576"/>
        <v>0.54356418628630354</v>
      </c>
      <c r="T146" s="8">
        <f t="shared" si="576"/>
        <v>0.54254143646408837</v>
      </c>
      <c r="U146" s="8">
        <f t="shared" si="576"/>
        <v>0.55494978479196555</v>
      </c>
      <c r="V146" s="8">
        <f t="shared" si="576"/>
        <v>0.56332727744614586</v>
      </c>
      <c r="W146" s="8">
        <f t="shared" ref="W146:X146" si="577">SUM(W17:W19)/W$24</f>
        <v>0.5115366317792579</v>
      </c>
      <c r="X146" s="8">
        <f t="shared" si="577"/>
        <v>0.51563363164291243</v>
      </c>
      <c r="Y146" s="8">
        <f t="shared" ref="Y146" si="578">SUM(Y17:Y19)/Y$24</f>
        <v>0.51609954291518534</v>
      </c>
      <c r="Z146" s="31">
        <f t="shared" ref="Z146:Z148" si="579">AVERAGE(N146:X146)</f>
        <v>0.47588417020211915</v>
      </c>
      <c r="AO146" s="8">
        <f t="shared" ref="AO146:AP146" si="580">SUM(AO17:AO19)/AO$24</f>
        <v>0.43758723828514456</v>
      </c>
      <c r="AP146" s="8">
        <f t="shared" si="580"/>
        <v>0.55914538822303284</v>
      </c>
      <c r="AQ146" s="8">
        <f t="shared" ref="AQ146:AR146" si="581">SUM(AQ17:AQ19)/AQ$24</f>
        <v>0.5367108139385367</v>
      </c>
      <c r="AR146" s="8">
        <f t="shared" si="581"/>
        <v>0.50715601530395349</v>
      </c>
      <c r="AS146" s="8">
        <f t="shared" ref="AS146:AT146" si="582">SUM(AS17:AS19)/AS$24</f>
        <v>0.54918699186991871</v>
      </c>
      <c r="AT146" s="8">
        <f t="shared" si="582"/>
        <v>0.57779164067373678</v>
      </c>
      <c r="AU146" s="8">
        <f t="shared" ref="AU146" si="583">SUM(AU17:AU19)/AU$24</f>
        <v>0.58196617067277123</v>
      </c>
      <c r="BE146" s="31">
        <f t="shared" si="575"/>
        <v>0.53564917985244198</v>
      </c>
    </row>
    <row r="147" spans="1:57" x14ac:dyDescent="0.25">
      <c r="A147" t="s">
        <v>4</v>
      </c>
      <c r="B147" s="8">
        <f>B16/B$24</f>
        <v>2.0833333333333332E-2</v>
      </c>
      <c r="C147" s="8">
        <f t="shared" ref="C147:V147" si="584">C16/C$24</f>
        <v>2.2041763341067284E-2</v>
      </c>
      <c r="D147" s="8">
        <f t="shared" si="584"/>
        <v>2.2459893048128343E-2</v>
      </c>
      <c r="E147" s="8">
        <f t="shared" si="584"/>
        <v>2.2342802425789978E-2</v>
      </c>
      <c r="F147" s="8">
        <f t="shared" si="584"/>
        <v>2.3309258043335522E-2</v>
      </c>
      <c r="G147" s="8">
        <f t="shared" si="584"/>
        <v>2.2895840051596259E-2</v>
      </c>
      <c r="H147" s="8">
        <f t="shared" si="584"/>
        <v>2.4304445155100735E-2</v>
      </c>
      <c r="I147" s="8">
        <f t="shared" si="584"/>
        <v>2.2926093514328807E-2</v>
      </c>
      <c r="J147" s="8">
        <f t="shared" si="584"/>
        <v>2.2247905229702398E-2</v>
      </c>
      <c r="K147" s="8">
        <f t="shared" si="584"/>
        <v>2.1095890410958905E-2</v>
      </c>
      <c r="L147" s="8">
        <f t="shared" si="584"/>
        <v>1.8249999999999999E-2</v>
      </c>
      <c r="M147" s="8">
        <f t="shared" si="584"/>
        <v>1.8460043721156182E-2</v>
      </c>
      <c r="N147" s="8">
        <f t="shared" si="584"/>
        <v>2.8152069297401348E-2</v>
      </c>
      <c r="O147" s="8">
        <f t="shared" si="584"/>
        <v>2.8522252274403737E-2</v>
      </c>
      <c r="P147" s="8">
        <f t="shared" si="584"/>
        <v>2.7276930189551549E-2</v>
      </c>
      <c r="Q147" s="8">
        <f t="shared" si="584"/>
        <v>2.5971143174250831E-2</v>
      </c>
      <c r="R147" s="8">
        <f t="shared" si="584"/>
        <v>2.2718052738336714E-2</v>
      </c>
      <c r="S147" s="8">
        <f t="shared" si="584"/>
        <v>1.8388039181990033E-2</v>
      </c>
      <c r="T147" s="8">
        <f t="shared" si="584"/>
        <v>1.5627466456195737E-2</v>
      </c>
      <c r="U147" s="8">
        <f t="shared" si="584"/>
        <v>1.3773314203730272E-2</v>
      </c>
      <c r="V147" s="8">
        <f t="shared" si="584"/>
        <v>1.2198287049052686E-2</v>
      </c>
      <c r="W147" s="8">
        <f t="shared" ref="W147:X147" si="585">W16/W$24</f>
        <v>1.1060894386298764E-2</v>
      </c>
      <c r="X147" s="8">
        <f t="shared" si="585"/>
        <v>9.9436526350679486E-3</v>
      </c>
      <c r="Y147" s="8">
        <f t="shared" ref="Y147" si="586">Y16/Y$24</f>
        <v>8.430675469781615E-3</v>
      </c>
      <c r="Z147" s="31">
        <f t="shared" si="579"/>
        <v>1.9421100144207233E-2</v>
      </c>
      <c r="AO147" s="8">
        <f t="shared" ref="AO147:AP147" si="587">AO16/AO$24</f>
        <v>1.4456630109670987E-2</v>
      </c>
      <c r="AP147" s="8">
        <f t="shared" si="587"/>
        <v>1.8629494528400209E-2</v>
      </c>
      <c r="AQ147" s="8">
        <f t="shared" ref="AQ147:AR147" si="588">AQ16/AQ$24</f>
        <v>1.8387553041018388E-2</v>
      </c>
      <c r="AR147" s="8">
        <f t="shared" si="588"/>
        <v>1.9271645175003543E-2</v>
      </c>
      <c r="AS147" s="8">
        <f t="shared" ref="AS147:AT147" si="589">AS16/AS$24</f>
        <v>1.7750677506775069E-2</v>
      </c>
      <c r="AT147" s="8">
        <f t="shared" si="589"/>
        <v>1.5970056144728635E-2</v>
      </c>
      <c r="AU147" s="8">
        <f t="shared" ref="AU147" si="590">AU16/AU$24</f>
        <v>1.564288439526898E-2</v>
      </c>
      <c r="BE147" s="31">
        <f t="shared" si="575"/>
        <v>1.7158420128695118E-2</v>
      </c>
    </row>
    <row r="148" spans="1:57" x14ac:dyDescent="0.25">
      <c r="B148" s="8">
        <f>SUM(B145:B147)</f>
        <v>1</v>
      </c>
      <c r="C148" s="8">
        <f t="shared" ref="C148:V148" si="591">SUM(C145:C147)</f>
        <v>1</v>
      </c>
      <c r="D148" s="8">
        <f t="shared" si="591"/>
        <v>1</v>
      </c>
      <c r="E148" s="8">
        <f t="shared" si="591"/>
        <v>1</v>
      </c>
      <c r="F148" s="8">
        <f t="shared" si="591"/>
        <v>1</v>
      </c>
      <c r="G148" s="8">
        <f t="shared" si="591"/>
        <v>1</v>
      </c>
      <c r="H148" s="8">
        <f t="shared" si="591"/>
        <v>1</v>
      </c>
      <c r="I148" s="8">
        <f t="shared" si="591"/>
        <v>1</v>
      </c>
      <c r="J148" s="8">
        <f t="shared" si="591"/>
        <v>1</v>
      </c>
      <c r="K148" s="8">
        <f t="shared" si="591"/>
        <v>1</v>
      </c>
      <c r="L148" s="8">
        <f t="shared" si="591"/>
        <v>1</v>
      </c>
      <c r="M148" s="8">
        <f t="shared" si="591"/>
        <v>1</v>
      </c>
      <c r="N148" s="8">
        <f t="shared" si="591"/>
        <v>1</v>
      </c>
      <c r="O148" s="8">
        <f t="shared" si="591"/>
        <v>1</v>
      </c>
      <c r="P148" s="8">
        <f t="shared" si="591"/>
        <v>1</v>
      </c>
      <c r="Q148" s="8">
        <f t="shared" si="591"/>
        <v>1</v>
      </c>
      <c r="R148" s="8">
        <f t="shared" si="591"/>
        <v>0.99999999999999989</v>
      </c>
      <c r="S148" s="8">
        <f t="shared" si="591"/>
        <v>1</v>
      </c>
      <c r="T148" s="8">
        <f t="shared" si="591"/>
        <v>1</v>
      </c>
      <c r="U148" s="8">
        <f t="shared" si="591"/>
        <v>1</v>
      </c>
      <c r="V148" s="8">
        <f t="shared" si="591"/>
        <v>1</v>
      </c>
      <c r="W148" s="8">
        <f t="shared" ref="W148:X148" si="592">SUM(W145:W147)</f>
        <v>1.0000000000000002</v>
      </c>
      <c r="X148" s="8">
        <f t="shared" si="592"/>
        <v>1</v>
      </c>
      <c r="Y148" s="8">
        <f t="shared" ref="Y148" si="593">SUM(Y145:Y147)</f>
        <v>1</v>
      </c>
      <c r="Z148" s="31">
        <f t="shared" si="579"/>
        <v>1</v>
      </c>
      <c r="AO148" s="8">
        <f t="shared" ref="AO148:AP148" si="594">SUM(AO145:AO147)</f>
        <v>1</v>
      </c>
      <c r="AP148" s="8">
        <f t="shared" si="594"/>
        <v>1</v>
      </c>
      <c r="AQ148" s="8">
        <f t="shared" ref="AQ148:AR148" si="595">SUM(AQ145:AQ147)</f>
        <v>0.99999999999999989</v>
      </c>
      <c r="AR148" s="8">
        <f t="shared" si="595"/>
        <v>1</v>
      </c>
      <c r="AS148" s="8">
        <f t="shared" ref="AS148:AT148" si="596">SUM(AS145:AS147)</f>
        <v>1</v>
      </c>
      <c r="AT148" s="8">
        <f t="shared" si="596"/>
        <v>1</v>
      </c>
      <c r="AU148" s="8">
        <f t="shared" ref="AU148" si="597">SUM(AU145:AU147)</f>
        <v>1</v>
      </c>
      <c r="BE148" s="31">
        <f t="shared" si="575"/>
        <v>1</v>
      </c>
    </row>
    <row r="150" spans="1:57" x14ac:dyDescent="0.25">
      <c r="A150" t="s">
        <v>55</v>
      </c>
      <c r="B150" s="3">
        <v>42005</v>
      </c>
      <c r="C150" s="3">
        <v>42036</v>
      </c>
      <c r="D150" s="3">
        <v>42064</v>
      </c>
      <c r="E150" s="3">
        <v>42095</v>
      </c>
      <c r="F150" s="3">
        <v>42125</v>
      </c>
      <c r="G150" s="3">
        <v>42156</v>
      </c>
      <c r="H150" s="3">
        <v>42186</v>
      </c>
      <c r="I150" s="3">
        <v>42217</v>
      </c>
      <c r="J150" s="3">
        <v>42248</v>
      </c>
      <c r="K150" s="3">
        <v>42278</v>
      </c>
      <c r="L150" s="3">
        <v>42309</v>
      </c>
      <c r="M150" s="3">
        <v>42339</v>
      </c>
      <c r="N150" s="3">
        <v>42370</v>
      </c>
      <c r="O150" s="3">
        <v>42401</v>
      </c>
      <c r="P150" s="3">
        <v>42430</v>
      </c>
      <c r="Q150" s="3">
        <v>42461</v>
      </c>
      <c r="R150" s="3">
        <v>42491</v>
      </c>
      <c r="S150" s="3">
        <v>42522</v>
      </c>
      <c r="T150" s="3">
        <v>42552</v>
      </c>
      <c r="U150" s="3">
        <v>42583</v>
      </c>
      <c r="V150" s="3">
        <v>42614</v>
      </c>
      <c r="W150" s="3">
        <v>42644</v>
      </c>
      <c r="X150" s="3">
        <v>42675</v>
      </c>
      <c r="Y150" s="3">
        <v>42705</v>
      </c>
      <c r="AM150" t="s">
        <v>55</v>
      </c>
      <c r="AO150" s="108">
        <v>42736</v>
      </c>
      <c r="AP150" s="108">
        <v>42767</v>
      </c>
      <c r="AQ150" s="108">
        <v>42795</v>
      </c>
      <c r="AR150" s="108">
        <v>42826</v>
      </c>
      <c r="AS150" s="108">
        <v>42856</v>
      </c>
      <c r="AT150" s="108">
        <v>42887</v>
      </c>
      <c r="AU150" s="108">
        <v>42917</v>
      </c>
      <c r="AV150" s="108">
        <v>42948</v>
      </c>
      <c r="AW150" s="108">
        <v>42979</v>
      </c>
      <c r="AX150" s="108">
        <v>43009</v>
      </c>
      <c r="AY150" s="108">
        <v>43040</v>
      </c>
      <c r="AZ150" s="108">
        <v>43070</v>
      </c>
    </row>
    <row r="151" spans="1:57" x14ac:dyDescent="0.25">
      <c r="A151" t="s">
        <v>48</v>
      </c>
      <c r="B151" s="8">
        <f>SUM(B32:B34)/SUM(B20:B22)</f>
        <v>0.16119691119691121</v>
      </c>
      <c r="C151" s="8">
        <f t="shared" ref="C151:V151" si="598">SUM(C32:C34)/SUM(C20:C22)</f>
        <v>0.12634408602150538</v>
      </c>
      <c r="D151" s="8">
        <f t="shared" si="598"/>
        <v>0.16731821735731039</v>
      </c>
      <c r="E151" s="8">
        <f t="shared" si="598"/>
        <v>0.19352568613652357</v>
      </c>
      <c r="F151" s="8">
        <f t="shared" si="598"/>
        <v>0.25904897090134849</v>
      </c>
      <c r="G151" s="8">
        <f t="shared" si="598"/>
        <v>0.26035965598123534</v>
      </c>
      <c r="H151" s="8">
        <f t="shared" si="598"/>
        <v>0.25967741935483873</v>
      </c>
      <c r="I151" s="8">
        <f t="shared" si="598"/>
        <v>0.22175732217573221</v>
      </c>
      <c r="J151" s="8">
        <f t="shared" si="598"/>
        <v>0.39014647137150466</v>
      </c>
      <c r="K151" s="8">
        <f t="shared" si="598"/>
        <v>0.2680047225501771</v>
      </c>
      <c r="L151" s="8">
        <f t="shared" si="598"/>
        <v>0.31083380601247873</v>
      </c>
      <c r="M151" s="8">
        <f t="shared" si="598"/>
        <v>0.3400435255712731</v>
      </c>
      <c r="N151" s="8">
        <f t="shared" si="598"/>
        <v>0.13005109150023222</v>
      </c>
      <c r="O151" s="8">
        <f t="shared" si="598"/>
        <v>0.12256388046773495</v>
      </c>
      <c r="P151" s="8">
        <f t="shared" si="598"/>
        <v>0.20982482863670981</v>
      </c>
      <c r="Q151" s="8">
        <f t="shared" si="598"/>
        <v>0.16195924204504827</v>
      </c>
      <c r="R151" s="8">
        <f t="shared" si="598"/>
        <v>0.15733235077376567</v>
      </c>
      <c r="S151" s="8">
        <f t="shared" si="598"/>
        <v>0.20596312279325227</v>
      </c>
      <c r="T151" s="8">
        <f t="shared" si="598"/>
        <v>0.14362272240085744</v>
      </c>
      <c r="U151" s="8">
        <f t="shared" si="598"/>
        <v>0.14271457085828343</v>
      </c>
      <c r="V151" s="8">
        <f t="shared" si="598"/>
        <v>0.14552124732497707</v>
      </c>
      <c r="W151" s="8">
        <f t="shared" ref="W151:X151" si="599">SUM(W32:W34)/SUM(W20:W22)</f>
        <v>0.1111111111111111</v>
      </c>
      <c r="X151" s="8">
        <f t="shared" si="599"/>
        <v>0.10572892408011178</v>
      </c>
      <c r="Y151" s="8">
        <f t="shared" ref="Y151" si="600">SUM(Y32:Y34)/SUM(Y20:Y22)</f>
        <v>0.1760307626575518</v>
      </c>
      <c r="Z151" s="31"/>
      <c r="AM151" t="s">
        <v>48</v>
      </c>
      <c r="AO151" s="8">
        <f t="shared" ref="AO151:AP151" si="601">SUM(AO32:AO34)/SUM(AO20:AO22)</f>
        <v>5.8951965065502182E-2</v>
      </c>
      <c r="AP151" s="8">
        <f t="shared" si="601"/>
        <v>0.14717679728478864</v>
      </c>
      <c r="AQ151" s="8">
        <f t="shared" ref="AQ151:AR151" si="602">SUM(AQ32:AQ34)/SUM(AQ20:AQ22)</f>
        <v>0.19161849710982659</v>
      </c>
      <c r="AR151" s="8">
        <f t="shared" si="602"/>
        <v>0.18461998803111909</v>
      </c>
      <c r="AS151" s="8">
        <f t="shared" ref="AS151:AT151" si="603">SUM(AS32:AS34)/SUM(AS20:AS22)</f>
        <v>0.14705882352941177</v>
      </c>
      <c r="AT151" s="8">
        <f t="shared" si="603"/>
        <v>0.1382063882063882</v>
      </c>
      <c r="AU151" s="8">
        <f>SUM(AU32:AU34)/SUM(AU20:AU22)</f>
        <v>0.12610619469026549</v>
      </c>
    </row>
    <row r="152" spans="1:57" x14ac:dyDescent="0.25">
      <c r="A152" t="s">
        <v>49</v>
      </c>
      <c r="B152" s="8">
        <f>SUM(B29:B31)/SUM(B17:B19)</f>
        <v>0.25</v>
      </c>
      <c r="C152" s="8">
        <f t="shared" ref="C152:V152" si="604">SUM(C29:C31)/SUM(C17:C19)</f>
        <v>0.20806794055201699</v>
      </c>
      <c r="D152" s="8">
        <f t="shared" si="604"/>
        <v>0.26452494873547505</v>
      </c>
      <c r="E152" s="8">
        <f t="shared" si="604"/>
        <v>0.25334957369062117</v>
      </c>
      <c r="F152" s="8">
        <f t="shared" si="604"/>
        <v>0.29182630906768836</v>
      </c>
      <c r="G152" s="8">
        <f t="shared" si="604"/>
        <v>0.3489434608794974</v>
      </c>
      <c r="H152" s="8">
        <f t="shared" si="604"/>
        <v>0.3556046383213694</v>
      </c>
      <c r="I152" s="8">
        <f t="shared" si="604"/>
        <v>0.25872576177285317</v>
      </c>
      <c r="J152" s="8">
        <f t="shared" si="604"/>
        <v>0.37885228480340066</v>
      </c>
      <c r="K152" s="8">
        <f t="shared" si="604"/>
        <v>0.32730175625332625</v>
      </c>
      <c r="L152" s="8">
        <f t="shared" si="604"/>
        <v>0.35258780036968579</v>
      </c>
      <c r="M152" s="8">
        <f t="shared" si="604"/>
        <v>0.40217884702678164</v>
      </c>
      <c r="N152" s="8">
        <f t="shared" si="604"/>
        <v>0.16436903499469777</v>
      </c>
      <c r="O152" s="8">
        <f t="shared" si="604"/>
        <v>0.18026796589524968</v>
      </c>
      <c r="P152" s="8">
        <f t="shared" si="604"/>
        <v>0.31605562579013907</v>
      </c>
      <c r="Q152" s="8">
        <f t="shared" si="604"/>
        <v>0.2985543683218102</v>
      </c>
      <c r="R152" s="8">
        <f t="shared" si="604"/>
        <v>0.29039923954372626</v>
      </c>
      <c r="S152" s="8">
        <f t="shared" si="604"/>
        <v>0.33449257034460955</v>
      </c>
      <c r="T152" s="8">
        <f t="shared" si="604"/>
        <v>0.25080011638056443</v>
      </c>
      <c r="U152" s="8">
        <f t="shared" si="604"/>
        <v>0.24405377456049637</v>
      </c>
      <c r="V152" s="8">
        <f t="shared" si="604"/>
        <v>0.27804653305689936</v>
      </c>
      <c r="W152" s="8">
        <f t="shared" ref="W152:X152" si="605">SUM(W29:W31)/SUM(W17:W19)</f>
        <v>0.22738897930713786</v>
      </c>
      <c r="X152" s="8">
        <f t="shared" si="605"/>
        <v>0.2234840368545104</v>
      </c>
      <c r="Y152" s="8">
        <f t="shared" ref="Y152" si="606">SUM(Y29:Y31)/SUM(Y17:Y19)</f>
        <v>0.32375516630584533</v>
      </c>
      <c r="Z152" s="31"/>
      <c r="AM152" t="s">
        <v>49</v>
      </c>
      <c r="AO152" s="8">
        <f t="shared" ref="AO152:AP152" si="607">SUM(AO29:AO31)/SUM(AO17:AO19)</f>
        <v>0.14035087719298245</v>
      </c>
      <c r="AP152" s="8">
        <f t="shared" si="607"/>
        <v>0.20153774464119292</v>
      </c>
      <c r="AQ152" s="8">
        <f t="shared" ref="AQ152:AR152" si="608">SUM(AQ29:AQ31)/SUM(AQ17:AQ19)</f>
        <v>0.27455678006708195</v>
      </c>
      <c r="AR152" s="8">
        <f t="shared" si="608"/>
        <v>0.269907795473596</v>
      </c>
      <c r="AS152" s="8">
        <f t="shared" ref="AS152:AT152" si="609">SUM(AS29:AS31)/SUM(AS17:AS19)</f>
        <v>0.22329138909449792</v>
      </c>
      <c r="AT152" s="8">
        <f t="shared" si="609"/>
        <v>0.29000215936082918</v>
      </c>
      <c r="AU152" s="8">
        <f t="shared" ref="AU152" si="610">SUM(AU29:AU31)/SUM(AU17:AU19)</f>
        <v>0.20804195804195805</v>
      </c>
    </row>
    <row r="153" spans="1:57" x14ac:dyDescent="0.25">
      <c r="A153" t="s">
        <v>4</v>
      </c>
      <c r="B153" s="8">
        <f>B28/B16</f>
        <v>0.73076923076923073</v>
      </c>
      <c r="C153" s="8">
        <f t="shared" ref="C153:V153" si="611">C28/C16</f>
        <v>0.52631578947368418</v>
      </c>
      <c r="D153" s="8">
        <f t="shared" si="611"/>
        <v>0.65079365079365081</v>
      </c>
      <c r="E153" s="8">
        <f t="shared" si="611"/>
        <v>0.75714285714285712</v>
      </c>
      <c r="F153" s="8">
        <f t="shared" si="611"/>
        <v>0.83098591549295775</v>
      </c>
      <c r="G153" s="8">
        <f t="shared" si="611"/>
        <v>0.76056338028169013</v>
      </c>
      <c r="H153" s="8">
        <f t="shared" si="611"/>
        <v>0.68421052631578949</v>
      </c>
      <c r="I153" s="8">
        <f t="shared" si="611"/>
        <v>0.61842105263157898</v>
      </c>
      <c r="J153" s="8">
        <f t="shared" si="611"/>
        <v>0.8441558441558441</v>
      </c>
      <c r="K153" s="8">
        <f t="shared" si="611"/>
        <v>0.79220779220779225</v>
      </c>
      <c r="L153" s="8">
        <f t="shared" si="611"/>
        <v>0.73972602739726023</v>
      </c>
      <c r="M153" s="8">
        <f t="shared" si="611"/>
        <v>0.75</v>
      </c>
      <c r="N153" s="8">
        <f t="shared" si="611"/>
        <v>0.38461538461538464</v>
      </c>
      <c r="O153" s="8">
        <f t="shared" si="611"/>
        <v>0.35344827586206895</v>
      </c>
      <c r="P153" s="8">
        <f t="shared" si="611"/>
        <v>0.55084745762711862</v>
      </c>
      <c r="Q153" s="8">
        <f t="shared" si="611"/>
        <v>0.4358974358974359</v>
      </c>
      <c r="R153" s="8">
        <f t="shared" si="611"/>
        <v>0.44642857142857145</v>
      </c>
      <c r="S153" s="8">
        <f t="shared" si="611"/>
        <v>0.59813084112149528</v>
      </c>
      <c r="T153" s="8">
        <f t="shared" si="611"/>
        <v>0.46464646464646464</v>
      </c>
      <c r="U153" s="8">
        <f t="shared" si="611"/>
        <v>0.48958333333333331</v>
      </c>
      <c r="V153" s="8">
        <f t="shared" si="611"/>
        <v>0.54255319148936165</v>
      </c>
      <c r="W153" s="8">
        <f t="shared" ref="W153:X153" si="612">W28/W16</f>
        <v>0.45161290322580644</v>
      </c>
      <c r="X153" s="8">
        <f t="shared" si="612"/>
        <v>0.46666666666666667</v>
      </c>
      <c r="Y153" s="8">
        <f t="shared" ref="Y153" si="613">Y28/Y16</f>
        <v>0.61445783132530118</v>
      </c>
      <c r="Z153" s="31"/>
      <c r="AM153" t="s">
        <v>4</v>
      </c>
      <c r="AO153" s="8">
        <f t="shared" ref="AO153:AP153" si="614">AO28/AO16</f>
        <v>0.55862068965517242</v>
      </c>
      <c r="AP153" s="8">
        <f t="shared" si="614"/>
        <v>0.69930069930069927</v>
      </c>
      <c r="AQ153" s="8">
        <f t="shared" ref="AQ153:AR153" si="615">AQ28/AQ16</f>
        <v>0.74125874125874125</v>
      </c>
      <c r="AR153" s="8">
        <f t="shared" si="615"/>
        <v>0.73529411764705888</v>
      </c>
      <c r="AS153" s="8">
        <f t="shared" ref="AS153:AT153" si="616">AS28/AS16</f>
        <v>0.70229007633587781</v>
      </c>
      <c r="AT153" s="8">
        <f t="shared" si="616"/>
        <v>0.7421875</v>
      </c>
      <c r="AU153" s="8">
        <f t="shared" ref="AU153" si="617">AU28/AU16</f>
        <v>0.65040650406504064</v>
      </c>
    </row>
    <row r="154" spans="1:57" x14ac:dyDescent="0.25">
      <c r="Z154" s="31"/>
      <c r="AM154"/>
      <c r="AO154"/>
      <c r="AP154"/>
      <c r="AQ154"/>
      <c r="AR154"/>
      <c r="AS154"/>
      <c r="AT154"/>
      <c r="AU154"/>
    </row>
    <row r="155" spans="1:57" x14ac:dyDescent="0.25">
      <c r="A155" t="s">
        <v>52</v>
      </c>
      <c r="AM155" t="s">
        <v>52</v>
      </c>
      <c r="AO155"/>
      <c r="AP155"/>
      <c r="AQ155"/>
      <c r="AR155"/>
      <c r="AS155"/>
      <c r="AT155"/>
      <c r="AU155"/>
    </row>
    <row r="156" spans="1:57" x14ac:dyDescent="0.25">
      <c r="A156" t="s">
        <v>48</v>
      </c>
      <c r="B156" s="10">
        <f>SUM(B8:B10)/SUM(B58:B60)</f>
        <v>12.165877094972068</v>
      </c>
      <c r="C156" s="10">
        <f t="shared" ref="C156:V156" si="618">SUM(C8:C10)/SUM(C58:C60)</f>
        <v>16.39680838323353</v>
      </c>
      <c r="D156" s="10">
        <f t="shared" si="618"/>
        <v>16.499994773519163</v>
      </c>
      <c r="E156" s="10">
        <f t="shared" si="618"/>
        <v>20.17077734375</v>
      </c>
      <c r="F156" s="10">
        <f t="shared" si="618"/>
        <v>14.039651826484018</v>
      </c>
      <c r="G156" s="10">
        <f t="shared" si="618"/>
        <v>23.376402010050253</v>
      </c>
      <c r="H156" s="10">
        <f t="shared" si="618"/>
        <v>20.709918823529414</v>
      </c>
      <c r="I156" s="10">
        <f t="shared" si="618"/>
        <v>16.129231754161331</v>
      </c>
      <c r="J156" s="10">
        <f t="shared" si="618"/>
        <v>20.150941830065346</v>
      </c>
      <c r="K156" s="10">
        <f t="shared" si="618"/>
        <v>13.979350135013503</v>
      </c>
      <c r="L156" s="10">
        <f t="shared" si="618"/>
        <v>16.743358775137121</v>
      </c>
      <c r="M156" s="10">
        <f t="shared" si="618"/>
        <v>20.961197802197802</v>
      </c>
      <c r="N156" s="10">
        <f t="shared" si="618"/>
        <v>14.042312236286921</v>
      </c>
      <c r="O156" s="10">
        <f t="shared" si="618"/>
        <v>16.880122562674096</v>
      </c>
      <c r="P156" s="10">
        <f t="shared" si="618"/>
        <v>15.873884965831433</v>
      </c>
      <c r="Q156" s="10">
        <f t="shared" si="618"/>
        <v>17.817696160267111</v>
      </c>
      <c r="R156" s="10">
        <f t="shared" si="618"/>
        <v>17.432315878378379</v>
      </c>
      <c r="S156" s="10">
        <f t="shared" si="618"/>
        <v>15.144354588796185</v>
      </c>
      <c r="T156" s="10">
        <f t="shared" si="618"/>
        <v>16.803745886654482</v>
      </c>
      <c r="U156" s="10">
        <f t="shared" si="618"/>
        <v>18.064996766370253</v>
      </c>
      <c r="V156" s="10">
        <f t="shared" si="618"/>
        <v>17.381971590909089</v>
      </c>
      <c r="W156" s="10">
        <f t="shared" ref="W156:X156" si="619">SUM(W8:W10)/SUM(W58:W60)</f>
        <v>20.515086321381144</v>
      </c>
      <c r="X156" s="10">
        <f t="shared" si="619"/>
        <v>17.304182875264271</v>
      </c>
      <c r="Y156" s="10">
        <f t="shared" ref="Y156" si="620">SUM(Y8:Y10)/SUM(Y58:Y60)</f>
        <v>20.526255203877994</v>
      </c>
      <c r="AM156" t="s">
        <v>48</v>
      </c>
      <c r="AO156" s="10">
        <f t="shared" ref="AO156:AP156" si="621">SUM(AO8:AO10)/SUM(AO58:AO60)</f>
        <v>16.794154222766217</v>
      </c>
      <c r="AP156" s="10">
        <f t="shared" si="621"/>
        <v>16.834050549450549</v>
      </c>
      <c r="AQ156" s="10">
        <f t="shared" ref="AQ156:AR156" si="622">SUM(AQ8:AQ10)/SUM(AQ58:AQ60)</f>
        <v>16.318494722349701</v>
      </c>
      <c r="AR156" s="10">
        <f t="shared" si="622"/>
        <v>16.304917182294144</v>
      </c>
      <c r="AS156" s="10">
        <f t="shared" ref="AS156:AT156" si="623">SUM(AS8:AS10)/SUM(AS58:AS60)</f>
        <v>13.975892074198986</v>
      </c>
      <c r="AT156" s="10">
        <f t="shared" si="623"/>
        <v>18.051092258748675</v>
      </c>
      <c r="AU156" s="10">
        <f t="shared" ref="AU156" si="624">SUM(AU8:AU10)/SUM(AU58:AU60)</f>
        <v>17.80792288710672</v>
      </c>
    </row>
    <row r="157" spans="1:57" x14ac:dyDescent="0.25">
      <c r="A157" t="s">
        <v>49</v>
      </c>
      <c r="B157" s="10">
        <f>SUM(B5:B7)/SUM(B55:B57)</f>
        <v>13.628383259911894</v>
      </c>
      <c r="C157" s="10">
        <f t="shared" ref="C157:V157" si="625">SUM(C5:C7)/SUM(C55:C57)</f>
        <v>13.680038251366119</v>
      </c>
      <c r="D157" s="10">
        <f t="shared" si="625"/>
        <v>16.225667562724016</v>
      </c>
      <c r="E157" s="10">
        <f t="shared" si="625"/>
        <v>17.508351758793971</v>
      </c>
      <c r="F157" s="10">
        <f t="shared" si="625"/>
        <v>15.174931574608408</v>
      </c>
      <c r="G157" s="10">
        <f t="shared" si="625"/>
        <v>15.806122838401896</v>
      </c>
      <c r="H157" s="10">
        <f t="shared" si="625"/>
        <v>14.060311816192559</v>
      </c>
      <c r="I157" s="10">
        <f t="shared" si="625"/>
        <v>13.685679054054054</v>
      </c>
      <c r="J157" s="10">
        <f t="shared" si="625"/>
        <v>15.215626082991337</v>
      </c>
      <c r="K157" s="10">
        <f t="shared" si="625"/>
        <v>15.661765402843603</v>
      </c>
      <c r="L157" s="10">
        <f t="shared" si="625"/>
        <v>14.29292262773725</v>
      </c>
      <c r="M157" s="10">
        <f t="shared" si="625"/>
        <v>15.714463285625394</v>
      </c>
      <c r="N157" s="10">
        <f t="shared" si="625"/>
        <v>14.079632704402512</v>
      </c>
      <c r="O157" s="10">
        <f t="shared" si="625"/>
        <v>14.266506393861894</v>
      </c>
      <c r="P157" s="10">
        <f t="shared" si="625"/>
        <v>17.359709429824562</v>
      </c>
      <c r="Q157" s="10">
        <f t="shared" si="625"/>
        <v>18.546511659807969</v>
      </c>
      <c r="R157" s="10">
        <f t="shared" si="625"/>
        <v>15.429855135135135</v>
      </c>
      <c r="S157" s="10">
        <f t="shared" si="625"/>
        <v>14.181541597796183</v>
      </c>
      <c r="T157" s="10">
        <f t="shared" si="625"/>
        <v>14.225243044189861</v>
      </c>
      <c r="U157" s="10">
        <f t="shared" si="625"/>
        <v>13.137227007299291</v>
      </c>
      <c r="V157" s="10">
        <f t="shared" si="625"/>
        <v>14.174629568498029</v>
      </c>
      <c r="W157" s="10">
        <f t="shared" ref="W157:X157" si="626">SUM(W5:W7)/SUM(W55:W57)</f>
        <v>15.061704481792731</v>
      </c>
      <c r="X157" s="10">
        <f t="shared" si="626"/>
        <v>16.782758931006317</v>
      </c>
      <c r="Y157" s="10">
        <f t="shared" ref="Y157" si="627">SUM(Y5:Y7)/SUM(Y55:Y57)</f>
        <v>17.031478857507665</v>
      </c>
      <c r="AM157" t="s">
        <v>49</v>
      </c>
      <c r="AO157" s="10">
        <f t="shared" ref="AO157:AP157" si="628">SUM(AO5:AO7)/SUM(AO55:AO57)</f>
        <v>14.170920061887571</v>
      </c>
      <c r="AP157" s="10">
        <f t="shared" si="628"/>
        <v>14.942372168284805</v>
      </c>
      <c r="AQ157" s="10">
        <f t="shared" ref="AQ157:AR157" si="629">SUM(AQ5:AQ7)/SUM(AQ55:AQ57)</f>
        <v>14.446659804426144</v>
      </c>
      <c r="AR157" s="10">
        <f t="shared" si="629"/>
        <v>14.625971840209573</v>
      </c>
      <c r="AS157" s="10">
        <f t="shared" ref="AS157:AT157" si="630">SUM(AS5:AS7)/SUM(AS55:AS57)</f>
        <v>15.283087790111001</v>
      </c>
      <c r="AT157" s="10">
        <f t="shared" si="630"/>
        <v>14.422545198403382</v>
      </c>
      <c r="AU157" s="10">
        <f t="shared" ref="AU157" si="631">SUM(AU5:AU7)/SUM(AU55:AU57)</f>
        <v>15.136624372279917</v>
      </c>
    </row>
    <row r="158" spans="1:57" x14ac:dyDescent="0.25">
      <c r="A158" t="s">
        <v>4</v>
      </c>
      <c r="B158" s="10">
        <f>B4/B54</f>
        <v>25.032451219512197</v>
      </c>
      <c r="C158" s="10">
        <f t="shared" ref="C158:V158" si="632">C4/C54</f>
        <v>19.755242424242425</v>
      </c>
      <c r="D158" s="10">
        <f t="shared" si="632"/>
        <v>33.425615384615384</v>
      </c>
      <c r="E158" s="10">
        <f t="shared" si="632"/>
        <v>33.375156804733727</v>
      </c>
      <c r="F158" s="10">
        <f t="shared" si="632"/>
        <v>27.285160337552746</v>
      </c>
      <c r="G158" s="10">
        <f t="shared" si="632"/>
        <v>32.193661016949157</v>
      </c>
      <c r="H158" s="10">
        <f t="shared" si="632"/>
        <v>43.875194767441855</v>
      </c>
      <c r="I158" s="10">
        <f t="shared" si="632"/>
        <v>25.721978609625669</v>
      </c>
      <c r="J158" s="10">
        <f t="shared" si="632"/>
        <v>35.026007751937982</v>
      </c>
      <c r="K158" s="10">
        <f t="shared" si="632"/>
        <v>27.151162393162334</v>
      </c>
      <c r="L158" s="10">
        <f t="shared" si="632"/>
        <v>27.188452247191012</v>
      </c>
      <c r="M158" s="10">
        <f t="shared" si="632"/>
        <v>31.669962393162354</v>
      </c>
      <c r="N158" s="10">
        <f t="shared" si="632"/>
        <v>35.149828124999999</v>
      </c>
      <c r="O158" s="10">
        <f t="shared" si="632"/>
        <v>31.867835820895074</v>
      </c>
      <c r="P158" s="10">
        <f t="shared" si="632"/>
        <v>26.925121951219452</v>
      </c>
      <c r="Q158" s="10">
        <f t="shared" si="632"/>
        <v>37.592350282485882</v>
      </c>
      <c r="R158" s="10">
        <f t="shared" si="632"/>
        <v>31.795125000000002</v>
      </c>
      <c r="S158" s="10">
        <f t="shared" si="632"/>
        <v>27.800063432835824</v>
      </c>
      <c r="T158" s="10">
        <f t="shared" si="632"/>
        <v>31.257836363636365</v>
      </c>
      <c r="U158" s="10">
        <f t="shared" si="632"/>
        <v>25.938352657004828</v>
      </c>
      <c r="V158" s="10">
        <f t="shared" si="632"/>
        <v>25.281529010238909</v>
      </c>
      <c r="W158" s="10">
        <f t="shared" ref="W158:X158" si="633">W4/W54</f>
        <v>27.026854700854699</v>
      </c>
      <c r="X158" s="10">
        <f t="shared" si="633"/>
        <v>28.059678700361012</v>
      </c>
      <c r="Y158" s="10">
        <f t="shared" ref="Y158" si="634">Y4/Y54</f>
        <v>32.110261574074073</v>
      </c>
      <c r="AM158" t="s">
        <v>4</v>
      </c>
      <c r="AO158" s="10">
        <f t="shared" ref="AO158:AP158" si="635">AO4/AO54</f>
        <v>22.4601875</v>
      </c>
      <c r="AP158" s="10">
        <f t="shared" si="635"/>
        <v>32.71586585365857</v>
      </c>
      <c r="AQ158" s="10">
        <f t="shared" ref="AQ158:AR158" si="636">AQ4/AQ54</f>
        <v>26.061524547803621</v>
      </c>
      <c r="AR158" s="10">
        <f t="shared" si="636"/>
        <v>25.610891495601233</v>
      </c>
      <c r="AS158" s="10">
        <f t="shared" ref="AS158:AT158" si="637">AS4/AS54</f>
        <v>23.589915014164305</v>
      </c>
      <c r="AT158" s="10">
        <f t="shared" si="637"/>
        <v>24.274827144686299</v>
      </c>
      <c r="AU158" s="10">
        <f t="shared" ref="AU158" si="638">AU4/AU54</f>
        <v>25.155434482758679</v>
      </c>
    </row>
    <row r="159" spans="1:57" x14ac:dyDescent="0.25">
      <c r="AM159"/>
      <c r="AO159"/>
      <c r="AP159"/>
      <c r="AQ159"/>
      <c r="AR159"/>
      <c r="AS159"/>
      <c r="AT159"/>
      <c r="AU159"/>
    </row>
    <row r="160" spans="1:57" x14ac:dyDescent="0.25">
      <c r="A160" t="s">
        <v>53</v>
      </c>
      <c r="AM160" t="s">
        <v>53</v>
      </c>
      <c r="AO160"/>
      <c r="AP160"/>
      <c r="AQ160"/>
      <c r="AR160"/>
      <c r="AS160"/>
      <c r="AT160"/>
      <c r="AU160"/>
    </row>
    <row r="161" spans="1:47" x14ac:dyDescent="0.25">
      <c r="A161" t="s">
        <v>48</v>
      </c>
      <c r="B161" s="10">
        <f>SUM(B58:B60)/SUM(B32:B34)</f>
        <v>1.0718562874251496</v>
      </c>
      <c r="C161" s="10">
        <f t="shared" ref="C161:V161" si="639">SUM(C58:C60)/SUM(C32:C34)</f>
        <v>1.1843971631205674</v>
      </c>
      <c r="D161" s="10">
        <f t="shared" si="639"/>
        <v>1.3411214953271029</v>
      </c>
      <c r="E161" s="10">
        <f t="shared" si="639"/>
        <v>1.3963636363636365</v>
      </c>
      <c r="F161" s="10">
        <f t="shared" si="639"/>
        <v>1.2</v>
      </c>
      <c r="G161" s="10">
        <f t="shared" si="639"/>
        <v>1.1951951951951951</v>
      </c>
      <c r="H161" s="10">
        <f t="shared" si="639"/>
        <v>1.3198757763975155</v>
      </c>
      <c r="I161" s="10">
        <f t="shared" si="639"/>
        <v>1.2279874213836477</v>
      </c>
      <c r="J161" s="10">
        <f t="shared" si="639"/>
        <v>1.3054607508532423</v>
      </c>
      <c r="K161" s="10">
        <f t="shared" si="639"/>
        <v>1.223568281938326</v>
      </c>
      <c r="L161" s="10">
        <f t="shared" si="639"/>
        <v>1.9963503649635037</v>
      </c>
      <c r="M161" s="10">
        <f t="shared" si="639"/>
        <v>1.82</v>
      </c>
      <c r="N161" s="10">
        <f t="shared" si="639"/>
        <v>1.2696428571428571</v>
      </c>
      <c r="O161" s="10">
        <f t="shared" si="639"/>
        <v>1.2685512367491165</v>
      </c>
      <c r="P161" s="10">
        <f t="shared" si="639"/>
        <v>1.5934664246823957</v>
      </c>
      <c r="Q161" s="10">
        <f t="shared" si="639"/>
        <v>1.3222958057395144</v>
      </c>
      <c r="R161" s="10">
        <f t="shared" si="639"/>
        <v>1.3864168618266979</v>
      </c>
      <c r="S161" s="10">
        <f t="shared" si="639"/>
        <v>1.598095238095238</v>
      </c>
      <c r="T161" s="10">
        <f t="shared" si="639"/>
        <v>1.3606965174129353</v>
      </c>
      <c r="U161" s="10">
        <f t="shared" si="639"/>
        <v>1.4417249417249418</v>
      </c>
      <c r="V161" s="10">
        <f t="shared" si="639"/>
        <v>1.8487394957983194</v>
      </c>
      <c r="W161" s="10">
        <f t="shared" ref="W161:X161" si="640">SUM(W58:W60)/SUM(W32:W34)</f>
        <v>1.688340807174888</v>
      </c>
      <c r="X161" s="10">
        <f t="shared" si="640"/>
        <v>2.0837004405286343</v>
      </c>
      <c r="Y161" s="10">
        <f t="shared" ref="Y161" si="641">SUM(Y58:Y60)/SUM(Y32:Y34)</f>
        <v>2.1280339805825244</v>
      </c>
      <c r="AM161" t="s">
        <v>48</v>
      </c>
      <c r="AO161" s="10">
        <f t="shared" ref="AO161:AP161" si="642">SUM(AO58:AO60)/SUM(AO32:AO34)</f>
        <v>1.2608024691358024</v>
      </c>
      <c r="AP161" s="10">
        <f t="shared" si="642"/>
        <v>1.4308176100628931</v>
      </c>
      <c r="AQ161" s="10">
        <f t="shared" ref="AQ161:AR161" si="643">SUM(AQ58:AQ60)/SUM(AQ32:AQ34)</f>
        <v>1.643288084464555</v>
      </c>
      <c r="AR161" s="10">
        <f t="shared" si="643"/>
        <v>1.7025931928687197</v>
      </c>
      <c r="AS161" s="10">
        <f t="shared" ref="AS161:AT161" si="644">SUM(AS58:AS60)/SUM(AS32:AS34)</f>
        <v>3.1542553191489362</v>
      </c>
      <c r="AT161" s="10">
        <f t="shared" si="644"/>
        <v>2.0955555555555554</v>
      </c>
      <c r="AU161" s="10">
        <f t="shared" ref="AU161" si="645">SUM(AU58:AU60)/SUM(AU32:AU34)</f>
        <v>2.0313283208020052</v>
      </c>
    </row>
    <row r="162" spans="1:47" x14ac:dyDescent="0.25">
      <c r="A162" t="s">
        <v>49</v>
      </c>
      <c r="B162" s="10">
        <f>SUM(B55:B57)/SUM(B29:B31)</f>
        <v>1.2897727272727273</v>
      </c>
      <c r="C162" s="10">
        <f t="shared" ref="C162:V162" si="646">SUM(C55:C57)/SUM(C29:C31)</f>
        <v>1.2448979591836735</v>
      </c>
      <c r="D162" s="10">
        <f t="shared" si="646"/>
        <v>1.441860465116279</v>
      </c>
      <c r="E162" s="10">
        <f t="shared" si="646"/>
        <v>1.4350961538461537</v>
      </c>
      <c r="F162" s="10">
        <f t="shared" si="646"/>
        <v>1.3271334792122538</v>
      </c>
      <c r="G162" s="10">
        <f t="shared" si="646"/>
        <v>1.3723404255319149</v>
      </c>
      <c r="H162" s="10">
        <f t="shared" si="646"/>
        <v>1.4192546583850931</v>
      </c>
      <c r="I162" s="10">
        <f t="shared" si="646"/>
        <v>1.2676659528907923</v>
      </c>
      <c r="J162" s="10">
        <f t="shared" si="646"/>
        <v>1.5378681626928472</v>
      </c>
      <c r="K162" s="10">
        <f t="shared" si="646"/>
        <v>1.3723577235772357</v>
      </c>
      <c r="L162" s="10">
        <f t="shared" si="646"/>
        <v>1.7955439056356488</v>
      </c>
      <c r="M162" s="10">
        <f t="shared" si="646"/>
        <v>1.8137697516930023</v>
      </c>
      <c r="N162" s="10">
        <f t="shared" si="646"/>
        <v>1.282258064516129</v>
      </c>
      <c r="O162" s="10">
        <f t="shared" si="646"/>
        <v>1.3209459459459461</v>
      </c>
      <c r="P162" s="10">
        <f t="shared" si="646"/>
        <v>1.8240000000000001</v>
      </c>
      <c r="Q162" s="10">
        <f t="shared" si="646"/>
        <v>1.5347368421052632</v>
      </c>
      <c r="R162" s="10">
        <f t="shared" si="646"/>
        <v>1.513911620294599</v>
      </c>
      <c r="S162" s="10">
        <f t="shared" si="646"/>
        <v>1.7155009451795842</v>
      </c>
      <c r="T162" s="10">
        <f t="shared" si="646"/>
        <v>1.4176334106728539</v>
      </c>
      <c r="U162" s="10">
        <f t="shared" si="646"/>
        <v>1.451271186440678</v>
      </c>
      <c r="V162" s="10">
        <f t="shared" si="646"/>
        <v>1.7568351284175643</v>
      </c>
      <c r="W162" s="10">
        <f t="shared" ref="W162:X162" si="647">SUM(W55:W57)/SUM(W29:W31)</f>
        <v>1.4601226993865031</v>
      </c>
      <c r="X162" s="10">
        <f t="shared" si="647"/>
        <v>1.7579098753595397</v>
      </c>
      <c r="Y162" s="10">
        <f t="shared" ref="Y162" si="648">SUM(Y55:Y57)/SUM(Y29:Y31)</f>
        <v>1.9048632218844985</v>
      </c>
      <c r="AM162" t="s">
        <v>49</v>
      </c>
      <c r="AO162" s="10">
        <f t="shared" ref="AO162:AP162" si="649">SUM(AO55:AO57)/SUM(AO29:AO31)</f>
        <v>1.5738636363636365</v>
      </c>
      <c r="AP162" s="10">
        <f t="shared" si="649"/>
        <v>1.4289017341040462</v>
      </c>
      <c r="AQ162" s="10">
        <f t="shared" ref="AQ162:AR162" si="650">SUM(AQ55:AQ57)/SUM(AQ29:AQ31)</f>
        <v>1.6954624781849912</v>
      </c>
      <c r="AR162" s="10">
        <f t="shared" si="650"/>
        <v>1.5807453416149069</v>
      </c>
      <c r="AS162" s="10">
        <f t="shared" ref="AS162:AT162" si="651">SUM(AS55:AS57)/SUM(AS29:AS31)</f>
        <v>1.6425414364640885</v>
      </c>
      <c r="AT162" s="10">
        <f t="shared" si="651"/>
        <v>1.5856291883842144</v>
      </c>
      <c r="AU162" s="10">
        <f t="shared" ref="AU162" si="652">SUM(AU55:AU57)/SUM(AU29:AU31)</f>
        <v>1.5688025210084033</v>
      </c>
    </row>
    <row r="163" spans="1:47" x14ac:dyDescent="0.25">
      <c r="A163" t="s">
        <v>4</v>
      </c>
      <c r="B163" s="10">
        <f>B54/B28</f>
        <v>2.1578947368421053</v>
      </c>
      <c r="C163" s="10">
        <f t="shared" ref="C163:V163" si="653">C54/C28</f>
        <v>2.2000000000000002</v>
      </c>
      <c r="D163" s="10">
        <f t="shared" si="653"/>
        <v>3.8048780487804876</v>
      </c>
      <c r="E163" s="10">
        <f t="shared" si="653"/>
        <v>3.1886792452830188</v>
      </c>
      <c r="F163" s="10">
        <f t="shared" si="653"/>
        <v>2.0084745762711864</v>
      </c>
      <c r="G163" s="10">
        <f t="shared" si="653"/>
        <v>2.7314814814814814</v>
      </c>
      <c r="H163" s="10">
        <f t="shared" si="653"/>
        <v>3.3076923076923075</v>
      </c>
      <c r="I163" s="10">
        <f t="shared" si="653"/>
        <v>1.9893617021276595</v>
      </c>
      <c r="J163" s="10">
        <f t="shared" si="653"/>
        <v>2.976923076923077</v>
      </c>
      <c r="K163" s="10">
        <f t="shared" si="653"/>
        <v>2.877049180327869</v>
      </c>
      <c r="L163" s="10">
        <f t="shared" si="653"/>
        <v>3.2962962962962963</v>
      </c>
      <c r="M163" s="10">
        <f t="shared" si="653"/>
        <v>5.1315789473684212</v>
      </c>
      <c r="N163" s="10">
        <f t="shared" si="653"/>
        <v>1.4222222222222223</v>
      </c>
      <c r="O163" s="10">
        <f t="shared" si="653"/>
        <v>1.6341463414634145</v>
      </c>
      <c r="P163" s="10">
        <f t="shared" si="653"/>
        <v>2.523076923076923</v>
      </c>
      <c r="Q163" s="10">
        <f t="shared" si="653"/>
        <v>3.4705882352941178</v>
      </c>
      <c r="R163" s="10">
        <f t="shared" si="653"/>
        <v>2.2400000000000002</v>
      </c>
      <c r="S163" s="10">
        <f t="shared" si="653"/>
        <v>2.09375</v>
      </c>
      <c r="T163" s="10">
        <f t="shared" si="653"/>
        <v>2.3913043478260869</v>
      </c>
      <c r="U163" s="10">
        <f t="shared" si="653"/>
        <v>2.2021276595744679</v>
      </c>
      <c r="V163" s="10">
        <f t="shared" si="653"/>
        <v>2.8725490196078431</v>
      </c>
      <c r="W163" s="10">
        <f t="shared" ref="W163:X163" si="654">W54/W28</f>
        <v>2.7857142857142856</v>
      </c>
      <c r="X163" s="10">
        <f t="shared" si="654"/>
        <v>3.2976190476190474</v>
      </c>
      <c r="Y163" s="10">
        <f t="shared" ref="Y163" si="655">Y54/Y28</f>
        <v>4.2352941176470589</v>
      </c>
      <c r="AM163" t="s">
        <v>4</v>
      </c>
      <c r="AO163" s="10">
        <f t="shared" ref="AO163:AP163" si="656">AO54/AO28</f>
        <v>2.7654320987654319</v>
      </c>
      <c r="AP163" s="10">
        <f t="shared" si="656"/>
        <v>2.87</v>
      </c>
      <c r="AQ163" s="10">
        <f t="shared" ref="AQ163:AR163" si="657">AQ54/AQ28</f>
        <v>3.6509433962264151</v>
      </c>
      <c r="AR163" s="10">
        <f t="shared" si="657"/>
        <v>3.41</v>
      </c>
      <c r="AS163" s="10">
        <f t="shared" ref="AS163:AT163" si="658">AS54/AS28</f>
        <v>3.8369565217391304</v>
      </c>
      <c r="AT163" s="10">
        <f t="shared" si="658"/>
        <v>4.1105263157894738</v>
      </c>
      <c r="AU163" s="10">
        <f t="shared" ref="AU163" si="659">AU54/AU28</f>
        <v>3.625</v>
      </c>
    </row>
    <row r="164" spans="1:47" x14ac:dyDescent="0.25">
      <c r="AM164"/>
      <c r="AO164"/>
      <c r="AP164"/>
      <c r="AQ164"/>
      <c r="AR164"/>
      <c r="AS164"/>
      <c r="AT164"/>
      <c r="AU164"/>
    </row>
    <row r="165" spans="1:47" x14ac:dyDescent="0.25">
      <c r="A165" t="s">
        <v>54</v>
      </c>
      <c r="AM165" t="s">
        <v>54</v>
      </c>
      <c r="AO165"/>
      <c r="AP165"/>
      <c r="AQ165"/>
      <c r="AR165"/>
      <c r="AS165"/>
      <c r="AT165"/>
      <c r="AU165"/>
    </row>
    <row r="166" spans="1:47" x14ac:dyDescent="0.25">
      <c r="A166" t="s">
        <v>48</v>
      </c>
      <c r="B166" s="10">
        <f>SUM(B8:B10)/SUM(B20:B22)</f>
        <v>2.1020193050193052</v>
      </c>
      <c r="C166" s="10">
        <f t="shared" ref="C166:V166" si="660">SUM(C8:C10)/SUM(C20:C22)</f>
        <v>2.4536442652329749</v>
      </c>
      <c r="D166" s="10">
        <f t="shared" si="660"/>
        <v>3.7025007818608286</v>
      </c>
      <c r="E166" s="10">
        <f t="shared" si="660"/>
        <v>5.4507941590429274</v>
      </c>
      <c r="F166" s="10">
        <f t="shared" si="660"/>
        <v>4.3643488289567074</v>
      </c>
      <c r="G166" s="10">
        <f t="shared" si="660"/>
        <v>7.2742830336200166</v>
      </c>
      <c r="H166" s="10">
        <f t="shared" si="660"/>
        <v>7.0981576612903226</v>
      </c>
      <c r="I166" s="10">
        <f t="shared" si="660"/>
        <v>4.3922350069735012</v>
      </c>
      <c r="J166" s="10">
        <f t="shared" si="660"/>
        <v>10.26329593874833</v>
      </c>
      <c r="K166" s="10">
        <f t="shared" si="660"/>
        <v>4.5841375442739078</v>
      </c>
      <c r="L166" s="10">
        <f t="shared" si="660"/>
        <v>10.38980969937607</v>
      </c>
      <c r="M166" s="10">
        <f t="shared" si="660"/>
        <v>12.972449673558215</v>
      </c>
      <c r="N166" s="10">
        <f t="shared" si="660"/>
        <v>2.3186446818392943</v>
      </c>
      <c r="O166" s="10">
        <f t="shared" si="660"/>
        <v>2.6244971849285403</v>
      </c>
      <c r="P166" s="10">
        <f t="shared" si="660"/>
        <v>5.3074146991622237</v>
      </c>
      <c r="Q166" s="10">
        <f t="shared" si="660"/>
        <v>3.8158026456918126</v>
      </c>
      <c r="R166" s="10">
        <f t="shared" si="660"/>
        <v>3.802480103168755</v>
      </c>
      <c r="S166" s="10">
        <f t="shared" si="660"/>
        <v>4.9847444095723814</v>
      </c>
      <c r="T166" s="10">
        <f t="shared" si="660"/>
        <v>3.2839046087888537</v>
      </c>
      <c r="U166" s="10">
        <f t="shared" si="660"/>
        <v>3.7169662341982703</v>
      </c>
      <c r="V166" s="10">
        <f t="shared" si="660"/>
        <v>4.6762870681748696</v>
      </c>
      <c r="W166" s="10">
        <f t="shared" ref="W166:X166" si="661">SUM(W8:W10)/SUM(W20:W22)</f>
        <v>3.8484952665670158</v>
      </c>
      <c r="X166" s="10">
        <f t="shared" si="661"/>
        <v>3.8122396367023752</v>
      </c>
      <c r="Y166" s="10">
        <f t="shared" ref="Y166" si="662">SUM(Y8:Y10)/SUM(Y20:Y22)</f>
        <v>7.6891237983337026</v>
      </c>
      <c r="AM166" t="s">
        <v>48</v>
      </c>
      <c r="AO166" s="10">
        <f t="shared" ref="AO166:AP166" si="663">SUM(AO8:AO10)/SUM(AO20:AO22)</f>
        <v>1.2482554585152839</v>
      </c>
      <c r="AP166" s="10">
        <f t="shared" si="663"/>
        <v>3.5449674483184199</v>
      </c>
      <c r="AQ166" s="10">
        <f t="shared" ref="AQ166:AR166" si="664">SUM(AQ8:AQ10)/SUM(AQ20:AQ22)</f>
        <v>5.1384393063583813</v>
      </c>
      <c r="AR166" s="10">
        <f t="shared" si="664"/>
        <v>5.1251692100538593</v>
      </c>
      <c r="AS166" s="10">
        <f t="shared" ref="AS166:AT166" si="665">SUM(AS8:AS10)/SUM(AS20:AS22)</f>
        <v>6.4828723404255317</v>
      </c>
      <c r="AT166" s="10">
        <f t="shared" si="665"/>
        <v>5.2279422604422603</v>
      </c>
      <c r="AU166" s="10">
        <f t="shared" ref="AU166" si="666">SUM(AU8:AU10)/SUM(AU20:AU22)</f>
        <v>4.5617324589127675</v>
      </c>
    </row>
    <row r="167" spans="1:47" x14ac:dyDescent="0.25">
      <c r="A167" t="s">
        <v>49</v>
      </c>
      <c r="B167" s="10">
        <f>SUM(B5:B7)/SUM(B17:B19)</f>
        <v>4.3943792613636363</v>
      </c>
      <c r="C167" s="10">
        <f t="shared" ref="C167:V167" si="667">SUM(C5:C7)/SUM(C17:C19)</f>
        <v>3.5434493984430286</v>
      </c>
      <c r="D167" s="10">
        <f t="shared" si="667"/>
        <v>6.1886004784689002</v>
      </c>
      <c r="E167" s="10">
        <f t="shared" si="667"/>
        <v>6.3657040194884296</v>
      </c>
      <c r="F167" s="10">
        <f t="shared" si="667"/>
        <v>5.8771366538952741</v>
      </c>
      <c r="G167" s="10">
        <f t="shared" si="667"/>
        <v>7.569065676756134</v>
      </c>
      <c r="H167" s="10">
        <f t="shared" si="667"/>
        <v>7.0961485367200439</v>
      </c>
      <c r="I167" s="10">
        <f t="shared" si="667"/>
        <v>4.4885994459833798</v>
      </c>
      <c r="J167" s="10">
        <f t="shared" si="667"/>
        <v>8.8650021253985134</v>
      </c>
      <c r="K167" s="10">
        <f t="shared" si="667"/>
        <v>7.0348749334752529</v>
      </c>
      <c r="L167" s="10">
        <f t="shared" si="667"/>
        <v>9.0486617375231209</v>
      </c>
      <c r="M167" s="10">
        <f t="shared" si="667"/>
        <v>11.463069677712214</v>
      </c>
      <c r="N167" s="10">
        <f t="shared" si="667"/>
        <v>2.9674729586426292</v>
      </c>
      <c r="O167" s="10">
        <f t="shared" si="667"/>
        <v>3.3972009744214375</v>
      </c>
      <c r="P167" s="10">
        <f t="shared" si="667"/>
        <v>10.0076201011378</v>
      </c>
      <c r="Q167" s="10">
        <f t="shared" si="667"/>
        <v>8.4980559396605972</v>
      </c>
      <c r="R167" s="10">
        <f t="shared" si="667"/>
        <v>6.7835627376425851</v>
      </c>
      <c r="S167" s="10">
        <f t="shared" si="667"/>
        <v>8.1376851090736864</v>
      </c>
      <c r="T167" s="10">
        <f t="shared" si="667"/>
        <v>5.0576802443991884</v>
      </c>
      <c r="U167" s="10">
        <f t="shared" si="667"/>
        <v>4.6530509307135546</v>
      </c>
      <c r="V167" s="10">
        <f t="shared" si="667"/>
        <v>6.9240502188436004</v>
      </c>
      <c r="W167" s="10">
        <f t="shared" ref="W167:X167" si="668">SUM(W5:W7)/SUM(W17:W19)</f>
        <v>5.000724017670314</v>
      </c>
      <c r="X167" s="10">
        <f t="shared" si="668"/>
        <v>6.593355153203361</v>
      </c>
      <c r="Y167" s="10">
        <f t="shared" ref="Y167" si="669">SUM(Y5:Y7)/SUM(Y17:Y19)</f>
        <v>10.503471560716447</v>
      </c>
      <c r="AM167" t="s">
        <v>49</v>
      </c>
      <c r="AO167" s="10">
        <f t="shared" ref="AO167:AP167" si="670">SUM(AO5:AO7)/SUM(AO17:AO19)</f>
        <v>3.1302590567327409</v>
      </c>
      <c r="AP167" s="10">
        <f t="shared" si="670"/>
        <v>4.3030689655172454</v>
      </c>
      <c r="AQ167" s="10">
        <f t="shared" ref="AQ167:AR167" si="671">SUM(AQ5:AQ7)/SUM(AQ17:AQ19)</f>
        <v>6.7249305222807854</v>
      </c>
      <c r="AR167" s="10">
        <f t="shared" si="671"/>
        <v>6.2402511874825422</v>
      </c>
      <c r="AS167" s="10">
        <f t="shared" ref="AS167:AT167" si="672">SUM(AS5:AS7)/SUM(AS17:AS19)</f>
        <v>5.6053071798667657</v>
      </c>
      <c r="AT167" s="10">
        <f t="shared" si="672"/>
        <v>6.6320038868494926</v>
      </c>
      <c r="AU167" s="10">
        <f t="shared" ref="AU167" si="673">SUM(AU5:AU7)/SUM(AU17:AU19)</f>
        <v>4.9402422421328795</v>
      </c>
    </row>
    <row r="168" spans="1:47" x14ac:dyDescent="0.25">
      <c r="A168" t="s">
        <v>4</v>
      </c>
      <c r="B168" s="10">
        <f>B4/B16</f>
        <v>39.474249999999998</v>
      </c>
      <c r="C168" s="10">
        <f t="shared" ref="C168:V168" si="674">C4/C16</f>
        <v>22.874491228070177</v>
      </c>
      <c r="D168" s="10">
        <f t="shared" si="674"/>
        <v>82.768190476190469</v>
      </c>
      <c r="E168" s="10">
        <f t="shared" si="674"/>
        <v>80.577164285714289</v>
      </c>
      <c r="F168" s="10">
        <f t="shared" si="674"/>
        <v>45.539316901408455</v>
      </c>
      <c r="G168" s="10">
        <f t="shared" si="674"/>
        <v>66.881197183098593</v>
      </c>
      <c r="H168" s="10">
        <f t="shared" si="674"/>
        <v>99.296493421052631</v>
      </c>
      <c r="I168" s="10">
        <f t="shared" si="674"/>
        <v>31.644802631578948</v>
      </c>
      <c r="J168" s="10">
        <f t="shared" si="674"/>
        <v>88.019902597402591</v>
      </c>
      <c r="K168" s="10">
        <f t="shared" si="674"/>
        <v>61.883493506493373</v>
      </c>
      <c r="L168" s="10">
        <f t="shared" si="674"/>
        <v>66.295130136986302</v>
      </c>
      <c r="M168" s="10">
        <f t="shared" si="674"/>
        <v>121.88768421052617</v>
      </c>
      <c r="N168" s="10">
        <f t="shared" si="674"/>
        <v>19.227256410256409</v>
      </c>
      <c r="O168" s="10">
        <f t="shared" si="674"/>
        <v>18.406422413792846</v>
      </c>
      <c r="P168" s="10">
        <f t="shared" si="674"/>
        <v>37.421355932203305</v>
      </c>
      <c r="Q168" s="10">
        <f t="shared" si="674"/>
        <v>56.870478632478637</v>
      </c>
      <c r="R168" s="10">
        <f t="shared" si="674"/>
        <v>31.795125000000002</v>
      </c>
      <c r="S168" s="10">
        <f t="shared" si="674"/>
        <v>34.815032710280377</v>
      </c>
      <c r="T168" s="10">
        <f t="shared" si="674"/>
        <v>34.730929292929297</v>
      </c>
      <c r="U168" s="10">
        <f t="shared" si="674"/>
        <v>27.964786458333332</v>
      </c>
      <c r="V168" s="10">
        <f t="shared" si="674"/>
        <v>39.401531914893617</v>
      </c>
      <c r="W168" s="10">
        <f t="shared" ref="W168:X168" si="675">W4/W16</f>
        <v>34.00152688172043</v>
      </c>
      <c r="X168" s="10">
        <f t="shared" si="675"/>
        <v>43.180727777777776</v>
      </c>
      <c r="Y168" s="10">
        <f t="shared" ref="Y168" si="676">Y4/Y16</f>
        <v>83.564054216867476</v>
      </c>
      <c r="AM168" t="s">
        <v>4</v>
      </c>
      <c r="AO168" s="10">
        <f t="shared" ref="AO168:AP168" si="677">AO4/AO16</f>
        <v>34.69711724137931</v>
      </c>
      <c r="AP168" s="10">
        <f t="shared" si="677"/>
        <v>65.660513986014067</v>
      </c>
      <c r="AQ168" s="10">
        <f t="shared" ref="AQ168:AR168" si="678">AQ4/AQ16</f>
        <v>70.530139860139869</v>
      </c>
      <c r="AR168" s="10">
        <f t="shared" si="678"/>
        <v>64.215544117647212</v>
      </c>
      <c r="AS168" s="10">
        <f t="shared" ref="AS168:AT168" si="679">AS4/AS16</f>
        <v>63.566717557251906</v>
      </c>
      <c r="AT168" s="10">
        <f t="shared" si="679"/>
        <v>74.057187499999998</v>
      </c>
      <c r="AU168" s="10">
        <f t="shared" ref="AU168" si="680">AU4/AU16</f>
        <v>59.309560975609891</v>
      </c>
    </row>
  </sheetData>
  <sortState ref="A119:Z125">
    <sortCondition ref="Z119:Z125"/>
  </sortState>
  <mergeCells count="4">
    <mergeCell ref="AJ2:AN2"/>
    <mergeCell ref="Z2:AD2"/>
    <mergeCell ref="AE2:AI2"/>
    <mergeCell ref="BA2:BE2"/>
  </mergeCells>
  <conditionalFormatting sqref="N12:Y12">
    <cfRule type="expression" dxfId="200" priority="80">
      <formula>$A$2=COLUMNS($N12:N12)</formula>
    </cfRule>
  </conditionalFormatting>
  <conditionalFormatting sqref="N24:Y24">
    <cfRule type="expression" dxfId="199" priority="79">
      <formula>$A$2=COLUMNS($N24:N24)</formula>
    </cfRule>
  </conditionalFormatting>
  <conditionalFormatting sqref="N36:Y36">
    <cfRule type="expression" dxfId="198" priority="78">
      <formula>$A$2=COLUMNS($N36:N36)</formula>
    </cfRule>
  </conditionalFormatting>
  <conditionalFormatting sqref="N49:Y50">
    <cfRule type="expression" dxfId="197" priority="77">
      <formula>$A$2=COLUMNS($N49:N49)</formula>
    </cfRule>
  </conditionalFormatting>
  <conditionalFormatting sqref="N62:Y62">
    <cfRule type="expression" dxfId="196" priority="76">
      <formula>$A$2=COLUMNS($N62:N62)</formula>
    </cfRule>
  </conditionalFormatting>
  <conditionalFormatting sqref="N74:Y74">
    <cfRule type="expression" dxfId="195" priority="75">
      <formula>$A$2=COLUMNS($N74:N74)</formula>
    </cfRule>
  </conditionalFormatting>
  <conditionalFormatting sqref="N86:Y86">
    <cfRule type="expression" dxfId="194" priority="74">
      <formula>$A$2=COLUMNS($N86:N86)</formula>
    </cfRule>
  </conditionalFormatting>
  <conditionalFormatting sqref="N92:Y92">
    <cfRule type="expression" dxfId="193" priority="73">
      <formula>$A$2=COLUMNS($N92:N92)</formula>
    </cfRule>
  </conditionalFormatting>
  <conditionalFormatting sqref="N105:Y105">
    <cfRule type="expression" dxfId="192" priority="72">
      <formula>$A$2=COLUMNS($N105:N105)</formula>
    </cfRule>
  </conditionalFormatting>
  <conditionalFormatting sqref="N116:Y116">
    <cfRule type="expression" dxfId="191" priority="71">
      <formula>$A$2=COLUMNS($N116:N116)</formula>
    </cfRule>
  </conditionalFormatting>
  <conditionalFormatting sqref="N126:Y126">
    <cfRule type="expression" dxfId="190" priority="70">
      <formula>$A$2=COLUMNS($N126:N126)</formula>
    </cfRule>
  </conditionalFormatting>
  <conditionalFormatting sqref="AJ4:AN12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7:Y137">
    <cfRule type="expression" dxfId="189" priority="68">
      <formula>$A$2=COLUMNS($N137:N137)</formula>
    </cfRule>
  </conditionalFormatting>
  <conditionalFormatting sqref="AJ13:AM13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28:AN37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54:AN62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37">
    <cfRule type="expression" dxfId="188" priority="63">
      <formula>$A$2=COLUMNS($N137:Z137)</formula>
    </cfRule>
  </conditionalFormatting>
  <conditionalFormatting sqref="AO105:AZ105">
    <cfRule type="expression" dxfId="187" priority="62">
      <formula>$A$2=COLUMNS($N105:AO105)</formula>
    </cfRule>
  </conditionalFormatting>
  <conditionalFormatting sqref="AO62:AZ62">
    <cfRule type="expression" dxfId="186" priority="61">
      <formula>$A$2=COLUMNS($N62:AO62)</formula>
    </cfRule>
  </conditionalFormatting>
  <conditionalFormatting sqref="AO137">
    <cfRule type="expression" dxfId="185" priority="50">
      <formula>$A$2=COLUMNS($N137:AO137)</formula>
    </cfRule>
  </conditionalFormatting>
  <conditionalFormatting sqref="AO127:BE127">
    <cfRule type="expression" dxfId="184" priority="59">
      <formula>$A$2=COLUMNS($N127:AO127)</formula>
    </cfRule>
  </conditionalFormatting>
  <conditionalFormatting sqref="AO116:AR116 AV116:BE116">
    <cfRule type="expression" dxfId="183" priority="57">
      <formula>$A$2=COLUMNS($N116:AO116)</formula>
    </cfRule>
  </conditionalFormatting>
  <conditionalFormatting sqref="AO36:AQ36">
    <cfRule type="expression" dxfId="182" priority="56">
      <formula>$A$2=COLUMNS($N36:AO36)</formula>
    </cfRule>
  </conditionalFormatting>
  <conditionalFormatting sqref="AO49:AO50">
    <cfRule type="expression" dxfId="181" priority="55">
      <formula>$A$2=COLUMNS($N49:AO49)</formula>
    </cfRule>
  </conditionalFormatting>
  <conditionalFormatting sqref="AO24:AQ24">
    <cfRule type="expression" dxfId="180" priority="54">
      <formula>$A$2=COLUMNS($N24:AO24)</formula>
    </cfRule>
  </conditionalFormatting>
  <conditionalFormatting sqref="AO86">
    <cfRule type="expression" dxfId="179" priority="53">
      <formula>$A$2=COLUMNS($N86:AO86)</formula>
    </cfRule>
  </conditionalFormatting>
  <conditionalFormatting sqref="AO92">
    <cfRule type="expression" dxfId="178" priority="52">
      <formula>$A$2=COLUMNS($N92:AO92)</formula>
    </cfRule>
  </conditionalFormatting>
  <conditionalFormatting sqref="BA86:BE86">
    <cfRule type="expression" dxfId="177" priority="49">
      <formula>$A$2=COLUMNS($N86:BA86)</formula>
    </cfRule>
  </conditionalFormatting>
  <conditionalFormatting sqref="BR1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2">
    <cfRule type="expression" dxfId="176" priority="45">
      <formula>$A$2=COLUMNS($N12:AO12)</formula>
    </cfRule>
  </conditionalFormatting>
  <conditionalFormatting sqref="AP12">
    <cfRule type="expression" dxfId="175" priority="44">
      <formula>$A$2=COLUMNS($N12:AP12)</formula>
    </cfRule>
  </conditionalFormatting>
  <conditionalFormatting sqref="AP24">
    <cfRule type="expression" dxfId="174" priority="43">
      <formula>$A$2=COLUMNS($N24:AP24)</formula>
    </cfRule>
  </conditionalFormatting>
  <conditionalFormatting sqref="AP49">
    <cfRule type="expression" dxfId="173" priority="42">
      <formula>$A$2=COLUMNS($N49:AP49)</formula>
    </cfRule>
  </conditionalFormatting>
  <conditionalFormatting sqref="AP36">
    <cfRule type="expression" dxfId="172" priority="41">
      <formula>$A$2=COLUMNS($N36:AP36)</formula>
    </cfRule>
  </conditionalFormatting>
  <conditionalFormatting sqref="AP86">
    <cfRule type="expression" dxfId="171" priority="40">
      <formula>$A$2=COLUMNS($N86:AP86)</formula>
    </cfRule>
  </conditionalFormatting>
  <conditionalFormatting sqref="AP92">
    <cfRule type="expression" dxfId="170" priority="39">
      <formula>$A$2=COLUMNS($N92:AP92)</formula>
    </cfRule>
  </conditionalFormatting>
  <conditionalFormatting sqref="AP116">
    <cfRule type="expression" dxfId="169" priority="38">
      <formula>$A$2=COLUMNS($N116:AP116)</formula>
    </cfRule>
  </conditionalFormatting>
  <conditionalFormatting sqref="AP137">
    <cfRule type="expression" dxfId="168" priority="37">
      <formula>$A$2=COLUMNS($N137:AP137)</formula>
    </cfRule>
  </conditionalFormatting>
  <conditionalFormatting sqref="AQ12">
    <cfRule type="expression" dxfId="167" priority="36">
      <formula>$A$2=COLUMNS($N12:AQ12)</formula>
    </cfRule>
  </conditionalFormatting>
  <conditionalFormatting sqref="AQ24">
    <cfRule type="expression" dxfId="166" priority="35">
      <formula>$A$2=COLUMNS($N24:AQ24)</formula>
    </cfRule>
  </conditionalFormatting>
  <conditionalFormatting sqref="AQ36">
    <cfRule type="expression" dxfId="165" priority="34">
      <formula>$A$2=COLUMNS($N36:AQ36)</formula>
    </cfRule>
  </conditionalFormatting>
  <conditionalFormatting sqref="AQ92">
    <cfRule type="expression" dxfId="164" priority="33">
      <formula>$A$2=COLUMNS($N92:AQ92)</formula>
    </cfRule>
  </conditionalFormatting>
  <conditionalFormatting sqref="AQ116">
    <cfRule type="expression" dxfId="163" priority="32">
      <formula>$A$2=COLUMNS($N116:AQ116)</formula>
    </cfRule>
  </conditionalFormatting>
  <conditionalFormatting sqref="AQ86">
    <cfRule type="expression" dxfId="162" priority="31">
      <formula>$A$2=COLUMNS($N86:AQ86)</formula>
    </cfRule>
  </conditionalFormatting>
  <conditionalFormatting sqref="AQ137">
    <cfRule type="expression" dxfId="161" priority="30">
      <formula>$A$2=COLUMNS($N137:AQ137)</formula>
    </cfRule>
  </conditionalFormatting>
  <conditionalFormatting sqref="BE137">
    <cfRule type="expression" dxfId="160" priority="29">
      <formula>$A$2=COLUMNS($N137:BE137)</formula>
    </cfRule>
  </conditionalFormatting>
  <conditionalFormatting sqref="AR12">
    <cfRule type="expression" dxfId="159" priority="28">
      <formula>$A$2=COLUMNS($N12:AR12)</formula>
    </cfRule>
  </conditionalFormatting>
  <conditionalFormatting sqref="AR24">
    <cfRule type="expression" dxfId="158" priority="27">
      <formula>$A$2=COLUMNS($N24:AR24)</formula>
    </cfRule>
  </conditionalFormatting>
  <conditionalFormatting sqref="AR24">
    <cfRule type="expression" dxfId="157" priority="26">
      <formula>$A$2=COLUMNS($N24:AR24)</formula>
    </cfRule>
  </conditionalFormatting>
  <conditionalFormatting sqref="AR36">
    <cfRule type="expression" dxfId="156" priority="25">
      <formula>$A$2=COLUMNS($N36:AR36)</formula>
    </cfRule>
  </conditionalFormatting>
  <conditionalFormatting sqref="AR36">
    <cfRule type="expression" dxfId="155" priority="24">
      <formula>$A$2=COLUMNS($N36:AR36)</formula>
    </cfRule>
  </conditionalFormatting>
  <conditionalFormatting sqref="AR86">
    <cfRule type="expression" dxfId="154" priority="23">
      <formula>$A$2=COLUMNS($N86:AR86)</formula>
    </cfRule>
  </conditionalFormatting>
  <conditionalFormatting sqref="AR92">
    <cfRule type="expression" dxfId="153" priority="22">
      <formula>$A$2=COLUMNS($N92:AR92)</formula>
    </cfRule>
  </conditionalFormatting>
  <conditionalFormatting sqref="AR137">
    <cfRule type="expression" dxfId="152" priority="21">
      <formula>$A$2=COLUMNS($N137:AR137)</formula>
    </cfRule>
  </conditionalFormatting>
  <conditionalFormatting sqref="AS12">
    <cfRule type="expression" dxfId="151" priority="20">
      <formula>$A$2=COLUMNS($N12:AS12)</formula>
    </cfRule>
  </conditionalFormatting>
  <conditionalFormatting sqref="AS24">
    <cfRule type="expression" dxfId="150" priority="19">
      <formula>$A$2=COLUMNS($N24:AS24)</formula>
    </cfRule>
  </conditionalFormatting>
  <conditionalFormatting sqref="AS24">
    <cfRule type="expression" dxfId="149" priority="18">
      <formula>$A$2=COLUMNS($N24:AS24)</formula>
    </cfRule>
  </conditionalFormatting>
  <conditionalFormatting sqref="AS36">
    <cfRule type="expression" dxfId="148" priority="17">
      <formula>$A$2=COLUMNS($N36:AS36)</formula>
    </cfRule>
  </conditionalFormatting>
  <conditionalFormatting sqref="AS36">
    <cfRule type="expression" dxfId="147" priority="16">
      <formula>$A$2=COLUMNS($N36:AS36)</formula>
    </cfRule>
  </conditionalFormatting>
  <conditionalFormatting sqref="AS86">
    <cfRule type="expression" dxfId="146" priority="15">
      <formula>$A$2=COLUMNS($N86:AS86)</formula>
    </cfRule>
  </conditionalFormatting>
  <conditionalFormatting sqref="AS92">
    <cfRule type="expression" dxfId="145" priority="14">
      <formula>$A$2=COLUMNS($N92:AS92)</formula>
    </cfRule>
  </conditionalFormatting>
  <conditionalFormatting sqref="AS116">
    <cfRule type="expression" dxfId="144" priority="13">
      <formula>$A$2=COLUMNS($N116:AS116)</formula>
    </cfRule>
  </conditionalFormatting>
  <conditionalFormatting sqref="AS137">
    <cfRule type="expression" dxfId="143" priority="12">
      <formula>$A$2=COLUMNS($N137:AS137)</formula>
    </cfRule>
  </conditionalFormatting>
  <conditionalFormatting sqref="AT24:AU24">
    <cfRule type="expression" dxfId="142" priority="11">
      <formula>$A$2=COLUMNS($N24:AT24)</formula>
    </cfRule>
  </conditionalFormatting>
  <conditionalFormatting sqref="AT24:AU24">
    <cfRule type="expression" dxfId="141" priority="10">
      <formula>$A$2=COLUMNS($N24:AT24)</formula>
    </cfRule>
  </conditionalFormatting>
  <conditionalFormatting sqref="AT36:AU36 AO37:AU37">
    <cfRule type="expression" dxfId="140" priority="9">
      <formula>$A$2=COLUMNS($N36:AO36)</formula>
    </cfRule>
  </conditionalFormatting>
  <conditionalFormatting sqref="AT36:AU36 AO37:AU37">
    <cfRule type="expression" dxfId="139" priority="8">
      <formula>$A$2=COLUMNS($N36:AO36)</formula>
    </cfRule>
  </conditionalFormatting>
  <conditionalFormatting sqref="AT12:AU12">
    <cfRule type="expression" dxfId="138" priority="7">
      <formula>$A$2=COLUMNS($N12:AT12)</formula>
    </cfRule>
  </conditionalFormatting>
  <conditionalFormatting sqref="AT86:AU86">
    <cfRule type="expression" dxfId="137" priority="6">
      <formula>$A$2=COLUMNS($N86:AT86)</formula>
    </cfRule>
  </conditionalFormatting>
  <conditionalFormatting sqref="AT92:AU92">
    <cfRule type="expression" dxfId="136" priority="5">
      <formula>$A$2=COLUMNS($N92:AT92)</formula>
    </cfRule>
  </conditionalFormatting>
  <conditionalFormatting sqref="AT116:AU116">
    <cfRule type="expression" dxfId="135" priority="4">
      <formula>$A$2=COLUMNS($N116:AT116)</formula>
    </cfRule>
  </conditionalFormatting>
  <conditionalFormatting sqref="AT137:AU137">
    <cfRule type="expression" dxfId="134" priority="3">
      <formula>$A$2=COLUMNS($N137:AT137)</formula>
    </cfRule>
  </conditionalFormatting>
  <conditionalFormatting sqref="M37:Y37">
    <cfRule type="expression" dxfId="133" priority="2">
      <formula>$A$2=COLUMNS(M37:$N37)</formula>
    </cfRule>
  </conditionalFormatting>
  <conditionalFormatting sqref="M37:Y37">
    <cfRule type="expression" dxfId="132" priority="1">
      <formula>$A$2=COLUMNS(M37:$N37)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W143"/>
  <sheetViews>
    <sheetView zoomScale="80" zoomScaleNormal="80"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B1" sqref="B1"/>
    </sheetView>
  </sheetViews>
  <sheetFormatPr defaultColWidth="9.125" defaultRowHeight="15" outlineLevelCol="1" x14ac:dyDescent="0.25"/>
  <cols>
    <col min="1" max="1" width="52.875" style="20" bestFit="1" customWidth="1"/>
    <col min="2" max="2" width="19.375" bestFit="1" customWidth="1"/>
    <col min="3" max="4" width="7.375" bestFit="1" customWidth="1" outlineLevel="1"/>
    <col min="5" max="5" width="7.75" bestFit="1" customWidth="1" outlineLevel="1"/>
    <col min="6" max="6" width="7.375" bestFit="1" customWidth="1" outlineLevel="1"/>
    <col min="7" max="7" width="8" bestFit="1" customWidth="1" outlineLevel="1"/>
    <col min="8" max="8" width="7.375" bestFit="1" customWidth="1" outlineLevel="1"/>
    <col min="9" max="9" width="8.625" bestFit="1" customWidth="1" outlineLevel="1" collapsed="1"/>
    <col min="10" max="10" width="7.375" bestFit="1" customWidth="1" outlineLevel="1"/>
    <col min="11" max="13" width="8.625" bestFit="1" customWidth="1" outlineLevel="1"/>
    <col min="14" max="14" width="8.625" bestFit="1" customWidth="1"/>
    <col min="15" max="15" width="7.375" bestFit="1" customWidth="1"/>
    <col min="16" max="16" width="7.375" bestFit="1" customWidth="1" outlineLevel="1"/>
    <col min="17" max="19" width="8.625" bestFit="1" customWidth="1" outlineLevel="1"/>
    <col min="20" max="20" width="10.875" bestFit="1" customWidth="1"/>
    <col min="21" max="21" width="8.625" bestFit="1" customWidth="1"/>
    <col min="22" max="23" width="10.875" bestFit="1" customWidth="1" outlineLevel="1"/>
    <col min="24" max="26" width="8.625" bestFit="1" customWidth="1" outlineLevel="1"/>
    <col min="27" max="27" width="9.375" style="20" bestFit="1" customWidth="1"/>
    <col min="28" max="31" width="7.125" style="20" bestFit="1" customWidth="1"/>
    <col min="32" max="32" width="9.375" style="20" bestFit="1" customWidth="1" outlineLevel="1"/>
    <col min="33" max="37" width="7.125" style="20" bestFit="1" customWidth="1" outlineLevel="1"/>
    <col min="38" max="41" width="9.125" style="20" customWidth="1" outlineLevel="1"/>
    <col min="42" max="42" width="13.375" style="20" bestFit="1" customWidth="1"/>
    <col min="43" max="48" width="8.625" style="20" bestFit="1" customWidth="1"/>
    <col min="49" max="49" width="7.375" style="20" bestFit="1" customWidth="1" outlineLevel="1"/>
    <col min="50" max="50" width="7.25" style="20" bestFit="1" customWidth="1" outlineLevel="1"/>
    <col min="51" max="52" width="7.75" style="20" bestFit="1" customWidth="1" outlineLevel="1"/>
    <col min="53" max="53" width="7.375" style="20" bestFit="1" customWidth="1" outlineLevel="1"/>
    <col min="54" max="56" width="7.125" style="20" bestFit="1" customWidth="1"/>
    <col min="57" max="57" width="7" style="20" bestFit="1" customWidth="1"/>
    <col min="58" max="58" width="9.375" style="20" bestFit="1" customWidth="1"/>
    <col min="59" max="59" width="12.25" style="20" bestFit="1" customWidth="1"/>
    <col min="60" max="60" width="12.75" style="20" bestFit="1" customWidth="1"/>
    <col min="61" max="61" width="13" style="20" bestFit="1" customWidth="1"/>
    <col min="62" max="62" width="12.375" style="20" bestFit="1" customWidth="1"/>
    <col min="63" max="63" width="13.375" style="20" bestFit="1" customWidth="1"/>
    <col min="64" max="64" width="12.25" style="20" bestFit="1" customWidth="1"/>
    <col min="65" max="65" width="11.75" style="20" bestFit="1" customWidth="1"/>
    <col min="66" max="66" width="12.875" style="20" bestFit="1" customWidth="1" outlineLevel="1"/>
    <col min="67" max="67" width="12.75" style="20" bestFit="1" customWidth="1" outlineLevel="1"/>
    <col min="68" max="68" width="12.375" style="20" bestFit="1" customWidth="1" outlineLevel="1"/>
    <col min="69" max="69" width="13" style="20" bestFit="1" customWidth="1" outlineLevel="1"/>
    <col min="70" max="70" width="12.875" style="20" bestFit="1" customWidth="1" outlineLevel="1"/>
    <col min="71" max="74" width="9.125" style="20"/>
    <col min="75" max="75" width="6.625" style="20" bestFit="1" customWidth="1"/>
    <col min="76" max="16384" width="9.125" style="20"/>
  </cols>
  <sheetData>
    <row r="1" spans="1:75" s="173" customFormat="1" x14ac:dyDescent="0.25">
      <c r="A1" s="173" t="s">
        <v>158</v>
      </c>
      <c r="B1" s="174"/>
      <c r="C1" s="303">
        <v>201501</v>
      </c>
      <c r="D1" s="303">
        <v>201502</v>
      </c>
      <c r="E1" s="303">
        <v>201503</v>
      </c>
      <c r="F1" s="303">
        <v>201504</v>
      </c>
      <c r="G1" s="303">
        <v>201505</v>
      </c>
      <c r="H1" s="303">
        <v>201506</v>
      </c>
      <c r="I1" s="303">
        <v>201507</v>
      </c>
      <c r="J1" s="303">
        <v>201508</v>
      </c>
      <c r="K1" s="303">
        <v>201509</v>
      </c>
      <c r="L1" s="303">
        <v>201510</v>
      </c>
      <c r="M1" s="303">
        <v>201511</v>
      </c>
      <c r="N1" s="303">
        <v>201512</v>
      </c>
      <c r="O1" s="303">
        <v>201601</v>
      </c>
      <c r="P1" s="303">
        <v>201602</v>
      </c>
      <c r="Q1" s="303">
        <v>201603</v>
      </c>
      <c r="R1" s="303">
        <v>201604</v>
      </c>
      <c r="S1" s="303">
        <v>201605</v>
      </c>
      <c r="T1" s="303">
        <v>201606</v>
      </c>
      <c r="U1" s="303">
        <v>201607</v>
      </c>
      <c r="V1" s="303">
        <v>201608</v>
      </c>
      <c r="W1" s="303">
        <v>201609</v>
      </c>
      <c r="X1" s="303">
        <v>201610</v>
      </c>
      <c r="Y1" s="303">
        <v>201611</v>
      </c>
      <c r="Z1" s="303">
        <v>201612</v>
      </c>
      <c r="AA1" s="175" t="s">
        <v>161</v>
      </c>
      <c r="AB1" s="175" t="s">
        <v>19</v>
      </c>
      <c r="AC1" s="175" t="s">
        <v>20</v>
      </c>
      <c r="AD1" s="175" t="s">
        <v>21</v>
      </c>
      <c r="AE1" s="175" t="s">
        <v>22</v>
      </c>
      <c r="AF1" s="176" t="s">
        <v>162</v>
      </c>
      <c r="AG1" s="176" t="s">
        <v>23</v>
      </c>
      <c r="AH1" s="176" t="s">
        <v>24</v>
      </c>
      <c r="AI1" s="176" t="s">
        <v>25</v>
      </c>
      <c r="AJ1" s="176" t="s">
        <v>26</v>
      </c>
      <c r="AK1" s="177" t="s">
        <v>163</v>
      </c>
      <c r="AL1" s="177" t="s">
        <v>164</v>
      </c>
      <c r="AM1" s="177" t="s">
        <v>165</v>
      </c>
      <c r="AN1" s="177" t="s">
        <v>166</v>
      </c>
      <c r="AO1" s="177" t="s">
        <v>167</v>
      </c>
      <c r="AP1" s="303">
        <v>201701</v>
      </c>
      <c r="AQ1" s="303">
        <v>201702</v>
      </c>
      <c r="AR1" s="303">
        <v>201703</v>
      </c>
      <c r="AS1" s="303">
        <v>201704</v>
      </c>
      <c r="AT1" s="303">
        <v>201705</v>
      </c>
      <c r="AU1" s="303">
        <v>201706</v>
      </c>
      <c r="AV1" s="303">
        <v>201707</v>
      </c>
      <c r="AW1" s="303">
        <v>201708</v>
      </c>
      <c r="AX1" s="303">
        <v>201709</v>
      </c>
      <c r="AY1" s="303">
        <v>201710</v>
      </c>
      <c r="AZ1" s="303">
        <v>201711</v>
      </c>
      <c r="BA1" s="303">
        <v>201712</v>
      </c>
      <c r="BB1" s="175" t="s">
        <v>123</v>
      </c>
      <c r="BC1" s="175" t="s">
        <v>124</v>
      </c>
      <c r="BD1" s="175" t="s">
        <v>125</v>
      </c>
      <c r="BE1" s="175" t="s">
        <v>126</v>
      </c>
      <c r="BF1" s="175" t="s">
        <v>168</v>
      </c>
      <c r="BG1" s="179" t="s">
        <v>169</v>
      </c>
      <c r="BH1" s="178" t="s">
        <v>170</v>
      </c>
      <c r="BI1" s="178" t="s">
        <v>171</v>
      </c>
      <c r="BJ1" s="178" t="s">
        <v>172</v>
      </c>
      <c r="BK1" s="178" t="s">
        <v>173</v>
      </c>
      <c r="BL1" s="178" t="s">
        <v>174</v>
      </c>
      <c r="BM1" s="178" t="s">
        <v>175</v>
      </c>
      <c r="BN1" s="178" t="s">
        <v>176</v>
      </c>
      <c r="BO1" s="178" t="s">
        <v>177</v>
      </c>
      <c r="BP1" s="178" t="s">
        <v>178</v>
      </c>
      <c r="BQ1" s="178" t="s">
        <v>179</v>
      </c>
      <c r="BR1" s="178" t="s">
        <v>180</v>
      </c>
      <c r="BS1" s="175" t="s">
        <v>181</v>
      </c>
      <c r="BT1" s="175" t="s">
        <v>182</v>
      </c>
      <c r="BU1" s="175" t="s">
        <v>183</v>
      </c>
      <c r="BV1" s="175" t="s">
        <v>184</v>
      </c>
      <c r="BW1" s="180" t="s">
        <v>185</v>
      </c>
    </row>
    <row r="2" spans="1:75" x14ac:dyDescent="0.25">
      <c r="A2" s="24">
        <f>'[13]Full Agency'!A2</f>
        <v>6</v>
      </c>
      <c r="B2" s="24">
        <f>'Full Agency'!A2</f>
        <v>7</v>
      </c>
      <c r="C2" s="161">
        <f>'Full Agency'!B2</f>
        <v>1</v>
      </c>
      <c r="AK2" s="321" t="s">
        <v>131</v>
      </c>
      <c r="AL2" s="321"/>
      <c r="AM2" s="321"/>
      <c r="AN2" s="321"/>
      <c r="AO2" s="321"/>
      <c r="AP2" s="131" t="s">
        <v>135</v>
      </c>
      <c r="AQ2" s="132"/>
      <c r="AR2" s="132"/>
      <c r="AS2" s="132"/>
      <c r="AT2" s="132"/>
      <c r="AU2" s="132"/>
      <c r="AV2" s="182">
        <v>1</v>
      </c>
      <c r="AW2" s="182">
        <v>2</v>
      </c>
      <c r="AX2" s="182">
        <v>3</v>
      </c>
      <c r="AY2" s="132"/>
      <c r="AZ2" s="132"/>
      <c r="BA2" s="132"/>
      <c r="BB2" s="322" t="s">
        <v>134</v>
      </c>
      <c r="BC2" s="324"/>
      <c r="BD2" s="324"/>
      <c r="BE2" s="324"/>
      <c r="BF2" s="324"/>
      <c r="BG2" s="127" t="s">
        <v>132</v>
      </c>
      <c r="BH2" s="128"/>
      <c r="BI2" s="128"/>
      <c r="BJ2" s="133"/>
      <c r="BK2" s="133"/>
      <c r="BL2" s="133"/>
      <c r="BM2" s="133"/>
      <c r="BN2" s="133"/>
      <c r="BO2" s="133"/>
      <c r="BP2" s="133"/>
      <c r="BQ2" s="133"/>
      <c r="BR2" s="133"/>
      <c r="BS2" s="129" t="s">
        <v>133</v>
      </c>
      <c r="BT2" s="130"/>
      <c r="BU2" s="130"/>
      <c r="BV2" s="130"/>
      <c r="BW2" s="120" t="s">
        <v>130</v>
      </c>
    </row>
    <row r="3" spans="1:75" s="19" customFormat="1" x14ac:dyDescent="0.25">
      <c r="B3" s="2" t="s">
        <v>0</v>
      </c>
      <c r="C3" s="3">
        <v>42005</v>
      </c>
      <c r="D3" s="3">
        <v>42036</v>
      </c>
      <c r="E3" s="3">
        <v>42064</v>
      </c>
      <c r="F3" s="3">
        <v>42095</v>
      </c>
      <c r="G3" s="3">
        <v>42125</v>
      </c>
      <c r="H3" s="3">
        <v>42156</v>
      </c>
      <c r="I3" s="3">
        <v>42186</v>
      </c>
      <c r="J3" s="3">
        <v>42217</v>
      </c>
      <c r="K3" s="3">
        <v>42248</v>
      </c>
      <c r="L3" s="3">
        <v>42278</v>
      </c>
      <c r="M3" s="3">
        <v>42309</v>
      </c>
      <c r="N3" s="3">
        <v>42339</v>
      </c>
      <c r="O3" s="3">
        <v>42370</v>
      </c>
      <c r="P3" s="3">
        <v>42401</v>
      </c>
      <c r="Q3" s="3">
        <v>42430</v>
      </c>
      <c r="R3" s="3">
        <v>42461</v>
      </c>
      <c r="S3" s="3">
        <v>42491</v>
      </c>
      <c r="T3" s="3">
        <v>42522</v>
      </c>
      <c r="U3" s="3">
        <v>42552</v>
      </c>
      <c r="V3" s="3">
        <v>42583</v>
      </c>
      <c r="W3" s="3">
        <v>42614</v>
      </c>
      <c r="X3" s="3">
        <v>42644</v>
      </c>
      <c r="Y3" s="3">
        <v>42675</v>
      </c>
      <c r="Z3" s="3">
        <v>42705</v>
      </c>
      <c r="AA3" s="29" t="str">
        <f>"YTD " &amp; B2 &amp;"/16"</f>
        <v>YTD 7/16</v>
      </c>
      <c r="AB3" s="29" t="s">
        <v>19</v>
      </c>
      <c r="AC3" s="29" t="s">
        <v>20</v>
      </c>
      <c r="AD3" s="29" t="s">
        <v>21</v>
      </c>
      <c r="AE3" s="29" t="s">
        <v>22</v>
      </c>
      <c r="AF3" s="26" t="str">
        <f>"YTD " &amp; B2 &amp;"/15"</f>
        <v>YTD 7/15</v>
      </c>
      <c r="AG3" s="26" t="s">
        <v>23</v>
      </c>
      <c r="AH3" s="26" t="s">
        <v>24</v>
      </c>
      <c r="AI3" s="26" t="s">
        <v>25</v>
      </c>
      <c r="AJ3" s="26" t="s">
        <v>26</v>
      </c>
      <c r="AK3" s="30" t="s">
        <v>27</v>
      </c>
      <c r="AL3" s="30" t="s">
        <v>29</v>
      </c>
      <c r="AM3" s="30" t="s">
        <v>30</v>
      </c>
      <c r="AN3" s="30" t="s">
        <v>31</v>
      </c>
      <c r="AO3" s="30" t="s">
        <v>32</v>
      </c>
      <c r="AP3" s="108">
        <v>42736</v>
      </c>
      <c r="AQ3" s="108">
        <v>42767</v>
      </c>
      <c r="AR3" s="108">
        <v>42795</v>
      </c>
      <c r="AS3" s="108">
        <v>42826</v>
      </c>
      <c r="AT3" s="108">
        <v>42856</v>
      </c>
      <c r="AU3" s="108">
        <v>42887</v>
      </c>
      <c r="AV3" s="108">
        <v>42917</v>
      </c>
      <c r="AW3" s="108">
        <v>42948</v>
      </c>
      <c r="AX3" s="108">
        <v>42979</v>
      </c>
      <c r="AY3" s="108">
        <v>43009</v>
      </c>
      <c r="AZ3" s="108">
        <v>43040</v>
      </c>
      <c r="BA3" s="108">
        <v>43070</v>
      </c>
      <c r="BB3" s="29" t="s">
        <v>123</v>
      </c>
      <c r="BC3" s="29" t="s">
        <v>124</v>
      </c>
      <c r="BD3" s="29" t="s">
        <v>125</v>
      </c>
      <c r="BE3" s="29" t="s">
        <v>126</v>
      </c>
      <c r="BF3" s="29" t="str">
        <f>"YTD " &amp; B2 &amp;"/17"</f>
        <v>YTD 7/17</v>
      </c>
      <c r="BG3" s="121">
        <v>42736</v>
      </c>
      <c r="BH3" s="108">
        <v>42767</v>
      </c>
      <c r="BI3" s="108">
        <v>42795</v>
      </c>
      <c r="BJ3" s="108">
        <v>42826</v>
      </c>
      <c r="BK3" s="108">
        <v>42856</v>
      </c>
      <c r="BL3" s="108">
        <v>42887</v>
      </c>
      <c r="BM3" s="108">
        <v>42917</v>
      </c>
      <c r="BN3" s="108">
        <v>42948</v>
      </c>
      <c r="BO3" s="108">
        <v>42979</v>
      </c>
      <c r="BP3" s="108">
        <v>43009</v>
      </c>
      <c r="BQ3" s="108">
        <v>43040</v>
      </c>
      <c r="BR3" s="108">
        <v>43070</v>
      </c>
      <c r="BS3" s="29" t="s">
        <v>127</v>
      </c>
      <c r="BT3" s="29" t="s">
        <v>128</v>
      </c>
      <c r="BU3" s="29" t="s">
        <v>96</v>
      </c>
      <c r="BV3" s="29" t="s">
        <v>129</v>
      </c>
      <c r="BW3" s="112"/>
    </row>
    <row r="4" spans="1:75" x14ac:dyDescent="0.25">
      <c r="A4" s="20" t="str">
        <f>$B$3&amp;"_by_rookie_mdrt:"&amp;B4</f>
        <v>APE_by_rookie_mdrt:MDRT</v>
      </c>
      <c r="B4" t="s">
        <v>4</v>
      </c>
      <c r="C4" s="14">
        <v>578.75699999999995</v>
      </c>
      <c r="D4" s="14">
        <v>225.52699999999999</v>
      </c>
      <c r="E4" s="14">
        <v>1937.2429999999999</v>
      </c>
      <c r="F4" s="14">
        <v>841.63199999999995</v>
      </c>
      <c r="G4" s="14">
        <v>590.96699999999998</v>
      </c>
      <c r="H4" s="14">
        <v>511.755</v>
      </c>
      <c r="I4" s="14">
        <v>2684.6819999999998</v>
      </c>
      <c r="J4" s="14">
        <v>508.12900000000002</v>
      </c>
      <c r="K4" s="14">
        <v>1319.056</v>
      </c>
      <c r="L4" s="14">
        <v>723.47400000000005</v>
      </c>
      <c r="M4" s="14">
        <v>1315.0930000000001</v>
      </c>
      <c r="N4" s="14">
        <v>3179.1134999999999</v>
      </c>
      <c r="O4" s="14">
        <v>672.32799999999997</v>
      </c>
      <c r="P4" s="14">
        <v>439.19</v>
      </c>
      <c r="Q4" s="14">
        <v>760.67499999999995</v>
      </c>
      <c r="R4" s="14">
        <v>1140.2950000000001</v>
      </c>
      <c r="S4" s="14">
        <v>1084.577</v>
      </c>
      <c r="T4">
        <v>1344.498</v>
      </c>
      <c r="U4" s="6">
        <v>1045.5150000000001</v>
      </c>
      <c r="V4" s="6">
        <v>678.625</v>
      </c>
      <c r="W4">
        <v>1128.6179999999999</v>
      </c>
      <c r="X4" s="6">
        <f>[14]APE!AB8</f>
        <v>523.58199999999999</v>
      </c>
      <c r="Y4" s="6">
        <v>653.01499999999999</v>
      </c>
      <c r="Z4" s="6">
        <f>[15]APE!J27</f>
        <v>1904.2725</v>
      </c>
      <c r="AA4" s="22">
        <f>SUM(O4:INDEX(O4:Z4,$B$2))</f>
        <v>6487.0780000000004</v>
      </c>
      <c r="AB4" s="22">
        <f>SUM(O4:Q4)</f>
        <v>1872.193</v>
      </c>
      <c r="AC4" s="22">
        <f>SUM(R4:T4)</f>
        <v>3569.3700000000003</v>
      </c>
      <c r="AD4" s="22">
        <f>SUM(U4:W4)</f>
        <v>2852.7579999999998</v>
      </c>
      <c r="AE4" s="22">
        <f>SUM(X4:Z4)</f>
        <v>3080.8694999999998</v>
      </c>
      <c r="AF4" s="22">
        <f>SUM(C4                                                                                : INDEX(C4:N4,$B$2))</f>
        <v>7370.5630000000001</v>
      </c>
      <c r="AG4" s="22">
        <f>SUM(C4:E4)</f>
        <v>2741.527</v>
      </c>
      <c r="AH4" s="22">
        <f>SUM(F4:H4)</f>
        <v>1944.3539999999998</v>
      </c>
      <c r="AI4" s="22">
        <f t="shared" ref="AI4:AI14" si="0">SUM(I4:K4)</f>
        <v>4511.8670000000002</v>
      </c>
      <c r="AJ4" s="22">
        <f>SUM(L4:N4)</f>
        <v>5217.6805000000004</v>
      </c>
      <c r="AK4" s="31">
        <f>AA4/AF4-1</f>
        <v>-0.11986669132330863</v>
      </c>
      <c r="AL4" s="31">
        <f t="shared" ref="AL4:AM12" si="1">AB4/AG4-1</f>
        <v>-0.31709846373936867</v>
      </c>
      <c r="AM4" s="31">
        <f t="shared" si="1"/>
        <v>0.8357613891297575</v>
      </c>
      <c r="AN4" s="31">
        <f>SUM(U4:W4)/SUM(I4:INDEX(I4:K4,MOD($B$2,3)))-1</f>
        <v>6.2605552538438358E-2</v>
      </c>
      <c r="AO4" s="31">
        <f>AE4/SUM(L4:INDEX(L4:N4,MOD($B$2,3)))-1</f>
        <v>3.2584384511399156</v>
      </c>
      <c r="AP4" s="22">
        <f>[16]APE!J27</f>
        <v>1097.587</v>
      </c>
      <c r="AQ4" s="22">
        <f>[17]APE!J27</f>
        <v>2116.5275000000001</v>
      </c>
      <c r="AR4" s="22">
        <f>[18]APE!J27</f>
        <v>2115.21</v>
      </c>
      <c r="AS4" s="22">
        <f>[19]APE!J28</f>
        <v>2215.6280000000002</v>
      </c>
      <c r="AT4" s="22">
        <f>[20]APE!J28</f>
        <v>2226.8000000000002</v>
      </c>
      <c r="AU4" s="22">
        <f>[21]APE!J28</f>
        <v>1857.83</v>
      </c>
      <c r="AV4" s="22">
        <f>[22]APE!J28</f>
        <v>1859.4570000000001</v>
      </c>
      <c r="AW4" s="18"/>
      <c r="AX4" s="18"/>
      <c r="AY4" s="18"/>
      <c r="AZ4" s="18"/>
      <c r="BA4" s="18"/>
      <c r="BB4" s="110">
        <f>SUM(AP4:INDEX(AP4:AR4,IF($B$2&lt;3,$B$2,3)))</f>
        <v>5329.3245000000006</v>
      </c>
      <c r="BC4" s="110">
        <f>SUM(AS4:INDEX(AS4:AU4,IF(AND($B$2&gt;3,$B$2&lt;7),$B$2-3,0)))</f>
        <v>6300.2579999999998</v>
      </c>
      <c r="BD4" s="110">
        <f>SUM(AV4:INDEX(AV4:AX4,IF(AND($B$2&gt;6,$B$2&lt;10),$B$2-6,0)))</f>
        <v>1859.4570000000001</v>
      </c>
      <c r="BE4" s="110">
        <f>SUM(AY4:INDEX(AY4:BA4,IF($B$2&gt;9,$B$2-9,0)))</f>
        <v>0</v>
      </c>
      <c r="BF4" s="110">
        <f>SUM($AP4:INDEX(AP4:BA4,$B$2))</f>
        <v>13489.039500000003</v>
      </c>
      <c r="BG4" s="125">
        <f>AP4/O4</f>
        <v>1.6325171642412633</v>
      </c>
      <c r="BH4" s="111">
        <f t="shared" ref="BH4:BR14" si="2">AQ4/P4</f>
        <v>4.8191614107789347</v>
      </c>
      <c r="BI4" s="111">
        <f t="shared" si="2"/>
        <v>2.7807013507739837</v>
      </c>
      <c r="BJ4" s="111">
        <f t="shared" si="2"/>
        <v>1.9430305315729701</v>
      </c>
      <c r="BK4" s="111">
        <f t="shared" si="2"/>
        <v>2.0531506753324109</v>
      </c>
      <c r="BL4" s="111">
        <f t="shared" si="2"/>
        <v>1.3818019811111655</v>
      </c>
      <c r="BM4" s="111">
        <f t="shared" si="2"/>
        <v>1.7785081993084748</v>
      </c>
      <c r="BN4" s="111">
        <f t="shared" si="2"/>
        <v>0</v>
      </c>
      <c r="BO4" s="111">
        <f t="shared" si="2"/>
        <v>0</v>
      </c>
      <c r="BP4" s="111">
        <f t="shared" si="2"/>
        <v>0</v>
      </c>
      <c r="BQ4" s="111">
        <f t="shared" si="2"/>
        <v>0</v>
      </c>
      <c r="BR4" s="111">
        <f t="shared" si="2"/>
        <v>0</v>
      </c>
      <c r="BS4" s="111">
        <f>BB4/SUM(O4:INDEX(O4:Q4,IF($B$2&lt;3,$B$2,3)))</f>
        <v>2.8465679019203685</v>
      </c>
      <c r="BT4" s="111">
        <f>BC4/SUM(R4:INDEX(R4:T4,IF($B$2&lt;7,$B$2-3,3)))</f>
        <v>1.7650896376671512</v>
      </c>
      <c r="BU4" s="111">
        <f t="shared" ref="BU4:BV13" si="3">BD4/AD4</f>
        <v>0.6518102832416911</v>
      </c>
      <c r="BV4" s="111">
        <f t="shared" si="3"/>
        <v>0</v>
      </c>
      <c r="BW4" s="111">
        <f>BF4/AA4</f>
        <v>2.0793706349761791</v>
      </c>
    </row>
    <row r="5" spans="1:75" x14ac:dyDescent="0.25">
      <c r="A5" s="20" t="str">
        <f t="shared" ref="A5:A13" si="4">$B$3&amp;"_by_rookie_mdrt:"&amp;B5</f>
        <v>APE_by_rookie_mdrt:Rookie in month</v>
      </c>
      <c r="B5" t="s">
        <v>5</v>
      </c>
      <c r="C5" s="14">
        <v>1443.3910000000001</v>
      </c>
      <c r="D5" s="14">
        <v>748.14300000000003</v>
      </c>
      <c r="E5" s="14">
        <v>1399.5440000000001</v>
      </c>
      <c r="F5" s="14">
        <v>2506.721</v>
      </c>
      <c r="G5" s="14">
        <v>1762.7895000000001</v>
      </c>
      <c r="H5" s="14">
        <v>1783.73</v>
      </c>
      <c r="I5" s="14">
        <v>2626.5050000000001</v>
      </c>
      <c r="J5" s="14">
        <v>1577.1310000000001</v>
      </c>
      <c r="K5" s="14">
        <v>4328.6610000000001</v>
      </c>
      <c r="L5" s="14">
        <v>2297.9850000000001</v>
      </c>
      <c r="M5" s="14">
        <v>6033.5350000000299</v>
      </c>
      <c r="N5" s="14">
        <v>3187.8090000000002</v>
      </c>
      <c r="O5" s="14">
        <v>1056.748</v>
      </c>
      <c r="P5" s="14">
        <v>604.54399999999998</v>
      </c>
      <c r="Q5" s="14">
        <v>4455.8940000000002</v>
      </c>
      <c r="R5" s="14">
        <v>5200.0320000000102</v>
      </c>
      <c r="S5" s="14">
        <v>4443.8230000000003</v>
      </c>
      <c r="T5">
        <v>9751.3800000000701</v>
      </c>
      <c r="U5" s="6">
        <v>4760.9380000000101</v>
      </c>
      <c r="V5" s="6">
        <v>5674.0470000000196</v>
      </c>
      <c r="W5">
        <v>9491.9935000000496</v>
      </c>
      <c r="X5" s="6">
        <f>[14]APE!AB9</f>
        <v>6519.5280000000203</v>
      </c>
      <c r="Y5" s="6">
        <v>7622.0060000000503</v>
      </c>
      <c r="Z5" s="6">
        <f>[15]APE!J28</f>
        <v>15125.7075000001</v>
      </c>
      <c r="AA5" s="22">
        <f>SUM(O5:INDEX(O5:Z5,$B$2))</f>
        <v>30273.359000000091</v>
      </c>
      <c r="AB5" s="22">
        <f t="shared" ref="AB5:AB10" si="5">SUM(O5:Q5)</f>
        <v>6117.1859999999997</v>
      </c>
      <c r="AC5" s="22">
        <f t="shared" ref="AC5:AC10" si="6">SUM(R5:T5)</f>
        <v>19395.235000000081</v>
      </c>
      <c r="AD5" s="22">
        <f t="shared" ref="AD5:AD10" si="7">SUM(U5:W5)</f>
        <v>19926.978500000077</v>
      </c>
      <c r="AE5" s="22">
        <f t="shared" ref="AE5:AE10" si="8">SUM(X5:Z5)</f>
        <v>29267.241500000171</v>
      </c>
      <c r="AF5" s="22">
        <f>SUM(C5                                                                                : INDEX(C5:N5,$B$2))</f>
        <v>12270.823500000002</v>
      </c>
      <c r="AG5" s="22">
        <f t="shared" ref="AG5:AG10" si="9">SUM(C5:E5)</f>
        <v>3591.0780000000004</v>
      </c>
      <c r="AH5" s="22">
        <f t="shared" ref="AH5:AH10" si="10">SUM(F5:H5)</f>
        <v>6053.2404999999999</v>
      </c>
      <c r="AI5" s="22">
        <f t="shared" si="0"/>
        <v>8532.2970000000005</v>
      </c>
      <c r="AJ5" s="22">
        <f t="shared" ref="AJ5:AJ10" si="11">SUM(L5:N5)</f>
        <v>11519.329000000031</v>
      </c>
      <c r="AK5" s="31">
        <f t="shared" ref="AK5:AK12" si="12">AA5/AF5-1</f>
        <v>1.4671008429059458</v>
      </c>
      <c r="AL5" s="31">
        <f t="shared" si="1"/>
        <v>0.70344002552993801</v>
      </c>
      <c r="AM5" s="31">
        <f t="shared" si="1"/>
        <v>2.2041077832608966</v>
      </c>
      <c r="AN5" s="31">
        <f>SUM(U5:W5)/SUM(I5:INDEX(I5:K5,MOD($B$2,3)))-1</f>
        <v>6.5868800935083227</v>
      </c>
      <c r="AO5" s="31">
        <f>AE5/SUM(L5:INDEX(L5:N5,MOD($B$2,3)))-1</f>
        <v>11.736045492028961</v>
      </c>
      <c r="AP5" s="22">
        <f>[16]APE!J28</f>
        <v>2756.6320000000001</v>
      </c>
      <c r="AQ5" s="22">
        <f>[17]APE!J28</f>
        <v>3733.1240000000098</v>
      </c>
      <c r="AR5" s="22">
        <f>[18]APE!J28</f>
        <v>10037.33</v>
      </c>
      <c r="AS5" s="22">
        <f>[19]APE!J29</f>
        <v>6735.6140000000196</v>
      </c>
      <c r="AT5" s="22">
        <f>[20]APE!J29</f>
        <v>6413.6</v>
      </c>
      <c r="AU5" s="22">
        <f>[21]APE!J29</f>
        <v>14161.59</v>
      </c>
      <c r="AV5" s="22">
        <f>[22]APE!J29</f>
        <v>7721.5930000000726</v>
      </c>
      <c r="AW5" s="18"/>
      <c r="AX5" s="18"/>
      <c r="AY5" s="18"/>
      <c r="AZ5" s="18"/>
      <c r="BA5" s="18"/>
      <c r="BB5" s="110">
        <f>SUM(AP5:INDEX(AP5:AR5,IF($B$2&lt;3,$B$2,3)))</f>
        <v>16527.08600000001</v>
      </c>
      <c r="BC5" s="110">
        <f>SUM(AS5:INDEX(AS5:AU5,IF(AND($B$2&gt;3,$B$2&lt;7),$B$2-3,0)))</f>
        <v>27310.804000000018</v>
      </c>
      <c r="BD5" s="110">
        <f>SUM(AV5:INDEX(AV5:AX5,IF(AND($B$2&gt;6,$B$2&lt;10),$B$2-6,0)))</f>
        <v>7721.5930000000726</v>
      </c>
      <c r="BE5" s="110">
        <f>SUM(AY5:INDEX(AY5:BA5,IF($B$2&gt;9,$B$2-9,0)))</f>
        <v>0</v>
      </c>
      <c r="BF5" s="110">
        <f>SUM($AP5:INDEX(AP5:BA5,$B$2))</f>
        <v>51559.483000000102</v>
      </c>
      <c r="BG5" s="125">
        <f t="shared" ref="BG5:BH14" si="13">AP5/O5</f>
        <v>2.6085992119218582</v>
      </c>
      <c r="BH5" s="111">
        <f t="shared" si="2"/>
        <v>6.1751071882278374</v>
      </c>
      <c r="BI5" s="111">
        <f t="shared" si="2"/>
        <v>2.2525962242369317</v>
      </c>
      <c r="BJ5" s="111">
        <f t="shared" si="2"/>
        <v>1.2953024135236104</v>
      </c>
      <c r="BK5" s="111">
        <f t="shared" si="2"/>
        <v>1.4432618040817558</v>
      </c>
      <c r="BL5" s="111">
        <f t="shared" si="2"/>
        <v>1.4522652178460791</v>
      </c>
      <c r="BM5" s="111">
        <f t="shared" si="2"/>
        <v>1.621863800788848</v>
      </c>
      <c r="BN5" s="111">
        <f t="shared" si="2"/>
        <v>0</v>
      </c>
      <c r="BO5" s="111">
        <f t="shared" si="2"/>
        <v>0</v>
      </c>
      <c r="BP5" s="111">
        <f t="shared" si="2"/>
        <v>0</v>
      </c>
      <c r="BQ5" s="111">
        <f t="shared" si="2"/>
        <v>0</v>
      </c>
      <c r="BR5" s="111">
        <f t="shared" si="2"/>
        <v>0</v>
      </c>
      <c r="BS5" s="111">
        <f>BB5/SUM(O5:INDEX(O5:Q5,IF($B$2&lt;3,$B$2,3)))</f>
        <v>2.7017465220119203</v>
      </c>
      <c r="BT5" s="111">
        <f>BC5/SUM(R5:INDEX(R5:T5,IF($B$2&lt;7,$B$2-3,3)))</f>
        <v>1.4081192622827157</v>
      </c>
      <c r="BU5" s="111">
        <f t="shared" si="3"/>
        <v>0.38749442119386251</v>
      </c>
      <c r="BV5" s="111">
        <f t="shared" si="3"/>
        <v>0</v>
      </c>
      <c r="BW5" s="111">
        <f t="shared" ref="BW5:BW13" si="14">BF5/AA5</f>
        <v>1.7031305644015238</v>
      </c>
    </row>
    <row r="6" spans="1:75" x14ac:dyDescent="0.25">
      <c r="A6" s="20" t="str">
        <f t="shared" si="4"/>
        <v>APE_by_rookie_mdrt:Rookie last month</v>
      </c>
      <c r="B6" t="s">
        <v>6</v>
      </c>
      <c r="C6" s="14">
        <v>900.697</v>
      </c>
      <c r="D6" s="14">
        <v>986.32799999999997</v>
      </c>
      <c r="E6" s="14">
        <v>1126.9590000000001</v>
      </c>
      <c r="F6" s="14">
        <v>1109.8240000000001</v>
      </c>
      <c r="G6" s="14">
        <v>1587.0785000000001</v>
      </c>
      <c r="H6" s="14">
        <v>1562.277</v>
      </c>
      <c r="I6" s="14">
        <v>1922.2380000000001</v>
      </c>
      <c r="J6" s="14">
        <v>1360.7660000000001</v>
      </c>
      <c r="K6" s="14">
        <v>2527.9119999999998</v>
      </c>
      <c r="L6" s="14">
        <v>2817.5140000000001</v>
      </c>
      <c r="M6" s="14">
        <v>1627.8630000000001</v>
      </c>
      <c r="N6" s="14">
        <v>5157.00000000002</v>
      </c>
      <c r="O6" s="14">
        <v>925.79899999999895</v>
      </c>
      <c r="P6" s="14">
        <v>756.42700000000002</v>
      </c>
      <c r="Q6" s="14">
        <v>502.48700000000002</v>
      </c>
      <c r="R6" s="14">
        <v>1484.2950000000001</v>
      </c>
      <c r="S6" s="14">
        <v>1717.1189999999999</v>
      </c>
      <c r="T6">
        <v>4255.2430000000004</v>
      </c>
      <c r="U6" s="6">
        <v>3443.99</v>
      </c>
      <c r="V6" s="6">
        <v>2777.319</v>
      </c>
      <c r="W6">
        <v>5598.59800000002</v>
      </c>
      <c r="X6" s="6">
        <f>[14]APE!AB10</f>
        <v>3823.0619999999999</v>
      </c>
      <c r="Y6" s="6">
        <v>3988.2570000000001</v>
      </c>
      <c r="Z6" s="6">
        <f>[15]APE!J29</f>
        <v>6872.1940000000304</v>
      </c>
      <c r="AA6" s="22">
        <f>SUM(O6:INDEX(O6:Z6,$B$2))</f>
        <v>13085.359999999999</v>
      </c>
      <c r="AB6" s="22">
        <f t="shared" si="5"/>
        <v>2184.7129999999988</v>
      </c>
      <c r="AC6" s="22">
        <f t="shared" si="6"/>
        <v>7456.6570000000002</v>
      </c>
      <c r="AD6" s="22">
        <f t="shared" si="7"/>
        <v>11819.907000000019</v>
      </c>
      <c r="AE6" s="22">
        <f t="shared" si="8"/>
        <v>14683.51300000003</v>
      </c>
      <c r="AF6" s="22">
        <f>SUM(C6                                                                                : INDEX(C6:N6,$B$2))</f>
        <v>9195.4014999999999</v>
      </c>
      <c r="AG6" s="22">
        <f t="shared" si="9"/>
        <v>3013.9840000000004</v>
      </c>
      <c r="AH6" s="22">
        <f t="shared" si="10"/>
        <v>4259.1795000000002</v>
      </c>
      <c r="AI6" s="22">
        <f t="shared" si="0"/>
        <v>5810.9159999999993</v>
      </c>
      <c r="AJ6" s="22">
        <f t="shared" si="11"/>
        <v>9602.3770000000204</v>
      </c>
      <c r="AK6" s="31">
        <f t="shared" si="12"/>
        <v>0.42303302362599382</v>
      </c>
      <c r="AL6" s="31">
        <f t="shared" si="1"/>
        <v>-0.27514114208967311</v>
      </c>
      <c r="AM6" s="31">
        <f t="shared" si="1"/>
        <v>0.75072616685913318</v>
      </c>
      <c r="AN6" s="31">
        <f>SUM(U6:W6)/SUM(I6:INDEX(I6:K6,MOD($B$2,3)))-1</f>
        <v>5.1490340946334525</v>
      </c>
      <c r="AO6" s="31">
        <f>AE6/SUM(L6:INDEX(L6:N6,MOD($B$2,3)))-1</f>
        <v>4.2115137671010787</v>
      </c>
      <c r="AP6" s="22">
        <f>[16]APE!J29</f>
        <v>2279.9690000000001</v>
      </c>
      <c r="AQ6" s="22">
        <f>[17]APE!J29</f>
        <v>1583.258</v>
      </c>
      <c r="AR6" s="22">
        <f>[18]APE!J29</f>
        <v>3757.04</v>
      </c>
      <c r="AS6" s="22">
        <f>[19]APE!J30</f>
        <v>4106.826</v>
      </c>
      <c r="AT6" s="22">
        <f>[20]APE!J30</f>
        <v>2595.56</v>
      </c>
      <c r="AU6" s="22">
        <f>[21]APE!J30</f>
        <v>2120.2800000000002</v>
      </c>
      <c r="AV6" s="22">
        <f>[22]APE!J30</f>
        <v>3228.5269999999973</v>
      </c>
      <c r="AW6" s="18"/>
      <c r="AX6" s="18"/>
      <c r="AY6" s="18"/>
      <c r="AZ6" s="18"/>
      <c r="BA6" s="18"/>
      <c r="BB6" s="110">
        <f>SUM(AP6:INDEX(AP6:AR6,IF($B$2&lt;3,$B$2,3)))</f>
        <v>7620.2669999999998</v>
      </c>
      <c r="BC6" s="110">
        <f>SUM(AS6:INDEX(AS6:AU6,IF(AND($B$2&gt;3,$B$2&lt;7),$B$2-3,0)))</f>
        <v>8822.6660000000011</v>
      </c>
      <c r="BD6" s="110">
        <f>SUM(AV6:INDEX(AV6:AX6,IF(AND($B$2&gt;6,$B$2&lt;10),$B$2-6,0)))</f>
        <v>3228.5269999999973</v>
      </c>
      <c r="BE6" s="110">
        <f>SUM(AY6:INDEX(AY6:BA6,IF($B$2&gt;9,$B$2-9,0)))</f>
        <v>0</v>
      </c>
      <c r="BF6" s="110">
        <f>SUM($AP6:INDEX(AP6:BA6,$B$2))</f>
        <v>19671.46</v>
      </c>
      <c r="BG6" s="125">
        <f t="shared" si="13"/>
        <v>2.4627041074790559</v>
      </c>
      <c r="BH6" s="111">
        <f t="shared" si="2"/>
        <v>2.0930744143188966</v>
      </c>
      <c r="BI6" s="111">
        <f t="shared" si="2"/>
        <v>7.4768899493917251</v>
      </c>
      <c r="BJ6" s="111">
        <f t="shared" si="2"/>
        <v>2.7668529503905894</v>
      </c>
      <c r="BK6" s="111">
        <f t="shared" si="2"/>
        <v>1.5115784054570476</v>
      </c>
      <c r="BL6" s="111">
        <f t="shared" si="2"/>
        <v>0.49827471662605405</v>
      </c>
      <c r="BM6" s="111">
        <f t="shared" si="2"/>
        <v>0.93743797165496923</v>
      </c>
      <c r="BN6" s="111">
        <f t="shared" si="2"/>
        <v>0</v>
      </c>
      <c r="BO6" s="111">
        <f t="shared" si="2"/>
        <v>0</v>
      </c>
      <c r="BP6" s="111">
        <f t="shared" si="2"/>
        <v>0</v>
      </c>
      <c r="BQ6" s="111">
        <f t="shared" si="2"/>
        <v>0</v>
      </c>
      <c r="BR6" s="111">
        <f t="shared" si="2"/>
        <v>0</v>
      </c>
      <c r="BS6" s="111">
        <f>BB6/SUM(O6:INDEX(O6:Q6,IF($B$2&lt;3,$B$2,3)))</f>
        <v>3.4879945329203443</v>
      </c>
      <c r="BT6" s="111">
        <f>BC6/SUM(R6:INDEX(R6:T6,IF($B$2&lt;7,$B$2-3,3)))</f>
        <v>1.183193219159739</v>
      </c>
      <c r="BU6" s="111">
        <f t="shared" si="3"/>
        <v>0.27314318124499559</v>
      </c>
      <c r="BV6" s="111">
        <f t="shared" si="3"/>
        <v>0</v>
      </c>
      <c r="BW6" s="111">
        <f t="shared" si="14"/>
        <v>1.5033182121087996</v>
      </c>
    </row>
    <row r="7" spans="1:75" x14ac:dyDescent="0.25">
      <c r="A7" s="20" t="str">
        <f t="shared" si="4"/>
        <v>APE_by_rookie_mdrt:2-3 months</v>
      </c>
      <c r="B7" t="s">
        <v>7</v>
      </c>
      <c r="C7" s="14">
        <v>1123.3230000000001</v>
      </c>
      <c r="D7" s="14">
        <v>904.76700000000005</v>
      </c>
      <c r="E7" s="14">
        <v>1615.7190000000001</v>
      </c>
      <c r="F7" s="14">
        <v>1001.768</v>
      </c>
      <c r="G7" s="14">
        <v>973.64499999999998</v>
      </c>
      <c r="H7" s="14">
        <v>2195.38</v>
      </c>
      <c r="I7" s="14">
        <v>2185.8879999999999</v>
      </c>
      <c r="J7" s="14">
        <v>1202.1400000000001</v>
      </c>
      <c r="K7" s="14">
        <v>3381.5740000000001</v>
      </c>
      <c r="L7" s="14">
        <v>2536.0300000000002</v>
      </c>
      <c r="M7" s="14">
        <v>4341.701</v>
      </c>
      <c r="N7" s="14">
        <v>3936.7620000000002</v>
      </c>
      <c r="O7" s="14">
        <v>1277.04</v>
      </c>
      <c r="P7" s="14">
        <v>1869.077</v>
      </c>
      <c r="Q7" s="14">
        <v>2772.25</v>
      </c>
      <c r="R7" s="14">
        <v>1264.825</v>
      </c>
      <c r="S7" s="14">
        <v>1753.539</v>
      </c>
      <c r="T7">
        <v>3144.2359999999999</v>
      </c>
      <c r="U7" s="6">
        <v>2672.902</v>
      </c>
      <c r="V7" s="6">
        <v>3768.77000000001</v>
      </c>
      <c r="W7">
        <v>6418.0445</v>
      </c>
      <c r="X7" s="6">
        <f>[14]APE!AB11</f>
        <v>3671.5749999999998</v>
      </c>
      <c r="Y7" s="6">
        <v>3967.9929999999999</v>
      </c>
      <c r="Z7" s="6">
        <f>[15]APE!J30</f>
        <v>7577.5540000000301</v>
      </c>
      <c r="AA7" s="22">
        <f>SUM(O7:INDEX(O7:Z7,$B$2))</f>
        <v>14753.869000000001</v>
      </c>
      <c r="AB7" s="22">
        <f t="shared" si="5"/>
        <v>5918.3670000000002</v>
      </c>
      <c r="AC7" s="22">
        <f t="shared" si="6"/>
        <v>6162.6</v>
      </c>
      <c r="AD7" s="22">
        <f t="shared" si="7"/>
        <v>12859.71650000001</v>
      </c>
      <c r="AE7" s="22">
        <f t="shared" si="8"/>
        <v>15217.122000000028</v>
      </c>
      <c r="AF7" s="22">
        <f>SUM(C7                                                                                : INDEX(C7:N7,$B$2))</f>
        <v>10000.49</v>
      </c>
      <c r="AG7" s="22">
        <f t="shared" si="9"/>
        <v>3643.8090000000002</v>
      </c>
      <c r="AH7" s="22">
        <f t="shared" si="10"/>
        <v>4170.7929999999997</v>
      </c>
      <c r="AI7" s="22">
        <f t="shared" si="0"/>
        <v>6769.6020000000008</v>
      </c>
      <c r="AJ7" s="22">
        <f t="shared" si="11"/>
        <v>10814.493</v>
      </c>
      <c r="AK7" s="31">
        <f t="shared" si="12"/>
        <v>0.47531460958413052</v>
      </c>
      <c r="AL7" s="31">
        <f t="shared" si="1"/>
        <v>0.62422536417249086</v>
      </c>
      <c r="AM7" s="31">
        <f t="shared" si="1"/>
        <v>0.47756074204593735</v>
      </c>
      <c r="AN7" s="31">
        <f>SUM(U7:W7)/SUM(I7:INDEX(I7:K7,MOD($B$2,3)))-1</f>
        <v>4.8830628559194293</v>
      </c>
      <c r="AO7" s="31">
        <f>AE7/SUM(L7:INDEX(L7:N7,MOD($B$2,3)))-1</f>
        <v>5.0003714467100258</v>
      </c>
      <c r="AP7" s="22">
        <f>[16]APE!J30</f>
        <v>3159.2165</v>
      </c>
      <c r="AQ7" s="22">
        <f>[17]APE!J30</f>
        <v>5424.7270000000099</v>
      </c>
      <c r="AR7" s="22">
        <f>[18]APE!J30</f>
        <v>4308.79</v>
      </c>
      <c r="AS7" s="22">
        <f>[19]APE!J31</f>
        <v>3187.0610000000001</v>
      </c>
      <c r="AT7" s="22">
        <f>[20]APE!J31</f>
        <v>3396.29</v>
      </c>
      <c r="AU7" s="22">
        <f>[21]APE!J31</f>
        <v>2783</v>
      </c>
      <c r="AV7" s="22">
        <f>[22]APE!J31</f>
        <v>3132.0924999999957</v>
      </c>
      <c r="AW7" s="18"/>
      <c r="AX7" s="18"/>
      <c r="AY7" s="18"/>
      <c r="AZ7" s="18"/>
      <c r="BA7" s="18"/>
      <c r="BB7" s="110">
        <f>SUM(AP7:INDEX(AP7:AR7,IF($B$2&lt;3,$B$2,3)))</f>
        <v>12892.733500000009</v>
      </c>
      <c r="BC7" s="110">
        <f>SUM(AS7:INDEX(AS7:AU7,IF(AND($B$2&gt;3,$B$2&lt;7),$B$2-3,0)))</f>
        <v>9366.3510000000006</v>
      </c>
      <c r="BD7" s="110">
        <f>SUM(AV7:INDEX(AV7:AX7,IF(AND($B$2&gt;6,$B$2&lt;10),$B$2-6,0)))</f>
        <v>3132.0924999999957</v>
      </c>
      <c r="BE7" s="110">
        <f>SUM(AY7:INDEX(AY7:BA7,IF($B$2&gt;9,$B$2-9,0)))</f>
        <v>0</v>
      </c>
      <c r="BF7" s="110">
        <f>SUM($AP7:INDEX(AP7:BA7,$B$2))</f>
        <v>25391.177000000003</v>
      </c>
      <c r="BG7" s="125">
        <f t="shared" si="13"/>
        <v>2.4738586888429492</v>
      </c>
      <c r="BH7" s="111">
        <f t="shared" si="2"/>
        <v>2.9023560827082084</v>
      </c>
      <c r="BI7" s="111">
        <f t="shared" si="2"/>
        <v>1.5542573721706194</v>
      </c>
      <c r="BJ7" s="111">
        <f t="shared" si="2"/>
        <v>2.5197643942837944</v>
      </c>
      <c r="BK7" s="111">
        <f t="shared" si="2"/>
        <v>1.9368203387549408</v>
      </c>
      <c r="BL7" s="111">
        <f t="shared" si="2"/>
        <v>0.88511167736772944</v>
      </c>
      <c r="BM7" s="111">
        <f t="shared" si="2"/>
        <v>1.1717947384528111</v>
      </c>
      <c r="BN7" s="111">
        <f t="shared" si="2"/>
        <v>0</v>
      </c>
      <c r="BO7" s="111">
        <f t="shared" si="2"/>
        <v>0</v>
      </c>
      <c r="BP7" s="111">
        <f t="shared" si="2"/>
        <v>0</v>
      </c>
      <c r="BQ7" s="111">
        <f t="shared" si="2"/>
        <v>0</v>
      </c>
      <c r="BR7" s="111">
        <f t="shared" si="2"/>
        <v>0</v>
      </c>
      <c r="BS7" s="111">
        <f>BB7/SUM(O7:INDEX(O7:Q7,IF($B$2&lt;3,$B$2,3)))</f>
        <v>2.1784275121836831</v>
      </c>
      <c r="BT7" s="111">
        <f>BC7/SUM(R7:INDEX(R7:T7,IF($B$2&lt;7,$B$2-3,3)))</f>
        <v>1.5198700223931458</v>
      </c>
      <c r="BU7" s="111">
        <f t="shared" si="3"/>
        <v>0.243558440810106</v>
      </c>
      <c r="BV7" s="111">
        <f t="shared" si="3"/>
        <v>0</v>
      </c>
      <c r="BW7" s="111">
        <f t="shared" si="14"/>
        <v>1.7209843058793597</v>
      </c>
    </row>
    <row r="8" spans="1:75" x14ac:dyDescent="0.25">
      <c r="A8" s="20" t="str">
        <f t="shared" si="4"/>
        <v>APE_by_rookie_mdrt:4 - 6 mths</v>
      </c>
      <c r="B8" t="s">
        <v>8</v>
      </c>
      <c r="C8" s="14">
        <v>530.08399999999995</v>
      </c>
      <c r="D8" s="14">
        <v>451.44900000000001</v>
      </c>
      <c r="E8" s="14">
        <v>971.42899999999997</v>
      </c>
      <c r="F8" s="14">
        <v>2369.1405</v>
      </c>
      <c r="G8" s="14">
        <v>1384.3610000000001</v>
      </c>
      <c r="H8" s="14">
        <v>1154.6289999999999</v>
      </c>
      <c r="I8" s="14">
        <v>1420.0329999999999</v>
      </c>
      <c r="J8" s="14">
        <v>859.524</v>
      </c>
      <c r="K8" s="14">
        <v>2087.2635</v>
      </c>
      <c r="L8" s="14">
        <v>1430.2845</v>
      </c>
      <c r="M8" s="14">
        <v>3005.5030000000002</v>
      </c>
      <c r="N8" s="14">
        <v>3424.92</v>
      </c>
      <c r="O8" s="14">
        <v>1330.8430000000001</v>
      </c>
      <c r="P8" s="14">
        <v>1199.163</v>
      </c>
      <c r="Q8" s="14">
        <v>3278.7629999999999</v>
      </c>
      <c r="R8" s="14">
        <v>1240.7159999999999</v>
      </c>
      <c r="S8" s="14">
        <v>1410.462</v>
      </c>
      <c r="T8">
        <v>1192.8679999999999</v>
      </c>
      <c r="U8" s="6">
        <v>1095.511</v>
      </c>
      <c r="V8" s="6">
        <v>1414.9960000000001</v>
      </c>
      <c r="W8">
        <v>2180.9364999999998</v>
      </c>
      <c r="X8" s="6">
        <f>[14]APE!AB12</f>
        <v>2984.922</v>
      </c>
      <c r="Y8" s="6">
        <v>2618.1770000000001</v>
      </c>
      <c r="Z8" s="6">
        <f>[15]APE!J31</f>
        <v>6715.1760000000204</v>
      </c>
      <c r="AA8" s="22">
        <f>SUM(O8:INDEX(O8:Z8,$B$2))</f>
        <v>10748.326000000001</v>
      </c>
      <c r="AB8" s="22">
        <f t="shared" si="5"/>
        <v>5808.7690000000002</v>
      </c>
      <c r="AC8" s="22">
        <f t="shared" si="6"/>
        <v>3844.0459999999998</v>
      </c>
      <c r="AD8" s="22">
        <f t="shared" si="7"/>
        <v>4691.4434999999994</v>
      </c>
      <c r="AE8" s="22">
        <f t="shared" si="8"/>
        <v>12318.27500000002</v>
      </c>
      <c r="AF8" s="22">
        <f>SUM(C8                                                                                : INDEX(C8:N8,$B$2))</f>
        <v>8281.1255000000001</v>
      </c>
      <c r="AG8" s="22">
        <f t="shared" si="9"/>
        <v>1952.962</v>
      </c>
      <c r="AH8" s="22">
        <f t="shared" si="10"/>
        <v>4908.1305000000002</v>
      </c>
      <c r="AI8" s="22">
        <f t="shared" si="0"/>
        <v>4366.8204999999998</v>
      </c>
      <c r="AJ8" s="22">
        <f t="shared" si="11"/>
        <v>7860.7075000000004</v>
      </c>
      <c r="AK8" s="31">
        <f t="shared" si="12"/>
        <v>0.2979305771902625</v>
      </c>
      <c r="AL8" s="31">
        <f t="shared" si="1"/>
        <v>1.9743379543483184</v>
      </c>
      <c r="AM8" s="31">
        <f t="shared" si="1"/>
        <v>-0.21680036828686611</v>
      </c>
      <c r="AN8" s="31">
        <f>SUM(U8:W8)/SUM(I8:INDEX(I8:K8,MOD($B$2,3)))-1</f>
        <v>2.30375667326041</v>
      </c>
      <c r="AO8" s="31">
        <f>AE8/SUM(L8:INDEX(L8:N8,MOD($B$2,3)))-1</f>
        <v>7.6124648627598361</v>
      </c>
      <c r="AP8" s="22">
        <f>[16]APE!J31</f>
        <v>1720.3544999999999</v>
      </c>
      <c r="AQ8" s="22">
        <f>[17]APE!J31</f>
        <v>3040.5129999999999</v>
      </c>
      <c r="AR8" s="22">
        <f>[18]APE!J31</f>
        <v>4865.8</v>
      </c>
      <c r="AS8" s="22">
        <f>[19]APE!J32</f>
        <v>4200.0630000000001</v>
      </c>
      <c r="AT8" s="22">
        <f>[20]APE!J32</f>
        <v>3037.75</v>
      </c>
      <c r="AU8" s="22">
        <f>[21]APE!J32</f>
        <v>1939.3</v>
      </c>
      <c r="AV8" s="22">
        <f>[22]APE!J32</f>
        <v>2044.4809999999984</v>
      </c>
      <c r="AW8" s="18"/>
      <c r="AX8" s="18"/>
      <c r="AY8" s="18"/>
      <c r="AZ8" s="18"/>
      <c r="BA8" s="18"/>
      <c r="BB8" s="110">
        <f>SUM(AP8:INDEX(AP8:AR8,IF($B$2&lt;3,$B$2,3)))</f>
        <v>9626.6674999999996</v>
      </c>
      <c r="BC8" s="110">
        <f>SUM(AS8:INDEX(AS8:AU8,IF(AND($B$2&gt;3,$B$2&lt;7),$B$2-3,0)))</f>
        <v>9177.1129999999994</v>
      </c>
      <c r="BD8" s="110">
        <f>SUM(AV8:INDEX(AV8:AX8,IF(AND($B$2&gt;6,$B$2&lt;10),$B$2-6,0)))</f>
        <v>2044.4809999999984</v>
      </c>
      <c r="BE8" s="110">
        <f>SUM(AY8:INDEX(AY8:BA8,IF($B$2&gt;9,$B$2-9,0)))</f>
        <v>0</v>
      </c>
      <c r="BF8" s="110">
        <f>SUM($AP8:INDEX(AP8:BA8,$B$2))</f>
        <v>20848.261499999997</v>
      </c>
      <c r="BG8" s="125">
        <f t="shared" si="13"/>
        <v>1.2926802785903371</v>
      </c>
      <c r="BH8" s="111">
        <f t="shared" si="2"/>
        <v>2.5355293650654662</v>
      </c>
      <c r="BI8" s="111">
        <f t="shared" si="2"/>
        <v>1.4840352901383846</v>
      </c>
      <c r="BJ8" s="111">
        <f t="shared" si="2"/>
        <v>3.3851929047421008</v>
      </c>
      <c r="BK8" s="111">
        <f t="shared" si="2"/>
        <v>2.1537269348624779</v>
      </c>
      <c r="BL8" s="111">
        <f t="shared" si="2"/>
        <v>1.6257456818357103</v>
      </c>
      <c r="BM8" s="111">
        <f t="shared" si="2"/>
        <v>1.8662350263940741</v>
      </c>
      <c r="BN8" s="111">
        <f t="shared" si="2"/>
        <v>0</v>
      </c>
      <c r="BO8" s="111">
        <f t="shared" si="2"/>
        <v>0</v>
      </c>
      <c r="BP8" s="111">
        <f t="shared" si="2"/>
        <v>0</v>
      </c>
      <c r="BQ8" s="111">
        <f t="shared" si="2"/>
        <v>0</v>
      </c>
      <c r="BR8" s="111">
        <f t="shared" si="2"/>
        <v>0</v>
      </c>
      <c r="BS8" s="111">
        <f>BB8/SUM(O8:INDEX(O8:Q8,IF($B$2&lt;3,$B$2,3)))</f>
        <v>1.6572646459172329</v>
      </c>
      <c r="BT8" s="111">
        <f>BC8/SUM(R8:INDEX(R8:T8,IF($B$2&lt;7,$B$2-3,3)))</f>
        <v>2.3873577475399617</v>
      </c>
      <c r="BU8" s="111">
        <f t="shared" si="3"/>
        <v>0.4357893258226383</v>
      </c>
      <c r="BV8" s="111">
        <f t="shared" si="3"/>
        <v>0</v>
      </c>
      <c r="BW8" s="111">
        <f t="shared" si="14"/>
        <v>1.9396752108188751</v>
      </c>
    </row>
    <row r="9" spans="1:75" x14ac:dyDescent="0.25">
      <c r="A9" s="20" t="str">
        <f t="shared" si="4"/>
        <v>APE_by_rookie_mdrt:7-12mth</v>
      </c>
      <c r="B9" t="s">
        <v>1</v>
      </c>
      <c r="C9" s="14">
        <v>575.85699999999997</v>
      </c>
      <c r="D9" s="14">
        <v>666.29300000000001</v>
      </c>
      <c r="E9" s="14">
        <v>984.51300000000003</v>
      </c>
      <c r="F9" s="14">
        <v>1944.9684999999999</v>
      </c>
      <c r="G9" s="14">
        <v>964.82</v>
      </c>
      <c r="H9" s="14">
        <v>901.69600000000003</v>
      </c>
      <c r="I9" s="14">
        <v>1385.125</v>
      </c>
      <c r="J9" s="14">
        <v>850.41600000000005</v>
      </c>
      <c r="K9" s="14">
        <v>1814.4455</v>
      </c>
      <c r="L9" s="14">
        <v>1688.5650000000001</v>
      </c>
      <c r="M9" s="14">
        <v>2676.241</v>
      </c>
      <c r="N9" s="14">
        <v>2987.9360000000001</v>
      </c>
      <c r="O9" s="14">
        <v>719.75</v>
      </c>
      <c r="P9" s="14">
        <v>1248.867</v>
      </c>
      <c r="Q9" s="14">
        <v>2833.0650000000001</v>
      </c>
      <c r="R9" s="14">
        <v>1805.7670000000001</v>
      </c>
      <c r="S9" s="14">
        <v>2847.5729999999999</v>
      </c>
      <c r="T9">
        <v>3257.7330000000002</v>
      </c>
      <c r="U9" s="6">
        <v>2006.0940000000001</v>
      </c>
      <c r="V9" s="6">
        <v>1248.374</v>
      </c>
      <c r="W9">
        <v>1755.114</v>
      </c>
      <c r="X9" s="6">
        <f>[14]APE!AB13</f>
        <v>1052.402</v>
      </c>
      <c r="Y9" s="6">
        <v>2202.0239999999999</v>
      </c>
      <c r="Z9" s="6">
        <f>[15]APE!J32</f>
        <v>6668.1910000000098</v>
      </c>
      <c r="AA9" s="22">
        <f>SUM(O9:INDEX(O9:Z9,$B$2))</f>
        <v>14718.848999999998</v>
      </c>
      <c r="AB9" s="22">
        <f t="shared" si="5"/>
        <v>4801.6819999999998</v>
      </c>
      <c r="AC9" s="22">
        <f t="shared" si="6"/>
        <v>7911.0730000000003</v>
      </c>
      <c r="AD9" s="22">
        <f t="shared" si="7"/>
        <v>5009.5820000000003</v>
      </c>
      <c r="AE9" s="22">
        <f t="shared" si="8"/>
        <v>9922.6170000000093</v>
      </c>
      <c r="AF9" s="22">
        <f>SUM(C9                                                                                : INDEX(C9:N9,$B$2))</f>
        <v>7423.2724999999991</v>
      </c>
      <c r="AG9" s="22">
        <f t="shared" si="9"/>
        <v>2226.663</v>
      </c>
      <c r="AH9" s="22">
        <f t="shared" si="10"/>
        <v>3811.4845</v>
      </c>
      <c r="AI9" s="22">
        <f t="shared" si="0"/>
        <v>4049.9865</v>
      </c>
      <c r="AJ9" s="22">
        <f t="shared" si="11"/>
        <v>7352.7420000000002</v>
      </c>
      <c r="AK9" s="31">
        <f t="shared" si="12"/>
        <v>0.98279788327856754</v>
      </c>
      <c r="AL9" s="31">
        <f t="shared" si="1"/>
        <v>1.156447563012454</v>
      </c>
      <c r="AM9" s="31">
        <f t="shared" si="1"/>
        <v>1.0755883960698251</v>
      </c>
      <c r="AN9" s="31">
        <f>SUM(U9:W9)/SUM(I9:INDEX(I9:K9,MOD($B$2,3)))-1</f>
        <v>2.6167002978070575</v>
      </c>
      <c r="AO9" s="31">
        <f>AE9/SUM(L9:INDEX(L9:N9,MOD($B$2,3)))-1</f>
        <v>4.8763606968046886</v>
      </c>
      <c r="AP9" s="22">
        <f>[16]APE!J32</f>
        <v>506.363</v>
      </c>
      <c r="AQ9" s="22">
        <f>[17]APE!J32</f>
        <v>1163.989</v>
      </c>
      <c r="AR9" s="22">
        <f>[18]APE!J32</f>
        <v>2121.54</v>
      </c>
      <c r="AS9" s="22">
        <f>[19]APE!J33</f>
        <v>2228.7310000000002</v>
      </c>
      <c r="AT9" s="22">
        <f>[20]APE!J33</f>
        <v>1652.74</v>
      </c>
      <c r="AU9" s="22">
        <f>[21]APE!J33</f>
        <v>1644.53</v>
      </c>
      <c r="AV9" s="22">
        <f>[22]APE!J33</f>
        <v>1880.2609999999984</v>
      </c>
      <c r="AW9" s="18"/>
      <c r="AX9" s="18"/>
      <c r="AY9" s="18"/>
      <c r="AZ9" s="18"/>
      <c r="BA9" s="18"/>
      <c r="BB9" s="110">
        <f>SUM(AP9:INDEX(AP9:AR9,IF($B$2&lt;3,$B$2,3)))</f>
        <v>3791.8919999999998</v>
      </c>
      <c r="BC9" s="110">
        <f>SUM(AS9:INDEX(AS9:AU9,IF(AND($B$2&gt;3,$B$2&lt;7),$B$2-3,0)))</f>
        <v>5526.0010000000002</v>
      </c>
      <c r="BD9" s="110">
        <f>SUM(AV9:INDEX(AV9:AX9,IF(AND($B$2&gt;6,$B$2&lt;10),$B$2-6,0)))</f>
        <v>1880.2609999999984</v>
      </c>
      <c r="BE9" s="110">
        <f>SUM(AY9:INDEX(AY9:BA9,IF($B$2&gt;9,$B$2-9,0)))</f>
        <v>0</v>
      </c>
      <c r="BF9" s="110">
        <f>SUM($AP9:INDEX(AP9:BA9,$B$2))</f>
        <v>11198.153999999999</v>
      </c>
      <c r="BG9" s="125">
        <f t="shared" si="13"/>
        <v>0.70352622438346646</v>
      </c>
      <c r="BH9" s="111">
        <f t="shared" si="2"/>
        <v>0.93203599742806886</v>
      </c>
      <c r="BI9" s="111">
        <f t="shared" si="2"/>
        <v>0.74884974400516757</v>
      </c>
      <c r="BJ9" s="111">
        <f t="shared" si="2"/>
        <v>1.234229554532783</v>
      </c>
      <c r="BK9" s="111">
        <f t="shared" si="2"/>
        <v>0.58040303093195511</v>
      </c>
      <c r="BL9" s="111">
        <f t="shared" si="2"/>
        <v>0.50480809814677874</v>
      </c>
      <c r="BM9" s="111">
        <f t="shared" si="2"/>
        <v>0.93727462422000085</v>
      </c>
      <c r="BN9" s="111">
        <f t="shared" si="2"/>
        <v>0</v>
      </c>
      <c r="BO9" s="111">
        <f t="shared" si="2"/>
        <v>0</v>
      </c>
      <c r="BP9" s="111">
        <f t="shared" si="2"/>
        <v>0</v>
      </c>
      <c r="BQ9" s="111">
        <f t="shared" si="2"/>
        <v>0</v>
      </c>
      <c r="BR9" s="111">
        <f t="shared" si="2"/>
        <v>0</v>
      </c>
      <c r="BS9" s="111">
        <f>BB9/SUM(O9:INDEX(O9:Q9,IF($B$2&lt;3,$B$2,3)))</f>
        <v>0.78970077568651986</v>
      </c>
      <c r="BT9" s="111">
        <f>BC9/SUM(R9:INDEX(R9:T9,IF($B$2&lt;7,$B$2-3,3)))</f>
        <v>0.69851472739538623</v>
      </c>
      <c r="BU9" s="111">
        <f t="shared" si="3"/>
        <v>0.37533291200742863</v>
      </c>
      <c r="BV9" s="111">
        <f t="shared" si="3"/>
        <v>0</v>
      </c>
      <c r="BW9" s="111">
        <f t="shared" si="14"/>
        <v>0.760803647078654</v>
      </c>
    </row>
    <row r="10" spans="1:75" x14ac:dyDescent="0.25">
      <c r="A10" s="20" t="str">
        <f t="shared" si="4"/>
        <v>APE_by_rookie_mdrt:13+mth</v>
      </c>
      <c r="B10" t="s">
        <v>2</v>
      </c>
      <c r="C10" s="14">
        <v>36.07</v>
      </c>
      <c r="D10" s="14">
        <v>113.072</v>
      </c>
      <c r="E10" s="14">
        <v>100.535</v>
      </c>
      <c r="F10" s="14">
        <v>47.24</v>
      </c>
      <c r="G10" s="14">
        <v>-34.981999999999999</v>
      </c>
      <c r="H10" s="14">
        <v>343.87400000000002</v>
      </c>
      <c r="I10" s="14">
        <v>392.88</v>
      </c>
      <c r="J10" s="14">
        <v>389.87099999999998</v>
      </c>
      <c r="K10" s="14">
        <v>1459.635</v>
      </c>
      <c r="L10" s="14">
        <v>429.95350000000002</v>
      </c>
      <c r="M10" s="14">
        <v>2127.8780000000002</v>
      </c>
      <c r="N10" s="14">
        <v>2183.3744999999999</v>
      </c>
      <c r="O10" s="14">
        <v>793.25400000000002</v>
      </c>
      <c r="P10" s="14">
        <v>856.61</v>
      </c>
      <c r="Q10" s="14">
        <v>1754.029</v>
      </c>
      <c r="R10" s="14">
        <v>419.62599999999998</v>
      </c>
      <c r="S10" s="14">
        <v>1222.71</v>
      </c>
      <c r="T10">
        <v>1751.6020000000001</v>
      </c>
      <c r="U10" s="6">
        <v>817.55</v>
      </c>
      <c r="V10" s="6">
        <v>2241.4050000000002</v>
      </c>
      <c r="W10">
        <v>2259.5875000000001</v>
      </c>
      <c r="X10" s="6">
        <f>[14]APE!AB14</f>
        <v>3182.1260000000002</v>
      </c>
      <c r="Y10" s="6">
        <v>2341.7910000000002</v>
      </c>
      <c r="Z10" s="6">
        <f>[15]APE!J33</f>
        <v>6435.8070000000198</v>
      </c>
      <c r="AA10" s="22">
        <f>SUM(O10:INDEX(O10:Z10,$B$2))</f>
        <v>7615.3810000000003</v>
      </c>
      <c r="AB10" s="22">
        <f t="shared" si="5"/>
        <v>3403.893</v>
      </c>
      <c r="AC10" s="22">
        <f t="shared" si="6"/>
        <v>3393.9380000000001</v>
      </c>
      <c r="AD10" s="22">
        <f t="shared" si="7"/>
        <v>5318.5424999999996</v>
      </c>
      <c r="AE10" s="22">
        <f t="shared" si="8"/>
        <v>11959.72400000002</v>
      </c>
      <c r="AF10" s="22">
        <f>SUM(C10                                                                                : INDEX(C10:N10,$B$2))</f>
        <v>998.68899999999996</v>
      </c>
      <c r="AG10" s="22">
        <f t="shared" si="9"/>
        <v>249.67699999999999</v>
      </c>
      <c r="AH10" s="22">
        <f t="shared" si="10"/>
        <v>356.13200000000001</v>
      </c>
      <c r="AI10" s="22">
        <f t="shared" si="0"/>
        <v>2242.386</v>
      </c>
      <c r="AJ10" s="22">
        <f t="shared" si="11"/>
        <v>4741.2060000000001</v>
      </c>
      <c r="AK10" s="31">
        <f t="shared" si="12"/>
        <v>6.6253778703880792</v>
      </c>
      <c r="AL10" s="31">
        <f t="shared" si="1"/>
        <v>12.633186076410723</v>
      </c>
      <c r="AM10" s="31">
        <f t="shared" si="1"/>
        <v>8.5300001123179054</v>
      </c>
      <c r="AN10" s="31">
        <f>SUM(U10:W10)/SUM(I10:INDEX(I10:K10,MOD($B$2,3)))-1</f>
        <v>12.537320555894929</v>
      </c>
      <c r="AO10" s="31">
        <f>AE10/SUM(L10:INDEX(L10:N10,MOD($B$2,3)))-1</f>
        <v>26.816319671778505</v>
      </c>
      <c r="AP10" s="22">
        <f>[16]APE!J33</f>
        <v>1340.424</v>
      </c>
      <c r="AQ10" s="22">
        <f>[17]APE!J33</f>
        <v>1857.0685000000001</v>
      </c>
      <c r="AR10" s="22">
        <f>[18]APE!J33</f>
        <v>1777.13</v>
      </c>
      <c r="AS10" s="22">
        <f>[19]APE!J34</f>
        <v>1888.9760000000001</v>
      </c>
      <c r="AT10" s="22">
        <f>[20]APE!J34</f>
        <v>1737.08</v>
      </c>
      <c r="AU10" s="22">
        <f>[21]APE!J34</f>
        <v>2199.79</v>
      </c>
      <c r="AV10" s="22">
        <f>[22]APE!J34</f>
        <v>1632.2584999999992</v>
      </c>
      <c r="AW10" s="18"/>
      <c r="AX10" s="18"/>
      <c r="AY10" s="18"/>
      <c r="AZ10" s="18"/>
      <c r="BA10" s="18"/>
      <c r="BB10" s="110">
        <f>SUM(AP10:INDEX(AP10:AR10,IF($B$2&lt;3,$B$2,3)))</f>
        <v>4974.6225000000004</v>
      </c>
      <c r="BC10" s="110">
        <f>SUM(AS10:INDEX(AS10:AU10,IF(AND($B$2&gt;3,$B$2&lt;7),$B$2-3,0)))</f>
        <v>5825.8459999999995</v>
      </c>
      <c r="BD10" s="110">
        <f>SUM(AV10:INDEX(AV10:AX10,IF(AND($B$2&gt;6,$B$2&lt;10),$B$2-6,0)))</f>
        <v>1632.2584999999992</v>
      </c>
      <c r="BE10" s="110">
        <f>SUM(AY10:INDEX(AY10:BA10,IF($B$2&gt;9,$B$2-9,0)))</f>
        <v>0</v>
      </c>
      <c r="BF10" s="110">
        <f>SUM($AP10:INDEX(AP10:BA10,$B$2))</f>
        <v>12432.726999999999</v>
      </c>
      <c r="BG10" s="125">
        <f t="shared" si="13"/>
        <v>1.6897790619398074</v>
      </c>
      <c r="BH10" s="111">
        <f t="shared" si="2"/>
        <v>2.1679276450193203</v>
      </c>
      <c r="BI10" s="111">
        <f t="shared" si="2"/>
        <v>1.0131702497507169</v>
      </c>
      <c r="BJ10" s="111">
        <f t="shared" si="2"/>
        <v>4.5015704460638766</v>
      </c>
      <c r="BK10" s="111">
        <f t="shared" si="2"/>
        <v>1.4206802921379558</v>
      </c>
      <c r="BL10" s="111">
        <f t="shared" si="2"/>
        <v>1.2558731949381194</v>
      </c>
      <c r="BM10" s="111">
        <f t="shared" si="2"/>
        <v>1.9965243715980665</v>
      </c>
      <c r="BN10" s="111">
        <f t="shared" si="2"/>
        <v>0</v>
      </c>
      <c r="BO10" s="111">
        <f t="shared" si="2"/>
        <v>0</v>
      </c>
      <c r="BP10" s="111">
        <f t="shared" si="2"/>
        <v>0</v>
      </c>
      <c r="BQ10" s="111">
        <f t="shared" si="2"/>
        <v>0</v>
      </c>
      <c r="BR10" s="111">
        <f t="shared" si="2"/>
        <v>0</v>
      </c>
      <c r="BS10" s="111">
        <f>BB10/SUM(O10:INDEX(O10:Q10,IF($B$2&lt;3,$B$2,3)))</f>
        <v>1.4614509034214649</v>
      </c>
      <c r="BT10" s="111">
        <f>BC10/SUM(R10:INDEX(R10:T10,IF($B$2&lt;7,$B$2-3,3)))</f>
        <v>1.7165446157236812</v>
      </c>
      <c r="BU10" s="111">
        <f t="shared" si="3"/>
        <v>0.30689958762198466</v>
      </c>
      <c r="BV10" s="111">
        <f t="shared" si="3"/>
        <v>0</v>
      </c>
      <c r="BW10" s="111">
        <f t="shared" si="14"/>
        <v>1.6325810881950618</v>
      </c>
    </row>
    <row r="11" spans="1:75" x14ac:dyDescent="0.25">
      <c r="A11" s="20" t="str">
        <f t="shared" si="4"/>
        <v>APE_by_rookie_mdrt:SA</v>
      </c>
      <c r="B11" s="135" t="s">
        <v>136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U11" s="6"/>
      <c r="V11" s="6"/>
      <c r="X11" s="6"/>
      <c r="Y11" s="6"/>
      <c r="Z11" s="6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31"/>
      <c r="AL11" s="31"/>
      <c r="AM11" s="31"/>
      <c r="AN11" s="31"/>
      <c r="AO11" s="31"/>
      <c r="AP11" s="22"/>
      <c r="AQ11" s="22">
        <f>[17]APE!J34</f>
        <v>1074.5830000000001</v>
      </c>
      <c r="AR11" s="22">
        <f>[18]APE!J34</f>
        <v>800.98</v>
      </c>
      <c r="AS11" s="22">
        <f>[19]APE!J35</f>
        <v>2179.6849999999999</v>
      </c>
      <c r="AT11" s="22">
        <f>[20]APE!J35</f>
        <v>894.63</v>
      </c>
      <c r="AU11" s="22">
        <f>[21]APE!J35</f>
        <v>654.79999999999995</v>
      </c>
      <c r="AV11" s="22">
        <f>[22]APE!J35</f>
        <v>752.52999999999975</v>
      </c>
      <c r="AW11" s="18"/>
      <c r="AX11" s="18"/>
      <c r="AY11" s="18"/>
      <c r="AZ11" s="18"/>
      <c r="BA11" s="18"/>
      <c r="BB11" s="110">
        <f>SUM(AP11:INDEX(AP11:AR11,IF($B$2&lt;3,$B$2,3)))</f>
        <v>1875.5630000000001</v>
      </c>
      <c r="BC11" s="110">
        <f>SUM(AS11:INDEX(AS11:AU11,IF(AND($B$2&gt;3,$B$2&lt;7),$B$2-3,0)))</f>
        <v>3729.1149999999998</v>
      </c>
      <c r="BD11" s="110">
        <f>SUM(AV11:INDEX(AV11:AX11,IF(AND($B$2&gt;6,$B$2&lt;10),$B$2-6,0)))</f>
        <v>752.52999999999975</v>
      </c>
      <c r="BE11" s="110"/>
      <c r="BF11" s="110">
        <f>SUM($AP11:INDEX(AP11:BA11,$B$2))</f>
        <v>6357.2079999999996</v>
      </c>
      <c r="BG11" s="125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</row>
    <row r="12" spans="1:75" s="19" customFormat="1" x14ac:dyDescent="0.25">
      <c r="A12" s="20" t="str">
        <f t="shared" si="4"/>
        <v>APE_by_rookie_mdrt:Total</v>
      </c>
      <c r="B12" s="1" t="s">
        <v>186</v>
      </c>
      <c r="C12" s="15">
        <f>SUM(C4:C10)</f>
        <v>5188.1790000000001</v>
      </c>
      <c r="D12" s="15">
        <f t="shared" ref="D12:AA12" si="15">SUM(D4:D10)</f>
        <v>4095.5790000000006</v>
      </c>
      <c r="E12" s="15">
        <f t="shared" si="15"/>
        <v>8135.942</v>
      </c>
      <c r="F12" s="15">
        <f t="shared" si="15"/>
        <v>9821.2939999999999</v>
      </c>
      <c r="G12" s="15">
        <f t="shared" si="15"/>
        <v>7228.6789999999992</v>
      </c>
      <c r="H12" s="15">
        <f t="shared" si="15"/>
        <v>8453.3410000000003</v>
      </c>
      <c r="I12" s="15">
        <f t="shared" si="15"/>
        <v>12617.350999999999</v>
      </c>
      <c r="J12" s="15">
        <f t="shared" si="15"/>
        <v>6747.9770000000008</v>
      </c>
      <c r="K12" s="15">
        <f t="shared" si="15"/>
        <v>16918.547000000002</v>
      </c>
      <c r="L12" s="15">
        <f t="shared" si="15"/>
        <v>11923.806</v>
      </c>
      <c r="M12" s="15">
        <f t="shared" si="15"/>
        <v>21127.814000000031</v>
      </c>
      <c r="N12" s="15">
        <f t="shared" si="15"/>
        <v>24056.915000000023</v>
      </c>
      <c r="O12" s="15">
        <f t="shared" si="15"/>
        <v>6775.7619999999988</v>
      </c>
      <c r="P12" s="15">
        <f t="shared" si="15"/>
        <v>6973.8779999999997</v>
      </c>
      <c r="Q12" s="15">
        <f t="shared" si="15"/>
        <v>16357.163</v>
      </c>
      <c r="R12" s="15">
        <f t="shared" si="15"/>
        <v>12555.556000000011</v>
      </c>
      <c r="S12" s="15">
        <f t="shared" si="15"/>
        <v>14479.803</v>
      </c>
      <c r="T12" s="15">
        <f t="shared" si="15"/>
        <v>24697.560000000067</v>
      </c>
      <c r="U12" s="15">
        <f t="shared" si="15"/>
        <v>15842.500000000011</v>
      </c>
      <c r="V12" s="15">
        <f t="shared" si="15"/>
        <v>17803.536000000029</v>
      </c>
      <c r="W12" s="15">
        <f t="shared" si="15"/>
        <v>28832.892000000073</v>
      </c>
      <c r="X12" s="15">
        <f t="shared" si="15"/>
        <v>21757.197000000018</v>
      </c>
      <c r="Y12" s="106">
        <f t="shared" si="15"/>
        <v>23393.263000000054</v>
      </c>
      <c r="Z12" s="15">
        <f t="shared" si="15"/>
        <v>51298.902000000213</v>
      </c>
      <c r="AA12" s="7">
        <f t="shared" si="15"/>
        <v>97682.222000000082</v>
      </c>
      <c r="AB12" s="7">
        <f t="shared" ref="AB12:AE12" si="16">SUM(AB4:AB10)</f>
        <v>30106.803</v>
      </c>
      <c r="AC12" s="7">
        <f t="shared" si="16"/>
        <v>51732.919000000089</v>
      </c>
      <c r="AD12" s="7">
        <f t="shared" si="16"/>
        <v>62478.928000000116</v>
      </c>
      <c r="AE12" s="7">
        <f t="shared" si="16"/>
        <v>96449.362000000285</v>
      </c>
      <c r="AF12" s="7">
        <f>SUM(AF4:AF10)</f>
        <v>55540.364999999998</v>
      </c>
      <c r="AG12" s="7">
        <f t="shared" ref="AG12:AJ12" si="17">SUM(AG4:AG10)</f>
        <v>17419.7</v>
      </c>
      <c r="AH12" s="7">
        <f t="shared" si="17"/>
        <v>25503.313999999998</v>
      </c>
      <c r="AI12" s="7">
        <f t="shared" si="0"/>
        <v>36283.875</v>
      </c>
      <c r="AJ12" s="7">
        <f t="shared" si="17"/>
        <v>57108.535000000054</v>
      </c>
      <c r="AK12" s="31">
        <f t="shared" si="12"/>
        <v>0.75876089399124558</v>
      </c>
      <c r="AL12" s="31">
        <f t="shared" si="1"/>
        <v>0.72831925922949292</v>
      </c>
      <c r="AM12" s="31">
        <f t="shared" si="1"/>
        <v>1.0284782989379377</v>
      </c>
      <c r="AN12" s="31">
        <f>SUM(U12:W12)/SUM(I12:INDEX(I12:K12,MOD($B$2,3)))-1</f>
        <v>3.9518261004231485</v>
      </c>
      <c r="AO12" s="31">
        <f>AE12/SUM(L12:INDEX(L12:N12,MOD($B$2,3)))-1</f>
        <v>7.0888067115483331</v>
      </c>
      <c r="AP12" s="7">
        <f t="shared" ref="AP12" si="18">SUM(AP4:AP10)</f>
        <v>12860.545999999998</v>
      </c>
      <c r="AQ12" s="7">
        <f t="shared" ref="AQ12:AV12" si="19">SUM(AQ4:AQ11)</f>
        <v>19993.790000000019</v>
      </c>
      <c r="AR12" s="7">
        <f t="shared" si="19"/>
        <v>29783.820000000003</v>
      </c>
      <c r="AS12" s="7">
        <f t="shared" si="19"/>
        <v>26742.584000000021</v>
      </c>
      <c r="AT12" s="7">
        <f t="shared" si="19"/>
        <v>21954.45</v>
      </c>
      <c r="AU12" s="7">
        <f t="shared" si="19"/>
        <v>27361.119999999999</v>
      </c>
      <c r="AV12" s="7">
        <f t="shared" si="19"/>
        <v>22251.200000000063</v>
      </c>
      <c r="AW12" s="17"/>
      <c r="AX12" s="17"/>
      <c r="AY12" s="17"/>
      <c r="AZ12" s="17"/>
      <c r="BA12" s="17"/>
      <c r="BB12" s="116">
        <f>SUM(AP12:INDEX(AP12:AR12,IF($B$2&lt;3,$B$2,3)))</f>
        <v>62638.156000000017</v>
      </c>
      <c r="BC12" s="116">
        <f>SUM(AS12:INDEX(AS12:AU12,IF(AND($B$2&gt;3,$B$2&lt;7),$B$2-3,0)))</f>
        <v>76058.154000000024</v>
      </c>
      <c r="BD12" s="116">
        <f>SUM(AV12:INDEX(AV12:AX12,IF(AND($B$2&gt;6,$B$2&lt;10),$B$2-6,0)))</f>
        <v>22251.200000000063</v>
      </c>
      <c r="BE12" s="116">
        <f>SUM(AY12:INDEX(AY12:BA12,IF($B$2&gt;9,$B$2-9,0)))</f>
        <v>0</v>
      </c>
      <c r="BF12" s="116">
        <f>SUM($AP12:INDEX(AP12:BA12,$B$2))</f>
        <v>160947.5100000001</v>
      </c>
      <c r="BG12" s="126">
        <f t="shared" si="13"/>
        <v>1.8980220969980941</v>
      </c>
      <c r="BH12" s="111">
        <f t="shared" si="2"/>
        <v>2.8669543688604846</v>
      </c>
      <c r="BI12" s="111">
        <f t="shared" si="2"/>
        <v>1.820842648569315</v>
      </c>
      <c r="BJ12" s="111">
        <f t="shared" si="2"/>
        <v>2.1299402431879555</v>
      </c>
      <c r="BK12" s="111">
        <f t="shared" si="2"/>
        <v>1.5162119263639153</v>
      </c>
      <c r="BL12" s="111">
        <f t="shared" si="2"/>
        <v>1.1078470909676876</v>
      </c>
      <c r="BM12" s="111">
        <f t="shared" si="2"/>
        <v>1.4045258008521413</v>
      </c>
      <c r="BN12" s="111">
        <f t="shared" si="2"/>
        <v>0</v>
      </c>
      <c r="BO12" s="111">
        <f t="shared" si="2"/>
        <v>0</v>
      </c>
      <c r="BP12" s="111">
        <f t="shared" si="2"/>
        <v>0</v>
      </c>
      <c r="BQ12" s="111">
        <f t="shared" si="2"/>
        <v>0</v>
      </c>
      <c r="BR12" s="111">
        <f t="shared" si="2"/>
        <v>0</v>
      </c>
      <c r="BS12" s="111">
        <f>BB12/SUM(O12:INDEX(O12:Q12,IF($B$2&lt;3,$B$2,3)))</f>
        <v>2.0805316326678729</v>
      </c>
      <c r="BT12" s="111">
        <f>BC12/SUM(R12:INDEX(R12:T12,IF($B$2&lt;7,$B$2-3,3)))</f>
        <v>1.4702080506997857</v>
      </c>
      <c r="BU12" s="111">
        <f t="shared" si="3"/>
        <v>0.35613927306819382</v>
      </c>
      <c r="BV12" s="111">
        <f t="shared" si="3"/>
        <v>0</v>
      </c>
      <c r="BW12" s="111">
        <f t="shared" si="14"/>
        <v>1.6476643006748961</v>
      </c>
    </row>
    <row r="13" spans="1:75" x14ac:dyDescent="0.25">
      <c r="A13" s="20" t="str">
        <f t="shared" si="4"/>
        <v>APE_by_rookie_mdrt:SP 100%</v>
      </c>
      <c r="B13" t="s">
        <v>63</v>
      </c>
      <c r="C13" s="6">
        <v>0</v>
      </c>
      <c r="D13" s="6">
        <v>0</v>
      </c>
      <c r="E13" s="6">
        <v>100.027</v>
      </c>
      <c r="F13" s="6">
        <v>-100.027</v>
      </c>
      <c r="G13" s="6">
        <v>0</v>
      </c>
      <c r="H13" s="6">
        <v>2375.877</v>
      </c>
      <c r="I13" s="6">
        <v>2075.558</v>
      </c>
      <c r="J13" s="6">
        <v>791.35399999999993</v>
      </c>
      <c r="K13" s="6">
        <v>5012.6900000000005</v>
      </c>
      <c r="L13" s="6">
        <v>1468.0070000000001</v>
      </c>
      <c r="M13" s="6">
        <v>1110</v>
      </c>
      <c r="N13" s="6">
        <v>590.54999999999995</v>
      </c>
      <c r="O13" s="6">
        <f>[23]SP!X8</f>
        <v>5389.3</v>
      </c>
      <c r="P13" s="6">
        <f>[23]SP!Y8</f>
        <v>722.77800000000002</v>
      </c>
      <c r="Q13" s="6">
        <f>[23]SP!Z8</f>
        <v>590</v>
      </c>
      <c r="R13" s="6">
        <f>[23]SP!AA8</f>
        <v>180</v>
      </c>
      <c r="S13" s="6">
        <f>[23]SP!AB8</f>
        <v>7635.21</v>
      </c>
      <c r="T13" s="6">
        <f>[23]SP!AC8</f>
        <v>3390.1489999999999</v>
      </c>
      <c r="U13" s="6">
        <f>[23]SP!AD8</f>
        <v>4398.2489999999998</v>
      </c>
      <c r="V13" s="6">
        <f>[23]SP!AE8</f>
        <v>4082.2380000000003</v>
      </c>
      <c r="W13" s="6">
        <f>[23]SP!AF8</f>
        <v>2134.3669999999997</v>
      </c>
      <c r="X13" s="6">
        <f>SUM([14]APE!$N$27:$N$33)</f>
        <v>3945.3959999999997</v>
      </c>
      <c r="Y13" s="6">
        <f>SUM([24]APE!$N$27:$N$33)</f>
        <v>13069.395999999999</v>
      </c>
      <c r="Z13" s="6">
        <f>SUM([15]APE!$N$27:$N$33)</f>
        <v>4614.4746999999998</v>
      </c>
      <c r="AA13" s="22">
        <f>SUM(O13:INDEX(O13:Z13,$B$2))</f>
        <v>22305.686000000002</v>
      </c>
      <c r="AB13" s="22">
        <f t="shared" ref="AB13" si="20">SUM(O13:Q13)</f>
        <v>6702.0780000000004</v>
      </c>
      <c r="AC13" s="22">
        <f t="shared" ref="AC13" si="21">SUM(R13:T13)</f>
        <v>11205.359</v>
      </c>
      <c r="AD13" s="22">
        <f t="shared" ref="AD13" si="22">SUM(U13:W13)</f>
        <v>10614.854000000001</v>
      </c>
      <c r="AE13" s="22">
        <f t="shared" ref="AE13" si="23">SUM(X13:Z13)</f>
        <v>21629.266699999996</v>
      </c>
      <c r="AF13" s="22">
        <f>SUM(C13                                                                                : INDEX(C13:N13,$B$2))</f>
        <v>4451.4349999999995</v>
      </c>
      <c r="AG13" s="22">
        <f t="shared" ref="AG13" si="24">SUM(C13:E13)</f>
        <v>100.027</v>
      </c>
      <c r="AH13" s="22">
        <f t="shared" ref="AH13" si="25">SUM(F13:H13)</f>
        <v>2275.85</v>
      </c>
      <c r="AI13" s="22">
        <f t="shared" si="0"/>
        <v>7879.6020000000008</v>
      </c>
      <c r="AJ13" s="22">
        <f t="shared" ref="AJ13" si="26">SUM(L13:N13)</f>
        <v>3168.5569999999998</v>
      </c>
      <c r="AK13" s="31">
        <f>IFERROR(AA13/AF13-1,0)</f>
        <v>4.0108978340692394</v>
      </c>
      <c r="AL13" s="31">
        <f t="shared" ref="AL13" si="27">AB13/AG13-1</f>
        <v>66.002689273896053</v>
      </c>
      <c r="AM13" s="31">
        <f t="shared" ref="AM13" si="28">AC13/AH13-1</f>
        <v>3.9235929432959118</v>
      </c>
      <c r="AN13" s="31">
        <f>SUM(U13:W13)/SUM(I13:INDEX(I13:K13,MOD($B$2,3)))-1</f>
        <v>4.1142169961041803</v>
      </c>
      <c r="AO13" s="31">
        <f>AE13/SUM(L13:INDEX(L13:N13,MOD($B$2,3)))-1</f>
        <v>13.733762645545966</v>
      </c>
      <c r="AP13" s="69">
        <f>SUM([16]APE!$N$27:$N$33)</f>
        <v>5714.2383999999993</v>
      </c>
      <c r="AQ13" s="69">
        <f>SUM([17]APE!$N$27:$N$33)</f>
        <v>2633.4139999999998</v>
      </c>
      <c r="AR13" s="69">
        <f>SUM([18]APE!$N$27:$N$34)</f>
        <v>8294.57</v>
      </c>
      <c r="AS13" s="69">
        <f>SUM([19]APE!$N$28:$N$35)</f>
        <v>1779.5429999999999</v>
      </c>
      <c r="AT13" s="69">
        <f>SUM([20]APE!$N$28:$N$35)</f>
        <v>10025.269999999999</v>
      </c>
      <c r="AU13" s="69">
        <f>SUM([21]APE!$N$28:$N$35)</f>
        <v>8392.49</v>
      </c>
      <c r="AV13" s="69">
        <f>SUM([22]APE!$N$28:$N$35)</f>
        <v>2138.5189999999998</v>
      </c>
      <c r="AW13" s="18"/>
      <c r="AX13" s="18"/>
      <c r="AY13" s="18"/>
      <c r="AZ13" s="18"/>
      <c r="BA13" s="18"/>
      <c r="BB13" s="116">
        <f>SUM(AP13:INDEX(AP13:AR13,IF($B$2&lt;3,$B$2,3)))</f>
        <v>16642.222399999999</v>
      </c>
      <c r="BC13" s="116">
        <f>SUM(AS13:INDEX(AS13:AU13,IF(AND($B$2&gt;3,$B$2&lt;7),$B$2-3,0)))</f>
        <v>20197.303</v>
      </c>
      <c r="BD13" s="116">
        <f>SUM(AV13:INDEX(AV13:AX13,IF(AND($B$2&gt;6,$B$2&lt;10),$B$2-6,0)))</f>
        <v>2138.5189999999998</v>
      </c>
      <c r="BE13" s="116">
        <f>SUM(AY13:INDEX(AY13:BA13,IF($B$2&gt;9,$B$2-9,0)))</f>
        <v>0</v>
      </c>
      <c r="BF13" s="116">
        <f>SUM($AP13:INDEX(AP13:BA13,$B$2))</f>
        <v>38978.044399999999</v>
      </c>
      <c r="BG13" s="125">
        <f t="shared" si="13"/>
        <v>1.0602932477316163</v>
      </c>
      <c r="BH13" s="111">
        <f t="shared" si="2"/>
        <v>3.6434617545082997</v>
      </c>
      <c r="BI13" s="111">
        <f t="shared" si="2"/>
        <v>14.058593220338983</v>
      </c>
      <c r="BJ13" s="111">
        <f t="shared" si="2"/>
        <v>9.8863500000000002</v>
      </c>
      <c r="BK13" s="111">
        <f t="shared" si="2"/>
        <v>1.313031337710423</v>
      </c>
      <c r="BL13" s="111">
        <f t="shared" si="2"/>
        <v>2.4755519595156437</v>
      </c>
      <c r="BM13" s="111">
        <f t="shared" si="2"/>
        <v>0.48622053912818486</v>
      </c>
      <c r="BN13" s="111">
        <f t="shared" si="2"/>
        <v>0</v>
      </c>
      <c r="BO13" s="111">
        <f t="shared" si="2"/>
        <v>0</v>
      </c>
      <c r="BP13" s="111">
        <f t="shared" si="2"/>
        <v>0</v>
      </c>
      <c r="BQ13" s="111">
        <f t="shared" si="2"/>
        <v>0</v>
      </c>
      <c r="BR13" s="111">
        <f t="shared" si="2"/>
        <v>0</v>
      </c>
      <c r="BS13" s="111">
        <f>BB13/SUM(O13:INDEX(O13:Q13,IF($B$2&lt;3,$B$2,3)))</f>
        <v>2.4831436458960932</v>
      </c>
      <c r="BT13" s="111">
        <f>BC13/SUM(R13:INDEX(R13:T13,IF($B$2&lt;7,$B$2-3,3)))</f>
        <v>1.8024681761646368</v>
      </c>
      <c r="BU13" s="111">
        <f t="shared" si="3"/>
        <v>0.20146475872395414</v>
      </c>
      <c r="BV13" s="111">
        <f t="shared" si="3"/>
        <v>0</v>
      </c>
      <c r="BW13" s="111">
        <f t="shared" si="14"/>
        <v>1.7474488074475718</v>
      </c>
    </row>
    <row r="14" spans="1:75" x14ac:dyDescent="0.25">
      <c r="A14" s="20" t="s">
        <v>226</v>
      </c>
      <c r="B14" t="s">
        <v>187</v>
      </c>
      <c r="C14" s="6">
        <f t="shared" ref="C14:AJ14" si="29">C12+C13*0.1</f>
        <v>5188.1790000000001</v>
      </c>
      <c r="D14" s="6">
        <f t="shared" si="29"/>
        <v>4095.5790000000006</v>
      </c>
      <c r="E14" s="6">
        <f t="shared" si="29"/>
        <v>8145.9447</v>
      </c>
      <c r="F14" s="6">
        <f t="shared" si="29"/>
        <v>9811.2913000000008</v>
      </c>
      <c r="G14" s="6">
        <f t="shared" si="29"/>
        <v>7228.6789999999992</v>
      </c>
      <c r="H14" s="6">
        <f t="shared" si="29"/>
        <v>8690.9287000000004</v>
      </c>
      <c r="I14" s="6">
        <f t="shared" si="29"/>
        <v>12824.906799999999</v>
      </c>
      <c r="J14" s="6">
        <f t="shared" si="29"/>
        <v>6827.1124000000009</v>
      </c>
      <c r="K14" s="6">
        <f t="shared" si="29"/>
        <v>17419.816000000003</v>
      </c>
      <c r="L14" s="6">
        <f t="shared" si="29"/>
        <v>12070.6067</v>
      </c>
      <c r="M14" s="6">
        <f t="shared" si="29"/>
        <v>21238.814000000031</v>
      </c>
      <c r="N14" s="6">
        <f t="shared" si="29"/>
        <v>24115.970000000023</v>
      </c>
      <c r="O14" s="6">
        <f t="shared" si="29"/>
        <v>7314.6919999999991</v>
      </c>
      <c r="P14" s="6">
        <f t="shared" si="29"/>
        <v>7046.1557999999995</v>
      </c>
      <c r="Q14" s="6">
        <f t="shared" si="29"/>
        <v>16416.163</v>
      </c>
      <c r="R14" s="6">
        <f t="shared" si="29"/>
        <v>12573.556000000011</v>
      </c>
      <c r="S14" s="6">
        <f t="shared" si="29"/>
        <v>15243.324000000001</v>
      </c>
      <c r="T14" s="6">
        <f t="shared" si="29"/>
        <v>25036.574900000065</v>
      </c>
      <c r="U14" s="6">
        <f t="shared" si="29"/>
        <v>16282.324900000011</v>
      </c>
      <c r="V14" s="6">
        <f t="shared" si="29"/>
        <v>18211.759800000029</v>
      </c>
      <c r="W14" s="6">
        <f t="shared" si="29"/>
        <v>29046.328700000071</v>
      </c>
      <c r="X14" s="6">
        <f t="shared" si="29"/>
        <v>22151.736600000018</v>
      </c>
      <c r="Y14" s="6">
        <f t="shared" si="29"/>
        <v>24700.202600000055</v>
      </c>
      <c r="Z14" s="6">
        <f t="shared" si="29"/>
        <v>51760.349470000212</v>
      </c>
      <c r="AA14" s="22">
        <f t="shared" si="29"/>
        <v>99912.79060000008</v>
      </c>
      <c r="AB14" s="22">
        <f t="shared" si="29"/>
        <v>30777.0108</v>
      </c>
      <c r="AC14" s="22">
        <f t="shared" si="29"/>
        <v>52853.454900000092</v>
      </c>
      <c r="AD14" s="22">
        <f t="shared" si="29"/>
        <v>63540.413400000114</v>
      </c>
      <c r="AE14" s="22">
        <f t="shared" si="29"/>
        <v>98612.288670000285</v>
      </c>
      <c r="AF14" s="22">
        <f t="shared" si="29"/>
        <v>55985.508499999996</v>
      </c>
      <c r="AG14" s="22">
        <f t="shared" si="29"/>
        <v>17429.702700000002</v>
      </c>
      <c r="AH14" s="22">
        <f t="shared" si="29"/>
        <v>25730.898999999998</v>
      </c>
      <c r="AI14" s="22">
        <f t="shared" si="0"/>
        <v>37071.835200000001</v>
      </c>
      <c r="AJ14" s="22">
        <f t="shared" si="29"/>
        <v>57425.390700000054</v>
      </c>
      <c r="AK14" s="18"/>
      <c r="AL14" s="18"/>
      <c r="AM14" s="18"/>
      <c r="AN14" s="18"/>
      <c r="AO14" s="18"/>
      <c r="AP14" s="6">
        <f t="shared" ref="AP14:AR14" si="30">AP12+AP13*0.1</f>
        <v>13431.969839999998</v>
      </c>
      <c r="AQ14" s="6">
        <f t="shared" si="30"/>
        <v>20257.13140000002</v>
      </c>
      <c r="AR14" s="6">
        <f t="shared" si="30"/>
        <v>30613.277000000002</v>
      </c>
      <c r="AS14" s="6">
        <f t="shared" ref="AS14:AT14" si="31">AS12+AS13*0.1</f>
        <v>26920.538300000022</v>
      </c>
      <c r="AT14" s="6">
        <f t="shared" si="31"/>
        <v>22956.976999999999</v>
      </c>
      <c r="AU14" s="6">
        <f t="shared" ref="AU14:AV14" si="32">AU12+AU13*0.1</f>
        <v>28200.368999999999</v>
      </c>
      <c r="AV14" s="6">
        <f t="shared" si="32"/>
        <v>22465.051900000064</v>
      </c>
      <c r="AW14" s="18"/>
      <c r="AX14" s="18"/>
      <c r="AY14" s="18"/>
      <c r="AZ14" s="18"/>
      <c r="BA14" s="18"/>
      <c r="BB14" s="117">
        <f t="shared" ref="BB14:BF14" si="33">BB12+BB13*0.1</f>
        <v>64302.37824000002</v>
      </c>
      <c r="BC14" s="117">
        <f t="shared" si="33"/>
        <v>78077.88430000002</v>
      </c>
      <c r="BD14" s="117">
        <f>BD12+BD13*0.1</f>
        <v>22465.051900000064</v>
      </c>
      <c r="BE14" s="117">
        <f t="shared" si="33"/>
        <v>0</v>
      </c>
      <c r="BF14" s="117">
        <f t="shared" si="33"/>
        <v>164845.3144400001</v>
      </c>
      <c r="BG14" s="125">
        <f t="shared" si="13"/>
        <v>1.836300125828948</v>
      </c>
      <c r="BH14" s="111">
        <f t="shared" si="13"/>
        <v>2.8749195980026472</v>
      </c>
      <c r="BI14" s="111">
        <f t="shared" si="2"/>
        <v>1.8648253553525267</v>
      </c>
      <c r="BJ14" s="111">
        <f t="shared" si="2"/>
        <v>2.1410441326224654</v>
      </c>
      <c r="BK14" s="111">
        <f t="shared" si="2"/>
        <v>1.5060348385955713</v>
      </c>
      <c r="BL14" s="111">
        <f t="shared" si="2"/>
        <v>1.1263668897457666</v>
      </c>
      <c r="BM14" s="111">
        <f t="shared" si="2"/>
        <v>1.3797201590050601</v>
      </c>
      <c r="BN14" s="18"/>
      <c r="BO14" s="18"/>
      <c r="BP14" s="18"/>
      <c r="BQ14" s="18"/>
      <c r="BR14" s="18"/>
      <c r="BS14" s="111">
        <f>BB14/SUM(O14:INDEX(O14:Q14,IF($B$2&lt;3,$B$2,3)))</f>
        <v>2.0892990114556551</v>
      </c>
      <c r="BT14" s="111">
        <f>BC14/SUM(R14:INDEX(R14:T14,IF($B$2&lt;7,$B$2-3,3)))</f>
        <v>1.4772522335148219</v>
      </c>
      <c r="BU14" s="111">
        <f>BD14/AD14</f>
        <v>0.35355533113355575</v>
      </c>
      <c r="BV14" s="18"/>
      <c r="BW14" s="111">
        <f>BF14/AA14</f>
        <v>1.649892005318486</v>
      </c>
    </row>
    <row r="15" spans="1:75" x14ac:dyDescent="0.25">
      <c r="A15" s="20" t="s">
        <v>225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18"/>
      <c r="AL15" s="18"/>
      <c r="AM15" s="18"/>
      <c r="AN15" s="18"/>
      <c r="AO15" s="18"/>
      <c r="AP15" s="6">
        <f t="shared" ref="AP15:AT15" si="34">AP14-AP11</f>
        <v>13431.969839999998</v>
      </c>
      <c r="AQ15" s="6">
        <f t="shared" si="34"/>
        <v>19182.548400000022</v>
      </c>
      <c r="AR15" s="6">
        <f t="shared" si="34"/>
        <v>29812.297000000002</v>
      </c>
      <c r="AS15" s="6">
        <f t="shared" si="34"/>
        <v>24740.853300000021</v>
      </c>
      <c r="AT15" s="6">
        <f t="shared" si="34"/>
        <v>22062.346999999998</v>
      </c>
      <c r="AU15" s="6">
        <f>AU14-AU11</f>
        <v>27545.569</v>
      </c>
      <c r="AV15" s="6">
        <f>AV14-AV11</f>
        <v>21712.521900000065</v>
      </c>
      <c r="AW15" s="18"/>
      <c r="AX15" s="18"/>
      <c r="AY15" s="18"/>
      <c r="AZ15" s="18"/>
      <c r="BA15" s="18"/>
      <c r="BB15" s="117"/>
      <c r="BC15" s="117"/>
      <c r="BD15" s="117"/>
      <c r="BE15" s="117"/>
      <c r="BF15" s="117"/>
      <c r="BG15" s="125"/>
      <c r="BH15" s="111"/>
      <c r="BI15" s="111"/>
      <c r="BJ15" s="111"/>
      <c r="BK15" s="111"/>
      <c r="BL15" s="111"/>
      <c r="BM15" s="111"/>
      <c r="BN15" s="18"/>
      <c r="BO15" s="18"/>
      <c r="BP15" s="18"/>
      <c r="BQ15" s="18"/>
      <c r="BR15" s="18"/>
      <c r="BS15" s="111"/>
      <c r="BT15" s="111"/>
      <c r="BU15" s="111"/>
      <c r="BV15" s="18"/>
      <c r="BW15" s="111"/>
    </row>
    <row r="16" spans="1:75" x14ac:dyDescent="0.25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18"/>
      <c r="AL16" s="18"/>
      <c r="AM16" s="18"/>
      <c r="AN16" s="18"/>
      <c r="AO16" s="18"/>
      <c r="AP16" s="6"/>
      <c r="AQ16" s="6"/>
      <c r="AR16" s="6"/>
      <c r="AS16" s="6"/>
      <c r="AT16" s="6"/>
      <c r="AU16" s="6"/>
      <c r="AV16" s="6"/>
      <c r="AW16" s="18"/>
      <c r="AX16" s="18"/>
      <c r="AY16" s="18"/>
      <c r="AZ16" s="18"/>
      <c r="BA16" s="18"/>
      <c r="BB16" s="117"/>
      <c r="BC16" s="117"/>
      <c r="BD16" s="117"/>
      <c r="BE16" s="117"/>
      <c r="BF16" s="117"/>
      <c r="BG16" s="125"/>
      <c r="BH16" s="111"/>
      <c r="BI16" s="111"/>
      <c r="BJ16" s="111"/>
      <c r="BK16" s="111"/>
      <c r="BL16" s="111"/>
      <c r="BM16" s="111"/>
      <c r="BN16" s="18"/>
      <c r="BO16" s="18"/>
      <c r="BP16" s="18"/>
      <c r="BQ16" s="18"/>
      <c r="BR16" s="18"/>
      <c r="BS16" s="111"/>
      <c r="BT16" s="111"/>
      <c r="BU16" s="111"/>
      <c r="BV16" s="18"/>
      <c r="BW16" s="111"/>
    </row>
    <row r="17" spans="1:75" s="19" customFormat="1" x14ac:dyDescent="0.25">
      <c r="A17" s="20"/>
      <c r="B17" s="2" t="s">
        <v>9</v>
      </c>
      <c r="C17" s="3">
        <v>42005</v>
      </c>
      <c r="D17" s="3">
        <v>42036</v>
      </c>
      <c r="E17" s="3">
        <v>42064</v>
      </c>
      <c r="F17" s="3">
        <v>42095</v>
      </c>
      <c r="G17" s="3">
        <v>42125</v>
      </c>
      <c r="H17" s="3">
        <v>42156</v>
      </c>
      <c r="I17" s="3">
        <v>42186</v>
      </c>
      <c r="J17" s="3">
        <v>42217</v>
      </c>
      <c r="K17" s="3">
        <v>42248</v>
      </c>
      <c r="L17" s="3">
        <v>42278</v>
      </c>
      <c r="M17" s="3">
        <v>42309</v>
      </c>
      <c r="N17" s="3">
        <v>42339</v>
      </c>
      <c r="O17" s="3">
        <v>42370</v>
      </c>
      <c r="P17" s="3">
        <v>42401</v>
      </c>
      <c r="Q17" s="3">
        <v>42430</v>
      </c>
      <c r="R17" s="3">
        <v>42461</v>
      </c>
      <c r="S17" s="3">
        <v>42491</v>
      </c>
      <c r="T17" s="3">
        <v>42522</v>
      </c>
      <c r="U17" s="3">
        <v>42552</v>
      </c>
      <c r="V17" s="3">
        <v>42583</v>
      </c>
      <c r="W17" s="3">
        <v>42614</v>
      </c>
      <c r="X17" s="3">
        <v>42644</v>
      </c>
      <c r="Y17" s="3">
        <v>42675</v>
      </c>
      <c r="Z17" s="3">
        <v>42705</v>
      </c>
      <c r="AA17" s="29" t="str">
        <f>AA3</f>
        <v>YTD 7/16</v>
      </c>
      <c r="AB17" s="29" t="s">
        <v>19</v>
      </c>
      <c r="AC17" s="29" t="s">
        <v>20</v>
      </c>
      <c r="AD17" s="29" t="s">
        <v>21</v>
      </c>
      <c r="AE17" s="29" t="s">
        <v>22</v>
      </c>
      <c r="AF17" s="26" t="str">
        <f t="shared" ref="AF17:AJ17" si="35">AF3</f>
        <v>YTD 7/15</v>
      </c>
      <c r="AG17" s="26" t="str">
        <f t="shared" si="35"/>
        <v>Q1 '15</v>
      </c>
      <c r="AH17" s="26" t="str">
        <f t="shared" si="35"/>
        <v>Q2 '15</v>
      </c>
      <c r="AI17" s="26" t="str">
        <f t="shared" si="35"/>
        <v>Q3 '15</v>
      </c>
      <c r="AJ17" s="26" t="str">
        <f t="shared" si="35"/>
        <v>Q4 '15</v>
      </c>
      <c r="AK17" s="30" t="s">
        <v>27</v>
      </c>
      <c r="AL17" s="30" t="s">
        <v>29</v>
      </c>
      <c r="AM17" s="30" t="s">
        <v>30</v>
      </c>
      <c r="AN17" s="30" t="s">
        <v>31</v>
      </c>
      <c r="AO17" s="30" t="s">
        <v>32</v>
      </c>
      <c r="AP17" s="108">
        <v>42736</v>
      </c>
      <c r="AQ17" s="108">
        <v>42767</v>
      </c>
      <c r="AR17" s="108">
        <v>42795</v>
      </c>
      <c r="AS17" s="108">
        <v>42826</v>
      </c>
      <c r="AT17" s="108">
        <v>42856</v>
      </c>
      <c r="AU17" s="108">
        <v>42887</v>
      </c>
      <c r="AV17" s="108">
        <v>42917</v>
      </c>
      <c r="AW17" s="108">
        <v>42948</v>
      </c>
      <c r="AX17" s="108">
        <v>42979</v>
      </c>
      <c r="AY17" s="108">
        <v>43009</v>
      </c>
      <c r="AZ17" s="108">
        <v>43040</v>
      </c>
      <c r="BA17" s="108">
        <v>43070</v>
      </c>
      <c r="BB17" s="29" t="s">
        <v>123</v>
      </c>
      <c r="BC17" s="29" t="s">
        <v>124</v>
      </c>
      <c r="BD17" s="29" t="s">
        <v>125</v>
      </c>
      <c r="BE17" s="29" t="s">
        <v>126</v>
      </c>
      <c r="BF17" s="29" t="str">
        <f>$BF$3</f>
        <v>YTD 7/17</v>
      </c>
      <c r="BG17" s="121">
        <v>42736</v>
      </c>
      <c r="BH17" s="108">
        <v>42767</v>
      </c>
      <c r="BI17" s="108">
        <v>42795</v>
      </c>
      <c r="BJ17" s="108">
        <v>42826</v>
      </c>
      <c r="BK17" s="108">
        <v>42856</v>
      </c>
      <c r="BL17" s="108">
        <v>42887</v>
      </c>
      <c r="BM17" s="108">
        <v>42917</v>
      </c>
      <c r="BN17" s="108">
        <v>42948</v>
      </c>
      <c r="BO17" s="108">
        <v>42979</v>
      </c>
      <c r="BP17" s="108">
        <v>43009</v>
      </c>
      <c r="BQ17" s="108">
        <v>43040</v>
      </c>
      <c r="BR17" s="108">
        <v>43070</v>
      </c>
      <c r="BS17" s="29" t="s">
        <v>127</v>
      </c>
      <c r="BT17" s="29" t="s">
        <v>128</v>
      </c>
      <c r="BU17" s="29" t="s">
        <v>96</v>
      </c>
      <c r="BV17" s="29" t="s">
        <v>129</v>
      </c>
      <c r="BW17" s="112" t="str">
        <f>BW2</f>
        <v>YoY</v>
      </c>
    </row>
    <row r="18" spans="1:75" x14ac:dyDescent="0.25">
      <c r="A18" s="20" t="str">
        <f>$B$17&amp;"_by_rookie_mdrt:"&amp;B18</f>
        <v># Manpower_by_rookie_mdrt:MDRT</v>
      </c>
      <c r="B18" t="s">
        <v>4</v>
      </c>
      <c r="C18" s="6">
        <v>18</v>
      </c>
      <c r="D18">
        <v>18</v>
      </c>
      <c r="E18">
        <v>20</v>
      </c>
      <c r="F18">
        <v>20</v>
      </c>
      <c r="G18">
        <v>19</v>
      </c>
      <c r="H18">
        <v>18</v>
      </c>
      <c r="I18">
        <v>23</v>
      </c>
      <c r="J18">
        <v>23</v>
      </c>
      <c r="K18">
        <v>24</v>
      </c>
      <c r="L18">
        <v>24</v>
      </c>
      <c r="M18">
        <v>23</v>
      </c>
      <c r="N18">
        <v>25</v>
      </c>
      <c r="O18">
        <v>37</v>
      </c>
      <c r="P18">
        <v>36</v>
      </c>
      <c r="Q18">
        <v>37</v>
      </c>
      <c r="R18">
        <v>36</v>
      </c>
      <c r="S18">
        <v>32</v>
      </c>
      <c r="T18">
        <v>30</v>
      </c>
      <c r="U18">
        <v>29</v>
      </c>
      <c r="V18">
        <v>26</v>
      </c>
      <c r="W18">
        <v>26</v>
      </c>
      <c r="X18">
        <f>[14]MP!AD6</f>
        <v>26</v>
      </c>
      <c r="Y18">
        <f>[24]MP!K33</f>
        <v>25</v>
      </c>
      <c r="Z18">
        <f>[15]MP!K33</f>
        <v>22</v>
      </c>
      <c r="AA18" s="22">
        <f>INDEX($O18:$Z18,$B$2)</f>
        <v>29</v>
      </c>
      <c r="AB18" s="22">
        <f t="shared" ref="AB18" si="36">Q18</f>
        <v>37</v>
      </c>
      <c r="AC18" s="22">
        <f t="shared" ref="AC18" si="37">T18</f>
        <v>30</v>
      </c>
      <c r="AD18" s="22">
        <f t="shared" ref="AD18" si="38">W18</f>
        <v>26</v>
      </c>
      <c r="AE18" s="22">
        <f>Y18</f>
        <v>25</v>
      </c>
      <c r="AF18" s="22">
        <f>INDEX($C18:$N18,$B$2)</f>
        <v>23</v>
      </c>
      <c r="AG18" s="22">
        <f t="shared" ref="AG18:AG26" si="39">E18</f>
        <v>20</v>
      </c>
      <c r="AH18" s="22">
        <f t="shared" ref="AH18:AH26" si="40">H18</f>
        <v>18</v>
      </c>
      <c r="AI18" s="22">
        <f t="shared" ref="AI18:AI26" si="41">K18</f>
        <v>24</v>
      </c>
      <c r="AJ18" s="22">
        <f t="shared" ref="AJ18:AJ26" si="42">N18</f>
        <v>25</v>
      </c>
      <c r="AK18" s="31">
        <f>AA18/AF18-1</f>
        <v>0.26086956521739135</v>
      </c>
      <c r="AL18" s="31">
        <f t="shared" ref="AL18:AN26" si="43">AB18/AG18-1</f>
        <v>0.85000000000000009</v>
      </c>
      <c r="AM18" s="31">
        <f t="shared" si="43"/>
        <v>0.66666666666666674</v>
      </c>
      <c r="AN18" s="31">
        <f t="shared" si="43"/>
        <v>8.3333333333333259E-2</v>
      </c>
      <c r="AO18" s="31">
        <f t="shared" ref="AO18:AO26" si="44">AE18/AJ18-1</f>
        <v>0</v>
      </c>
      <c r="AP18" s="22">
        <f>[16]MP!K33</f>
        <v>48</v>
      </c>
      <c r="AQ18" s="22">
        <f>[17]MP!K33</f>
        <v>48</v>
      </c>
      <c r="AR18" s="22">
        <f>[18]MP!K33</f>
        <v>48</v>
      </c>
      <c r="AS18" s="22">
        <f>[19]MP!K33</f>
        <v>47</v>
      </c>
      <c r="AT18" s="22">
        <f>[20]MP!K33</f>
        <v>46</v>
      </c>
      <c r="AU18" s="22">
        <f>[21]MP!K33</f>
        <v>47</v>
      </c>
      <c r="AV18" s="22">
        <f>[22]MP!K33</f>
        <v>46</v>
      </c>
      <c r="AW18" s="18"/>
      <c r="AX18" s="18"/>
      <c r="AY18" s="18"/>
      <c r="AZ18" s="18"/>
      <c r="BA18" s="18"/>
      <c r="BB18" s="22">
        <f>INDEX(AP18:AR18,IF($B$2&lt;3,$B$2,3))</f>
        <v>48</v>
      </c>
      <c r="BC18" s="22">
        <f>INDEX(AS18:AU18,IF($B$2&lt;7,$B$2-3,3))</f>
        <v>47</v>
      </c>
      <c r="BD18" s="22">
        <f>INDEX(AT18:AV18,IF($B$2&lt;7,$B$2-3,3))</f>
        <v>46</v>
      </c>
      <c r="BE18" s="18"/>
      <c r="BF18" s="22">
        <f>INDEX(AP18:BA18,$B$2)</f>
        <v>46</v>
      </c>
      <c r="BG18" s="122">
        <f>AP18/O18</f>
        <v>1.2972972972972974</v>
      </c>
      <c r="BH18" s="111">
        <f>AQ18/P18</f>
        <v>1.3333333333333333</v>
      </c>
      <c r="BI18" s="111">
        <f t="shared" ref="BI18:BM24" si="45">AR18/Q18</f>
        <v>1.2972972972972974</v>
      </c>
      <c r="BJ18" s="111">
        <f t="shared" si="45"/>
        <v>1.3055555555555556</v>
      </c>
      <c r="BK18" s="111">
        <f t="shared" si="45"/>
        <v>1.4375</v>
      </c>
      <c r="BL18" s="111">
        <f t="shared" si="45"/>
        <v>1.5666666666666667</v>
      </c>
      <c r="BM18" s="111">
        <f t="shared" si="45"/>
        <v>1.5862068965517242</v>
      </c>
      <c r="BN18" s="18"/>
      <c r="BO18" s="18"/>
      <c r="BP18" s="18"/>
      <c r="BQ18" s="18"/>
      <c r="BR18" s="18"/>
      <c r="BS18" s="111">
        <f>BB18/INDEX(O18:Q18,IF($B$2&lt;3,$B$2,3))</f>
        <v>1.2972972972972974</v>
      </c>
      <c r="BT18" s="111">
        <f>BC18/INDEX(R18:T18,IF($B$2&lt;7,$B$2-3,3))</f>
        <v>1.5666666666666667</v>
      </c>
      <c r="BU18" s="111">
        <f>BD18/INDEX(S18:U18,IF($B$2&lt;7,$B$2-3,3))</f>
        <v>1.5862068965517242</v>
      </c>
      <c r="BV18" s="18"/>
      <c r="BW18" s="111">
        <f t="shared" ref="BW18:BW26" si="46">BF18/AA18</f>
        <v>1.5862068965517242</v>
      </c>
    </row>
    <row r="19" spans="1:75" x14ac:dyDescent="0.25">
      <c r="A19" s="20" t="str">
        <f t="shared" ref="A19:A26" si="47">$B$17&amp;"_by_rookie_mdrt:"&amp;B19</f>
        <v># Manpower_by_rookie_mdrt:Rookie in month</v>
      </c>
      <c r="B19" t="s">
        <v>5</v>
      </c>
      <c r="C19" s="6">
        <v>219</v>
      </c>
      <c r="D19">
        <v>143</v>
      </c>
      <c r="E19">
        <v>228</v>
      </c>
      <c r="F19">
        <v>279</v>
      </c>
      <c r="G19">
        <v>249</v>
      </c>
      <c r="H19">
        <v>246</v>
      </c>
      <c r="I19">
        <v>269</v>
      </c>
      <c r="J19">
        <v>261</v>
      </c>
      <c r="K19">
        <v>350</v>
      </c>
      <c r="L19">
        <v>279</v>
      </c>
      <c r="M19">
        <v>494</v>
      </c>
      <c r="N19">
        <v>344</v>
      </c>
      <c r="O19">
        <v>134</v>
      </c>
      <c r="P19">
        <v>122</v>
      </c>
      <c r="Q19">
        <v>363</v>
      </c>
      <c r="R19">
        <v>339</v>
      </c>
      <c r="S19">
        <v>535</v>
      </c>
      <c r="T19">
        <v>985</v>
      </c>
      <c r="U19">
        <v>680</v>
      </c>
      <c r="V19">
        <v>814</v>
      </c>
      <c r="W19">
        <v>937</v>
      </c>
      <c r="X19">
        <f>[14]MP!AD7</f>
        <v>881</v>
      </c>
      <c r="Y19">
        <f>[24]MP!K34</f>
        <v>935</v>
      </c>
      <c r="Z19">
        <f>[15]MP!K34</f>
        <v>1116</v>
      </c>
      <c r="AA19" s="18">
        <f t="shared" ref="AA19:AA26" si="48">INDEX($O19:$Z19,$B$2)</f>
        <v>680</v>
      </c>
      <c r="AB19" s="22">
        <f>Q19</f>
        <v>363</v>
      </c>
      <c r="AC19" s="22">
        <f>T19</f>
        <v>985</v>
      </c>
      <c r="AD19" s="22">
        <f>W19</f>
        <v>937</v>
      </c>
      <c r="AE19" s="22">
        <f t="shared" ref="AE19:AE26" si="49">Y19</f>
        <v>935</v>
      </c>
      <c r="AF19" s="22">
        <f t="shared" ref="AF19:AF26" si="50">INDEX($C19:$N19,$B$2)</f>
        <v>269</v>
      </c>
      <c r="AG19" s="22">
        <f t="shared" si="39"/>
        <v>228</v>
      </c>
      <c r="AH19" s="22">
        <f t="shared" si="40"/>
        <v>246</v>
      </c>
      <c r="AI19" s="22">
        <f t="shared" si="41"/>
        <v>350</v>
      </c>
      <c r="AJ19" s="22">
        <f t="shared" si="42"/>
        <v>344</v>
      </c>
      <c r="AK19" s="31">
        <f t="shared" ref="AK19:AK26" si="51">AA19/AF19-1</f>
        <v>1.5278810408921935</v>
      </c>
      <c r="AL19" s="31">
        <f t="shared" si="43"/>
        <v>0.59210526315789469</v>
      </c>
      <c r="AM19" s="31">
        <f t="shared" si="43"/>
        <v>3.0040650406504064</v>
      </c>
      <c r="AN19" s="31">
        <f t="shared" si="43"/>
        <v>1.677142857142857</v>
      </c>
      <c r="AO19" s="31">
        <f t="shared" si="44"/>
        <v>1.7180232558139537</v>
      </c>
      <c r="AP19" s="22">
        <f>[16]MP!K34</f>
        <v>320</v>
      </c>
      <c r="AQ19" s="22">
        <f>[17]MP!K34</f>
        <v>666</v>
      </c>
      <c r="AR19" s="22">
        <f>[18]MP!K34</f>
        <v>855</v>
      </c>
      <c r="AS19" s="22">
        <f>[19]MP!K34</f>
        <v>650</v>
      </c>
      <c r="AT19" s="22">
        <f>[20]MP!K34</f>
        <v>587</v>
      </c>
      <c r="AU19" s="22">
        <f>[21]MP!K34</f>
        <v>1312</v>
      </c>
      <c r="AV19" s="22">
        <f>[22]MP!K34</f>
        <v>825</v>
      </c>
      <c r="AW19" s="18"/>
      <c r="AX19" s="18"/>
      <c r="AY19" s="18"/>
      <c r="AZ19" s="18"/>
      <c r="BA19" s="18"/>
      <c r="BB19" s="22">
        <f t="shared" ref="BB19:BB26" si="52">INDEX(AP19:AR19,IF($B$2&lt;3,$B$2,3))</f>
        <v>855</v>
      </c>
      <c r="BC19" s="22">
        <f t="shared" ref="BC19:BD25" si="53">INDEX(AS19:AU19,IF($B$2&lt;7,$B$2-3,3))</f>
        <v>1312</v>
      </c>
      <c r="BD19" s="22">
        <f t="shared" si="53"/>
        <v>825</v>
      </c>
      <c r="BE19" s="18"/>
      <c r="BF19" s="22">
        <f t="shared" ref="BF19:BF26" si="54">INDEX(AP19:BA19,$B$2)</f>
        <v>825</v>
      </c>
      <c r="BG19" s="122">
        <f t="shared" ref="BG19:BH26" si="55">AP19/O19</f>
        <v>2.3880597014925371</v>
      </c>
      <c r="BH19" s="111">
        <f t="shared" si="55"/>
        <v>5.4590163934426226</v>
      </c>
      <c r="BI19" s="111">
        <f t="shared" si="45"/>
        <v>2.3553719008264462</v>
      </c>
      <c r="BJ19" s="111">
        <f t="shared" si="45"/>
        <v>1.9174041297935103</v>
      </c>
      <c r="BK19" s="111">
        <f t="shared" si="45"/>
        <v>1.097196261682243</v>
      </c>
      <c r="BL19" s="111">
        <f t="shared" si="45"/>
        <v>1.331979695431472</v>
      </c>
      <c r="BM19" s="111">
        <f t="shared" si="45"/>
        <v>1.213235294117647</v>
      </c>
      <c r="BN19" s="18"/>
      <c r="BO19" s="18"/>
      <c r="BP19" s="18"/>
      <c r="BQ19" s="18"/>
      <c r="BR19" s="18"/>
      <c r="BS19" s="111">
        <f t="shared" ref="BS19:BS26" si="56">BB19/INDEX(O19:Q19,IF($B$2&lt;3,$B$2,3))</f>
        <v>2.3553719008264462</v>
      </c>
      <c r="BT19" s="111">
        <f t="shared" ref="BT19:BT26" si="57">BC19/INDEX(R19:T19,IF($B$2&lt;7,$B$2-3,3))</f>
        <v>1.331979695431472</v>
      </c>
      <c r="BU19" s="111">
        <f t="shared" ref="BU19:BU26" si="58">BD19/INDEX(S19:U19,IF($B$2&lt;7,$B$2-3,3))</f>
        <v>1.213235294117647</v>
      </c>
      <c r="BV19" s="18"/>
      <c r="BW19" s="111">
        <f t="shared" si="46"/>
        <v>1.213235294117647</v>
      </c>
    </row>
    <row r="20" spans="1:75" x14ac:dyDescent="0.25">
      <c r="A20" s="20" t="str">
        <f t="shared" si="47"/>
        <v># Manpower_by_rookie_mdrt:Rookie last month</v>
      </c>
      <c r="B20" t="s">
        <v>6</v>
      </c>
      <c r="C20" s="6">
        <v>170</v>
      </c>
      <c r="D20">
        <v>218</v>
      </c>
      <c r="E20">
        <v>140</v>
      </c>
      <c r="F20">
        <v>226</v>
      </c>
      <c r="G20">
        <v>266</v>
      </c>
      <c r="H20">
        <v>227</v>
      </c>
      <c r="I20">
        <v>234</v>
      </c>
      <c r="J20">
        <v>262</v>
      </c>
      <c r="K20">
        <v>257</v>
      </c>
      <c r="L20">
        <v>345</v>
      </c>
      <c r="M20">
        <v>271</v>
      </c>
      <c r="N20">
        <v>468</v>
      </c>
      <c r="O20">
        <v>344</v>
      </c>
      <c r="P20">
        <v>134</v>
      </c>
      <c r="Q20">
        <v>120</v>
      </c>
      <c r="R20">
        <v>357</v>
      </c>
      <c r="S20">
        <v>338</v>
      </c>
      <c r="T20">
        <v>524</v>
      </c>
      <c r="U20">
        <v>976</v>
      </c>
      <c r="V20">
        <v>669</v>
      </c>
      <c r="W20">
        <v>808</v>
      </c>
      <c r="X20">
        <f>[14]MP!AD8</f>
        <v>934</v>
      </c>
      <c r="Y20">
        <f>[24]MP!K35</f>
        <v>873</v>
      </c>
      <c r="Z20">
        <f>[15]MP!K35</f>
        <v>914</v>
      </c>
      <c r="AA20" s="18">
        <f t="shared" si="48"/>
        <v>976</v>
      </c>
      <c r="AB20" s="18">
        <f t="shared" ref="AB20:AB26" si="59">Q20</f>
        <v>120</v>
      </c>
      <c r="AC20" s="18">
        <f t="shared" ref="AC20:AC26" si="60">T20</f>
        <v>524</v>
      </c>
      <c r="AD20" s="18">
        <f t="shared" ref="AD20:AD26" si="61">W20</f>
        <v>808</v>
      </c>
      <c r="AE20" s="22">
        <f t="shared" si="49"/>
        <v>873</v>
      </c>
      <c r="AF20" s="22">
        <f t="shared" si="50"/>
        <v>234</v>
      </c>
      <c r="AG20" s="22">
        <f t="shared" si="39"/>
        <v>140</v>
      </c>
      <c r="AH20" s="22">
        <f t="shared" si="40"/>
        <v>227</v>
      </c>
      <c r="AI20" s="22">
        <f t="shared" si="41"/>
        <v>257</v>
      </c>
      <c r="AJ20" s="22">
        <f t="shared" si="42"/>
        <v>468</v>
      </c>
      <c r="AK20" s="31">
        <f t="shared" si="51"/>
        <v>3.1709401709401712</v>
      </c>
      <c r="AL20" s="31">
        <f t="shared" si="43"/>
        <v>-0.1428571428571429</v>
      </c>
      <c r="AM20" s="31">
        <f t="shared" si="43"/>
        <v>1.3083700440528636</v>
      </c>
      <c r="AN20" s="31">
        <f t="shared" si="43"/>
        <v>2.1439688715953307</v>
      </c>
      <c r="AO20" s="31">
        <f t="shared" si="44"/>
        <v>0.86538461538461542</v>
      </c>
      <c r="AP20" s="22">
        <f>[16]MP!K35</f>
        <v>1116</v>
      </c>
      <c r="AQ20" s="22">
        <f>[17]MP!K35</f>
        <v>319</v>
      </c>
      <c r="AR20" s="22">
        <f>[18]MP!K35</f>
        <v>661</v>
      </c>
      <c r="AS20" s="22">
        <f>[19]MP!K35</f>
        <v>850</v>
      </c>
      <c r="AT20" s="22">
        <f>[20]MP!K35</f>
        <v>650</v>
      </c>
      <c r="AU20" s="22">
        <f>[21]MP!K35</f>
        <v>563</v>
      </c>
      <c r="AV20" s="22">
        <f>[22]MP!K35</f>
        <v>1306</v>
      </c>
      <c r="AW20" s="18"/>
      <c r="AX20" s="18"/>
      <c r="AY20" s="18"/>
      <c r="AZ20" s="18"/>
      <c r="BA20" s="18"/>
      <c r="BB20" s="22">
        <f t="shared" si="52"/>
        <v>661</v>
      </c>
      <c r="BC20" s="22">
        <f t="shared" si="53"/>
        <v>563</v>
      </c>
      <c r="BD20" s="22">
        <f t="shared" si="53"/>
        <v>1306</v>
      </c>
      <c r="BE20" s="18"/>
      <c r="BF20" s="22">
        <f t="shared" si="54"/>
        <v>1306</v>
      </c>
      <c r="BG20" s="122">
        <f t="shared" si="55"/>
        <v>3.2441860465116279</v>
      </c>
      <c r="BH20" s="111">
        <f t="shared" si="55"/>
        <v>2.3805970149253732</v>
      </c>
      <c r="BI20" s="111">
        <f t="shared" si="45"/>
        <v>5.5083333333333337</v>
      </c>
      <c r="BJ20" s="111">
        <f t="shared" si="45"/>
        <v>2.3809523809523809</v>
      </c>
      <c r="BK20" s="111">
        <f t="shared" si="45"/>
        <v>1.9230769230769231</v>
      </c>
      <c r="BL20" s="111">
        <f t="shared" si="45"/>
        <v>1.0744274809160306</v>
      </c>
      <c r="BM20" s="111">
        <f t="shared" si="45"/>
        <v>1.3381147540983607</v>
      </c>
      <c r="BN20" s="18"/>
      <c r="BO20" s="18"/>
      <c r="BP20" s="18"/>
      <c r="BQ20" s="18"/>
      <c r="BR20" s="18"/>
      <c r="BS20" s="111">
        <f t="shared" si="56"/>
        <v>5.5083333333333337</v>
      </c>
      <c r="BT20" s="111">
        <f t="shared" si="57"/>
        <v>1.0744274809160306</v>
      </c>
      <c r="BU20" s="111">
        <f t="shared" si="58"/>
        <v>1.3381147540983607</v>
      </c>
      <c r="BV20" s="18"/>
      <c r="BW20" s="111">
        <f t="shared" si="46"/>
        <v>1.3381147540983607</v>
      </c>
    </row>
    <row r="21" spans="1:75" x14ac:dyDescent="0.25">
      <c r="A21" s="20" t="str">
        <f t="shared" si="47"/>
        <v># Manpower_by_rookie_mdrt:2-3 months</v>
      </c>
      <c r="B21" t="s">
        <v>7</v>
      </c>
      <c r="C21" s="6">
        <v>271</v>
      </c>
      <c r="D21">
        <v>340</v>
      </c>
      <c r="E21">
        <v>364</v>
      </c>
      <c r="F21">
        <v>343</v>
      </c>
      <c r="G21">
        <v>277</v>
      </c>
      <c r="H21">
        <v>372</v>
      </c>
      <c r="I21">
        <v>400</v>
      </c>
      <c r="J21">
        <v>397</v>
      </c>
      <c r="K21">
        <v>422</v>
      </c>
      <c r="L21">
        <v>451</v>
      </c>
      <c r="M21">
        <v>509</v>
      </c>
      <c r="N21">
        <v>488</v>
      </c>
      <c r="O21">
        <v>627</v>
      </c>
      <c r="P21">
        <v>711</v>
      </c>
      <c r="Q21">
        <v>415</v>
      </c>
      <c r="R21">
        <v>230</v>
      </c>
      <c r="S21">
        <v>428</v>
      </c>
      <c r="T21">
        <v>634</v>
      </c>
      <c r="U21">
        <v>821</v>
      </c>
      <c r="V21">
        <v>1403</v>
      </c>
      <c r="W21">
        <v>1507</v>
      </c>
      <c r="X21">
        <f>[14]MP!AD9</f>
        <v>1390</v>
      </c>
      <c r="Y21">
        <f>[24]MP!K36</f>
        <v>1640</v>
      </c>
      <c r="Z21">
        <f>[15]MP!K36</f>
        <v>1690</v>
      </c>
      <c r="AA21" s="18">
        <f t="shared" si="48"/>
        <v>821</v>
      </c>
      <c r="AB21" s="18">
        <f t="shared" si="59"/>
        <v>415</v>
      </c>
      <c r="AC21" s="18">
        <f t="shared" si="60"/>
        <v>634</v>
      </c>
      <c r="AD21" s="18">
        <f t="shared" si="61"/>
        <v>1507</v>
      </c>
      <c r="AE21" s="22">
        <f t="shared" si="49"/>
        <v>1640</v>
      </c>
      <c r="AF21" s="22">
        <f t="shared" si="50"/>
        <v>400</v>
      </c>
      <c r="AG21" s="22">
        <f t="shared" si="39"/>
        <v>364</v>
      </c>
      <c r="AH21" s="22">
        <f t="shared" si="40"/>
        <v>372</v>
      </c>
      <c r="AI21" s="22">
        <f t="shared" si="41"/>
        <v>422</v>
      </c>
      <c r="AJ21" s="22">
        <f t="shared" si="42"/>
        <v>488</v>
      </c>
      <c r="AK21" s="31">
        <f t="shared" si="51"/>
        <v>1.0525000000000002</v>
      </c>
      <c r="AL21" s="31">
        <f t="shared" si="43"/>
        <v>0.14010989010989006</v>
      </c>
      <c r="AM21" s="31">
        <f t="shared" si="43"/>
        <v>0.70430107526881724</v>
      </c>
      <c r="AN21" s="31">
        <f t="shared" si="43"/>
        <v>2.5710900473933651</v>
      </c>
      <c r="AO21" s="31">
        <f t="shared" si="44"/>
        <v>2.360655737704918</v>
      </c>
      <c r="AP21" s="22">
        <f>[16]MP!K36</f>
        <v>1727</v>
      </c>
      <c r="AQ21" s="22">
        <f>[17]MP!K36</f>
        <v>1989</v>
      </c>
      <c r="AR21" s="22">
        <f>[18]MP!K36</f>
        <v>1372</v>
      </c>
      <c r="AS21" s="22">
        <f>[19]MP!K36</f>
        <v>926</v>
      </c>
      <c r="AT21" s="22">
        <f>[20]MP!K36</f>
        <v>1491</v>
      </c>
      <c r="AU21" s="22">
        <f>[21]MP!K36</f>
        <v>1437</v>
      </c>
      <c r="AV21" s="22">
        <f>[22]MP!K36</f>
        <v>1143</v>
      </c>
      <c r="AW21" s="18"/>
      <c r="AX21" s="18"/>
      <c r="AY21" s="18"/>
      <c r="AZ21" s="18"/>
      <c r="BA21" s="18"/>
      <c r="BB21" s="22">
        <f t="shared" si="52"/>
        <v>1372</v>
      </c>
      <c r="BC21" s="22">
        <f t="shared" si="53"/>
        <v>1437</v>
      </c>
      <c r="BD21" s="22">
        <f t="shared" si="53"/>
        <v>1143</v>
      </c>
      <c r="BE21" s="18"/>
      <c r="BF21" s="22">
        <f t="shared" si="54"/>
        <v>1143</v>
      </c>
      <c r="BG21" s="122">
        <f t="shared" si="55"/>
        <v>2.7543859649122808</v>
      </c>
      <c r="BH21" s="111">
        <f t="shared" si="55"/>
        <v>2.7974683544303796</v>
      </c>
      <c r="BI21" s="111">
        <f t="shared" si="45"/>
        <v>3.3060240963855421</v>
      </c>
      <c r="BJ21" s="111">
        <f t="shared" si="45"/>
        <v>4.0260869565217394</v>
      </c>
      <c r="BK21" s="111">
        <f t="shared" si="45"/>
        <v>3.4836448598130842</v>
      </c>
      <c r="BL21" s="111">
        <f t="shared" si="45"/>
        <v>2.2665615141955837</v>
      </c>
      <c r="BM21" s="111">
        <f t="shared" si="45"/>
        <v>1.392204628501827</v>
      </c>
      <c r="BN21" s="18"/>
      <c r="BO21" s="18"/>
      <c r="BP21" s="18"/>
      <c r="BQ21" s="18"/>
      <c r="BR21" s="18"/>
      <c r="BS21" s="111">
        <f t="shared" si="56"/>
        <v>3.3060240963855421</v>
      </c>
      <c r="BT21" s="111">
        <f t="shared" si="57"/>
        <v>2.2665615141955837</v>
      </c>
      <c r="BU21" s="111">
        <f t="shared" si="58"/>
        <v>1.392204628501827</v>
      </c>
      <c r="BV21" s="18"/>
      <c r="BW21" s="111">
        <f t="shared" si="46"/>
        <v>1.392204628501827</v>
      </c>
    </row>
    <row r="22" spans="1:75" x14ac:dyDescent="0.25">
      <c r="A22" s="20" t="str">
        <f t="shared" si="47"/>
        <v># Manpower_by_rookie_mdrt:4 - 6 mths</v>
      </c>
      <c r="B22" t="s">
        <v>8</v>
      </c>
      <c r="C22" s="6">
        <v>219</v>
      </c>
      <c r="D22">
        <v>222</v>
      </c>
      <c r="E22">
        <v>275</v>
      </c>
      <c r="F22">
        <v>302</v>
      </c>
      <c r="G22">
        <v>320</v>
      </c>
      <c r="H22">
        <v>249</v>
      </c>
      <c r="I22">
        <v>241</v>
      </c>
      <c r="J22">
        <v>282</v>
      </c>
      <c r="K22">
        <v>321</v>
      </c>
      <c r="L22">
        <v>363</v>
      </c>
      <c r="M22">
        <v>377</v>
      </c>
      <c r="N22">
        <v>394</v>
      </c>
      <c r="O22">
        <v>523</v>
      </c>
      <c r="P22">
        <v>512</v>
      </c>
      <c r="Q22">
        <v>655</v>
      </c>
      <c r="R22">
        <v>603</v>
      </c>
      <c r="S22">
        <v>532</v>
      </c>
      <c r="T22">
        <v>331</v>
      </c>
      <c r="U22">
        <v>376</v>
      </c>
      <c r="V22">
        <v>511</v>
      </c>
      <c r="W22">
        <v>772</v>
      </c>
      <c r="X22">
        <f>[14]MP!AD10</f>
        <v>1261</v>
      </c>
      <c r="Y22">
        <f>[24]MP!K37</f>
        <v>1364</v>
      </c>
      <c r="Z22">
        <f>[15]MP!K37</f>
        <v>1583</v>
      </c>
      <c r="AA22" s="18">
        <f t="shared" si="48"/>
        <v>376</v>
      </c>
      <c r="AB22" s="18">
        <f t="shared" si="59"/>
        <v>655</v>
      </c>
      <c r="AC22" s="18">
        <f t="shared" si="60"/>
        <v>331</v>
      </c>
      <c r="AD22" s="18">
        <f t="shared" si="61"/>
        <v>772</v>
      </c>
      <c r="AE22" s="22">
        <f t="shared" si="49"/>
        <v>1364</v>
      </c>
      <c r="AF22" s="22">
        <f t="shared" si="50"/>
        <v>241</v>
      </c>
      <c r="AG22" s="22">
        <f t="shared" si="39"/>
        <v>275</v>
      </c>
      <c r="AH22" s="22">
        <f t="shared" si="40"/>
        <v>249</v>
      </c>
      <c r="AI22" s="22">
        <f t="shared" si="41"/>
        <v>321</v>
      </c>
      <c r="AJ22" s="22">
        <f t="shared" si="42"/>
        <v>394</v>
      </c>
      <c r="AK22" s="31">
        <f t="shared" si="51"/>
        <v>0.56016597510373445</v>
      </c>
      <c r="AL22" s="31">
        <f t="shared" si="43"/>
        <v>1.3818181818181818</v>
      </c>
      <c r="AM22" s="31">
        <f t="shared" si="43"/>
        <v>0.32931726907630532</v>
      </c>
      <c r="AN22" s="31">
        <f t="shared" si="43"/>
        <v>1.4049844236760123</v>
      </c>
      <c r="AO22" s="31">
        <f t="shared" si="44"/>
        <v>2.4619289340101522</v>
      </c>
      <c r="AP22" s="22">
        <f>[16]MP!K37</f>
        <v>1778</v>
      </c>
      <c r="AQ22" s="22">
        <f>[17]MP!K37</f>
        <v>1020</v>
      </c>
      <c r="AR22" s="22">
        <f>[18]MP!K37</f>
        <v>1138</v>
      </c>
      <c r="AS22" s="22">
        <f>[19]MP!K37</f>
        <v>1026</v>
      </c>
      <c r="AT22" s="22">
        <f>[20]MP!K37</f>
        <v>762</v>
      </c>
      <c r="AU22" s="22">
        <f>[21]MP!K37</f>
        <v>651</v>
      </c>
      <c r="AV22" s="22">
        <f>[22]MP!K37</f>
        <v>554</v>
      </c>
      <c r="AW22" s="18"/>
      <c r="AX22" s="18"/>
      <c r="AY22" s="18"/>
      <c r="AZ22" s="18"/>
      <c r="BA22" s="18"/>
      <c r="BB22" s="22">
        <f t="shared" si="52"/>
        <v>1138</v>
      </c>
      <c r="BC22" s="22">
        <f t="shared" si="53"/>
        <v>651</v>
      </c>
      <c r="BD22" s="22">
        <f t="shared" si="53"/>
        <v>554</v>
      </c>
      <c r="BE22" s="18"/>
      <c r="BF22" s="22">
        <f t="shared" si="54"/>
        <v>554</v>
      </c>
      <c r="BG22" s="122">
        <f t="shared" si="55"/>
        <v>3.3996175908221797</v>
      </c>
      <c r="BH22" s="111">
        <f t="shared" si="55"/>
        <v>1.9921875</v>
      </c>
      <c r="BI22" s="111">
        <f t="shared" si="45"/>
        <v>1.7374045801526719</v>
      </c>
      <c r="BJ22" s="111">
        <f t="shared" si="45"/>
        <v>1.7014925373134329</v>
      </c>
      <c r="BK22" s="111">
        <f t="shared" si="45"/>
        <v>1.4323308270676691</v>
      </c>
      <c r="BL22" s="111">
        <f t="shared" si="45"/>
        <v>1.9667673716012084</v>
      </c>
      <c r="BM22" s="111">
        <f t="shared" si="45"/>
        <v>1.4734042553191489</v>
      </c>
      <c r="BN22" s="18"/>
      <c r="BO22" s="18"/>
      <c r="BP22" s="18"/>
      <c r="BQ22" s="18"/>
      <c r="BR22" s="18"/>
      <c r="BS22" s="111">
        <f t="shared" si="56"/>
        <v>1.7374045801526719</v>
      </c>
      <c r="BT22" s="111">
        <f t="shared" si="57"/>
        <v>1.9667673716012084</v>
      </c>
      <c r="BU22" s="111">
        <f t="shared" si="58"/>
        <v>1.4734042553191489</v>
      </c>
      <c r="BV22" s="18"/>
      <c r="BW22" s="111">
        <f t="shared" si="46"/>
        <v>1.4734042553191489</v>
      </c>
    </row>
    <row r="23" spans="1:75" x14ac:dyDescent="0.25">
      <c r="A23" s="20" t="str">
        <f t="shared" si="47"/>
        <v># Manpower_by_rookie_mdrt:7-12mth</v>
      </c>
      <c r="B23" t="s">
        <v>1</v>
      </c>
      <c r="C23" s="6">
        <v>169</v>
      </c>
      <c r="D23">
        <v>184</v>
      </c>
      <c r="E23">
        <v>225</v>
      </c>
      <c r="F23">
        <v>255</v>
      </c>
      <c r="G23">
        <v>228</v>
      </c>
      <c r="H23">
        <v>252</v>
      </c>
      <c r="I23">
        <v>216</v>
      </c>
      <c r="J23">
        <v>248</v>
      </c>
      <c r="K23">
        <v>242</v>
      </c>
      <c r="L23">
        <v>265</v>
      </c>
      <c r="M23">
        <v>300</v>
      </c>
      <c r="N23">
        <v>304</v>
      </c>
      <c r="O23">
        <v>365</v>
      </c>
      <c r="P23">
        <v>394</v>
      </c>
      <c r="Q23">
        <v>440</v>
      </c>
      <c r="R23">
        <v>565</v>
      </c>
      <c r="S23">
        <v>563</v>
      </c>
      <c r="T23">
        <v>693</v>
      </c>
      <c r="U23">
        <v>701</v>
      </c>
      <c r="V23">
        <v>622</v>
      </c>
      <c r="W23">
        <v>550</v>
      </c>
      <c r="X23">
        <f>[14]MP!AD11</f>
        <v>530</v>
      </c>
      <c r="Y23">
        <f>[24]MP!K38</f>
        <v>583</v>
      </c>
      <c r="Z23">
        <f>[15]MP!K38</f>
        <v>672</v>
      </c>
      <c r="AA23" s="18">
        <f t="shared" si="48"/>
        <v>701</v>
      </c>
      <c r="AB23" s="18">
        <f t="shared" si="59"/>
        <v>440</v>
      </c>
      <c r="AC23" s="18">
        <f t="shared" si="60"/>
        <v>693</v>
      </c>
      <c r="AD23" s="18">
        <f t="shared" si="61"/>
        <v>550</v>
      </c>
      <c r="AE23" s="22">
        <f t="shared" si="49"/>
        <v>583</v>
      </c>
      <c r="AF23" s="22">
        <f t="shared" si="50"/>
        <v>216</v>
      </c>
      <c r="AG23" s="22">
        <f t="shared" si="39"/>
        <v>225</v>
      </c>
      <c r="AH23" s="22">
        <f t="shared" si="40"/>
        <v>252</v>
      </c>
      <c r="AI23" s="22">
        <f>K23</f>
        <v>242</v>
      </c>
      <c r="AJ23" s="22">
        <f t="shared" si="42"/>
        <v>304</v>
      </c>
      <c r="AK23" s="31">
        <f t="shared" si="51"/>
        <v>2.2453703703703702</v>
      </c>
      <c r="AL23" s="31">
        <f t="shared" si="43"/>
        <v>0.95555555555555549</v>
      </c>
      <c r="AM23" s="31">
        <f t="shared" si="43"/>
        <v>1.75</v>
      </c>
      <c r="AN23" s="31">
        <f t="shared" si="43"/>
        <v>1.2727272727272729</v>
      </c>
      <c r="AO23" s="31">
        <f t="shared" si="44"/>
        <v>0.91776315789473695</v>
      </c>
      <c r="AP23" s="22">
        <f>[16]MP!K38</f>
        <v>1048</v>
      </c>
      <c r="AQ23" s="22">
        <f>[17]MP!K38</f>
        <v>609</v>
      </c>
      <c r="AR23" s="22">
        <f>[18]MP!K38</f>
        <v>734</v>
      </c>
      <c r="AS23" s="22">
        <f>[19]MP!K38</f>
        <v>794</v>
      </c>
      <c r="AT23" s="22">
        <f>[20]MP!K38</f>
        <v>949</v>
      </c>
      <c r="AU23" s="22">
        <f>[21]MP!K38</f>
        <v>1014</v>
      </c>
      <c r="AV23" s="22">
        <f>[22]MP!K38</f>
        <v>1001</v>
      </c>
      <c r="AW23" s="18"/>
      <c r="AX23" s="18"/>
      <c r="AY23" s="18"/>
      <c r="AZ23" s="18"/>
      <c r="BA23" s="18"/>
      <c r="BB23" s="22">
        <f t="shared" si="52"/>
        <v>734</v>
      </c>
      <c r="BC23" s="22">
        <f t="shared" si="53"/>
        <v>1014</v>
      </c>
      <c r="BD23" s="22">
        <f t="shared" si="53"/>
        <v>1001</v>
      </c>
      <c r="BE23" s="18"/>
      <c r="BF23" s="22">
        <f t="shared" si="54"/>
        <v>1001</v>
      </c>
      <c r="BG23" s="122">
        <f t="shared" si="55"/>
        <v>2.871232876712329</v>
      </c>
      <c r="BH23" s="111">
        <f t="shared" si="55"/>
        <v>1.5456852791878173</v>
      </c>
      <c r="BI23" s="111">
        <f t="shared" si="45"/>
        <v>1.6681818181818182</v>
      </c>
      <c r="BJ23" s="111">
        <f t="shared" si="45"/>
        <v>1.4053097345132743</v>
      </c>
      <c r="BK23" s="111">
        <f t="shared" si="45"/>
        <v>1.6856127886323269</v>
      </c>
      <c r="BL23" s="111">
        <f t="shared" si="45"/>
        <v>1.4632034632034632</v>
      </c>
      <c r="BM23" s="111">
        <f t="shared" si="45"/>
        <v>1.4279600570613409</v>
      </c>
      <c r="BN23" s="18"/>
      <c r="BO23" s="18"/>
      <c r="BP23" s="18"/>
      <c r="BQ23" s="18"/>
      <c r="BR23" s="18"/>
      <c r="BS23" s="111">
        <f t="shared" si="56"/>
        <v>1.6681818181818182</v>
      </c>
      <c r="BT23" s="111">
        <f t="shared" si="57"/>
        <v>1.4632034632034632</v>
      </c>
      <c r="BU23" s="111">
        <f t="shared" si="58"/>
        <v>1.4279600570613409</v>
      </c>
      <c r="BV23" s="18"/>
      <c r="BW23" s="111">
        <f t="shared" si="46"/>
        <v>1.4279600570613409</v>
      </c>
    </row>
    <row r="24" spans="1:75" x14ac:dyDescent="0.25">
      <c r="A24" s="20" t="str">
        <f t="shared" si="47"/>
        <v># Manpower_by_rookie_mdrt:13+mth</v>
      </c>
      <c r="B24" t="s">
        <v>2</v>
      </c>
      <c r="C24" s="6">
        <v>76</v>
      </c>
      <c r="D24">
        <v>78</v>
      </c>
      <c r="E24">
        <v>79</v>
      </c>
      <c r="F24">
        <v>78</v>
      </c>
      <c r="G24">
        <v>100</v>
      </c>
      <c r="H24">
        <v>121</v>
      </c>
      <c r="I24">
        <v>102</v>
      </c>
      <c r="J24">
        <v>99</v>
      </c>
      <c r="K24">
        <v>116</v>
      </c>
      <c r="L24">
        <v>125</v>
      </c>
      <c r="M24">
        <v>134</v>
      </c>
      <c r="N24">
        <v>169</v>
      </c>
      <c r="O24">
        <v>189</v>
      </c>
      <c r="P24">
        <v>221</v>
      </c>
      <c r="Q24">
        <v>229</v>
      </c>
      <c r="R24">
        <v>255</v>
      </c>
      <c r="S24">
        <v>305</v>
      </c>
      <c r="T24">
        <v>329</v>
      </c>
      <c r="U24">
        <v>374</v>
      </c>
      <c r="V24">
        <v>425</v>
      </c>
      <c r="W24">
        <v>482</v>
      </c>
      <c r="X24">
        <f>[14]MP!AD12</f>
        <v>574</v>
      </c>
      <c r="Y24">
        <f>[24]MP!K39</f>
        <v>600</v>
      </c>
      <c r="Z24">
        <f>[15]MP!K39</f>
        <v>704</v>
      </c>
      <c r="AA24" s="18">
        <f t="shared" si="48"/>
        <v>374</v>
      </c>
      <c r="AB24" s="18">
        <f t="shared" si="59"/>
        <v>229</v>
      </c>
      <c r="AC24" s="18">
        <f t="shared" si="60"/>
        <v>329</v>
      </c>
      <c r="AD24" s="18">
        <f t="shared" si="61"/>
        <v>482</v>
      </c>
      <c r="AE24" s="22">
        <f t="shared" si="49"/>
        <v>600</v>
      </c>
      <c r="AF24" s="22">
        <f t="shared" si="50"/>
        <v>102</v>
      </c>
      <c r="AG24" s="22">
        <f t="shared" si="39"/>
        <v>79</v>
      </c>
      <c r="AH24" s="22">
        <f t="shared" si="40"/>
        <v>121</v>
      </c>
      <c r="AI24" s="22">
        <f t="shared" si="41"/>
        <v>116</v>
      </c>
      <c r="AJ24" s="22">
        <f t="shared" si="42"/>
        <v>169</v>
      </c>
      <c r="AK24" s="31">
        <f t="shared" si="51"/>
        <v>2.6666666666666665</v>
      </c>
      <c r="AL24" s="31">
        <f t="shared" si="43"/>
        <v>1.8987341772151898</v>
      </c>
      <c r="AM24" s="31">
        <f t="shared" si="43"/>
        <v>1.71900826446281</v>
      </c>
      <c r="AN24" s="31">
        <f t="shared" si="43"/>
        <v>3.1551724137931032</v>
      </c>
      <c r="AO24" s="31">
        <f t="shared" si="44"/>
        <v>2.5502958579881656</v>
      </c>
      <c r="AP24" s="22">
        <f>[16]MP!K39</f>
        <v>773</v>
      </c>
      <c r="AQ24" s="22">
        <f>[17]MP!K39</f>
        <v>461</v>
      </c>
      <c r="AR24" s="22">
        <f>[18]MP!K39</f>
        <v>435</v>
      </c>
      <c r="AS24" s="22">
        <f>[19]MP!K39</f>
        <v>437</v>
      </c>
      <c r="AT24" s="22">
        <f>[20]MP!K39</f>
        <v>459</v>
      </c>
      <c r="AU24" s="22">
        <f>[21]MP!K39</f>
        <v>500</v>
      </c>
      <c r="AV24" s="22">
        <f>[22]MP!K39</f>
        <v>578</v>
      </c>
      <c r="AW24" s="18"/>
      <c r="AX24" s="18"/>
      <c r="AY24" s="18"/>
      <c r="AZ24" s="18"/>
      <c r="BA24" s="18"/>
      <c r="BB24" s="22">
        <f t="shared" si="52"/>
        <v>435</v>
      </c>
      <c r="BC24" s="22">
        <f t="shared" si="53"/>
        <v>500</v>
      </c>
      <c r="BD24" s="22">
        <f t="shared" si="53"/>
        <v>578</v>
      </c>
      <c r="BE24" s="18"/>
      <c r="BF24" s="22">
        <f t="shared" si="54"/>
        <v>578</v>
      </c>
      <c r="BG24" s="122">
        <f t="shared" si="55"/>
        <v>4.0899470899470902</v>
      </c>
      <c r="BH24" s="111">
        <f t="shared" si="55"/>
        <v>2.0859728506787332</v>
      </c>
      <c r="BI24" s="111">
        <f t="shared" si="45"/>
        <v>1.8995633187772927</v>
      </c>
      <c r="BJ24" s="111">
        <f t="shared" si="45"/>
        <v>1.7137254901960783</v>
      </c>
      <c r="BK24" s="111">
        <f t="shared" si="45"/>
        <v>1.5049180327868852</v>
      </c>
      <c r="BL24" s="111">
        <f t="shared" si="45"/>
        <v>1.5197568389057752</v>
      </c>
      <c r="BM24" s="111">
        <f t="shared" si="45"/>
        <v>1.5454545454545454</v>
      </c>
      <c r="BN24" s="18"/>
      <c r="BO24" s="18"/>
      <c r="BP24" s="18"/>
      <c r="BQ24" s="18"/>
      <c r="BR24" s="18"/>
      <c r="BS24" s="111">
        <f t="shared" si="56"/>
        <v>1.8995633187772927</v>
      </c>
      <c r="BT24" s="111">
        <f t="shared" si="57"/>
        <v>1.5197568389057752</v>
      </c>
      <c r="BU24" s="111">
        <f t="shared" si="58"/>
        <v>1.5454545454545454</v>
      </c>
      <c r="BV24" s="18"/>
      <c r="BW24" s="111">
        <f t="shared" si="46"/>
        <v>1.5454545454545454</v>
      </c>
    </row>
    <row r="25" spans="1:75" x14ac:dyDescent="0.25">
      <c r="A25" s="20" t="str">
        <f t="shared" si="47"/>
        <v># Manpower_by_rookie_mdrt:SA</v>
      </c>
      <c r="B25" s="135" t="s">
        <v>136</v>
      </c>
      <c r="C25" s="6"/>
      <c r="AA25" s="18"/>
      <c r="AB25" s="18"/>
      <c r="AC25" s="18"/>
      <c r="AD25" s="18"/>
      <c r="AE25" s="22"/>
      <c r="AF25" s="22"/>
      <c r="AG25" s="22"/>
      <c r="AH25" s="22"/>
      <c r="AI25" s="22"/>
      <c r="AJ25" s="22"/>
      <c r="AK25" s="31"/>
      <c r="AL25" s="31"/>
      <c r="AM25" s="31"/>
      <c r="AN25" s="31"/>
      <c r="AO25" s="31"/>
      <c r="AP25" s="22"/>
      <c r="AQ25" s="136">
        <f>[17]MP!K40</f>
        <v>1555</v>
      </c>
      <c r="AR25" s="136">
        <f>[18]MP!K40</f>
        <v>1709</v>
      </c>
      <c r="AS25" s="136">
        <f>[19]MP!K40</f>
        <v>2366</v>
      </c>
      <c r="AT25" s="22">
        <f>[20]MP!K40</f>
        <v>2740</v>
      </c>
      <c r="AU25" s="22">
        <f>[21]MP!K40</f>
        <v>3299</v>
      </c>
      <c r="AV25" s="22">
        <f>[22]MP!$K$40</f>
        <v>4093</v>
      </c>
      <c r="AW25" s="18"/>
      <c r="AX25" s="18"/>
      <c r="AY25" s="18"/>
      <c r="AZ25" s="18"/>
      <c r="BA25" s="18"/>
      <c r="BB25" s="22">
        <f t="shared" si="52"/>
        <v>1709</v>
      </c>
      <c r="BC25" s="22">
        <f t="shared" si="53"/>
        <v>3299</v>
      </c>
      <c r="BD25" s="22">
        <f t="shared" si="53"/>
        <v>4093</v>
      </c>
      <c r="BE25" s="18"/>
      <c r="BF25" s="22">
        <f t="shared" si="54"/>
        <v>4093</v>
      </c>
      <c r="BG25" s="122"/>
      <c r="BH25" s="111"/>
      <c r="BI25" s="111"/>
      <c r="BJ25" s="111"/>
      <c r="BK25" s="111"/>
      <c r="BL25" s="111"/>
      <c r="BM25" s="111"/>
      <c r="BN25" s="18"/>
      <c r="BO25" s="18"/>
      <c r="BP25" s="18"/>
      <c r="BQ25" s="18"/>
      <c r="BR25" s="18"/>
      <c r="BS25" s="111"/>
      <c r="BT25" s="111"/>
      <c r="BU25" s="111"/>
      <c r="BV25" s="18"/>
      <c r="BW25" s="111"/>
    </row>
    <row r="26" spans="1:75" s="19" customFormat="1" x14ac:dyDescent="0.25">
      <c r="A26" s="20" t="str">
        <f t="shared" si="47"/>
        <v># Manpower_by_rookie_mdrt:Total (excl. SA)</v>
      </c>
      <c r="B26" s="1" t="s">
        <v>137</v>
      </c>
      <c r="C26" s="7">
        <f>SUM(C18:C24)</f>
        <v>1142</v>
      </c>
      <c r="D26" s="7">
        <f t="shared" ref="D26:Z26" si="62">SUM(D18:D24)</f>
        <v>1203</v>
      </c>
      <c r="E26" s="7">
        <f t="shared" si="62"/>
        <v>1331</v>
      </c>
      <c r="F26" s="7">
        <f t="shared" si="62"/>
        <v>1503</v>
      </c>
      <c r="G26" s="7">
        <f t="shared" si="62"/>
        <v>1459</v>
      </c>
      <c r="H26" s="7">
        <f t="shared" si="62"/>
        <v>1485</v>
      </c>
      <c r="I26" s="7">
        <f t="shared" si="62"/>
        <v>1485</v>
      </c>
      <c r="J26" s="7">
        <f t="shared" si="62"/>
        <v>1572</v>
      </c>
      <c r="K26" s="7">
        <f t="shared" si="62"/>
        <v>1732</v>
      </c>
      <c r="L26" s="7">
        <f t="shared" si="62"/>
        <v>1852</v>
      </c>
      <c r="M26" s="7">
        <f t="shared" si="62"/>
        <v>2108</v>
      </c>
      <c r="N26" s="7">
        <f t="shared" si="62"/>
        <v>2192</v>
      </c>
      <c r="O26" s="7">
        <f t="shared" si="62"/>
        <v>2219</v>
      </c>
      <c r="P26" s="7">
        <f t="shared" si="62"/>
        <v>2130</v>
      </c>
      <c r="Q26" s="7">
        <f t="shared" si="62"/>
        <v>2259</v>
      </c>
      <c r="R26" s="7">
        <f t="shared" si="62"/>
        <v>2385</v>
      </c>
      <c r="S26" s="7">
        <f t="shared" si="62"/>
        <v>2733</v>
      </c>
      <c r="T26" s="7">
        <f t="shared" si="62"/>
        <v>3526</v>
      </c>
      <c r="U26" s="7">
        <f t="shared" si="62"/>
        <v>3957</v>
      </c>
      <c r="V26" s="7">
        <f t="shared" si="62"/>
        <v>4470</v>
      </c>
      <c r="W26" s="7">
        <f t="shared" si="62"/>
        <v>5082</v>
      </c>
      <c r="X26" s="7">
        <f t="shared" si="62"/>
        <v>5596</v>
      </c>
      <c r="Y26" s="7">
        <f t="shared" si="62"/>
        <v>6020</v>
      </c>
      <c r="Z26" s="7">
        <f t="shared" si="62"/>
        <v>6701</v>
      </c>
      <c r="AA26" s="17">
        <f t="shared" si="48"/>
        <v>3957</v>
      </c>
      <c r="AB26" s="17">
        <f t="shared" si="59"/>
        <v>2259</v>
      </c>
      <c r="AC26" s="17">
        <f t="shared" si="60"/>
        <v>3526</v>
      </c>
      <c r="AD26" s="17">
        <f t="shared" si="61"/>
        <v>5082</v>
      </c>
      <c r="AE26" s="22">
        <f t="shared" si="49"/>
        <v>6020</v>
      </c>
      <c r="AF26" s="27">
        <f t="shared" si="50"/>
        <v>1485</v>
      </c>
      <c r="AG26" s="27">
        <f t="shared" si="39"/>
        <v>1331</v>
      </c>
      <c r="AH26" s="27">
        <f t="shared" si="40"/>
        <v>1485</v>
      </c>
      <c r="AI26" s="27">
        <f t="shared" si="41"/>
        <v>1732</v>
      </c>
      <c r="AJ26" s="27">
        <f t="shared" si="42"/>
        <v>2192</v>
      </c>
      <c r="AK26" s="32">
        <f t="shared" si="51"/>
        <v>1.6646464646464647</v>
      </c>
      <c r="AL26" s="32">
        <f t="shared" si="43"/>
        <v>0.69722013523666426</v>
      </c>
      <c r="AM26" s="32">
        <f t="shared" si="43"/>
        <v>1.3744107744107743</v>
      </c>
      <c r="AN26" s="31">
        <f t="shared" si="43"/>
        <v>1.9341801385681294</v>
      </c>
      <c r="AO26" s="31">
        <f t="shared" si="44"/>
        <v>1.7463503649635035</v>
      </c>
      <c r="AP26" s="7">
        <f t="shared" ref="AP26" si="63">SUM(AP18:AP24)</f>
        <v>6810</v>
      </c>
      <c r="AQ26" s="7">
        <f>SUM(AQ18:AQ25)</f>
        <v>6667</v>
      </c>
      <c r="AR26" s="7">
        <f t="shared" ref="AR26:AU26" si="64">SUM(AR18:AR24)</f>
        <v>5243</v>
      </c>
      <c r="AS26" s="7">
        <f t="shared" si="64"/>
        <v>4730</v>
      </c>
      <c r="AT26" s="7">
        <f t="shared" si="64"/>
        <v>4944</v>
      </c>
      <c r="AU26" s="7">
        <f t="shared" si="64"/>
        <v>5524</v>
      </c>
      <c r="AV26" s="7">
        <f>SUM(AV18:AV24)</f>
        <v>5453</v>
      </c>
      <c r="AW26" s="17"/>
      <c r="AX26" s="17"/>
      <c r="AY26" s="17"/>
      <c r="AZ26" s="17"/>
      <c r="BA26" s="17"/>
      <c r="BB26" s="115">
        <f t="shared" si="52"/>
        <v>5243</v>
      </c>
      <c r="BC26" s="115">
        <f>INDEX(AS26:AU26,IF($B$2&lt;7,$B$2-3,3))</f>
        <v>5524</v>
      </c>
      <c r="BD26" s="115">
        <f>INDEX(AT26:AV26,IF($B$2&lt;7,$B$2-3,3))</f>
        <v>5453</v>
      </c>
      <c r="BE26" s="37"/>
      <c r="BF26" s="115">
        <f t="shared" si="54"/>
        <v>5453</v>
      </c>
      <c r="BG26" s="123">
        <f t="shared" si="55"/>
        <v>3.0689499774673275</v>
      </c>
      <c r="BH26" s="118">
        <f t="shared" si="55"/>
        <v>3.1300469483568074</v>
      </c>
      <c r="BI26" s="118">
        <f t="shared" ref="BI26" si="65">AR26/Q26</f>
        <v>2.3209384683488268</v>
      </c>
      <c r="BJ26" s="118">
        <f t="shared" ref="BJ26:BK26" si="66">AS26/R26</f>
        <v>1.9832285115303983</v>
      </c>
      <c r="BK26" s="118">
        <f t="shared" si="66"/>
        <v>1.8090010976948407</v>
      </c>
      <c r="BL26" s="118">
        <f>AU26/T26</f>
        <v>1.5666477595008508</v>
      </c>
      <c r="BM26" s="118">
        <f>AV26/U26</f>
        <v>1.3780641900429618</v>
      </c>
      <c r="BN26" s="37"/>
      <c r="BO26" s="37"/>
      <c r="BP26" s="37"/>
      <c r="BQ26" s="37"/>
      <c r="BR26" s="37"/>
      <c r="BS26" s="118">
        <f t="shared" si="56"/>
        <v>2.3209384683488268</v>
      </c>
      <c r="BT26" s="111">
        <f t="shared" si="57"/>
        <v>1.5666477595008508</v>
      </c>
      <c r="BU26" s="111">
        <f t="shared" si="58"/>
        <v>1.3780641900429618</v>
      </c>
      <c r="BV26" s="37"/>
      <c r="BW26" s="118">
        <f t="shared" si="46"/>
        <v>1.3780641900429618</v>
      </c>
    </row>
    <row r="27" spans="1:75" x14ac:dyDescent="0.25">
      <c r="B27" t="s">
        <v>187</v>
      </c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24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</row>
    <row r="28" spans="1:75" x14ac:dyDescent="0.25">
      <c r="B28" t="s">
        <v>187</v>
      </c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24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</row>
    <row r="29" spans="1:75" s="19" customFormat="1" x14ac:dyDescent="0.25">
      <c r="B29" s="2" t="s">
        <v>10</v>
      </c>
      <c r="C29" s="3">
        <f t="shared" ref="C29:Z29" si="67">C17</f>
        <v>42005</v>
      </c>
      <c r="D29" s="3">
        <f t="shared" si="67"/>
        <v>42036</v>
      </c>
      <c r="E29" s="3">
        <f t="shared" si="67"/>
        <v>42064</v>
      </c>
      <c r="F29" s="3">
        <f t="shared" si="67"/>
        <v>42095</v>
      </c>
      <c r="G29" s="3">
        <f t="shared" si="67"/>
        <v>42125</v>
      </c>
      <c r="H29" s="3">
        <f t="shared" si="67"/>
        <v>42156</v>
      </c>
      <c r="I29" s="3">
        <f t="shared" si="67"/>
        <v>42186</v>
      </c>
      <c r="J29" s="3">
        <f t="shared" si="67"/>
        <v>42217</v>
      </c>
      <c r="K29" s="3">
        <f t="shared" si="67"/>
        <v>42248</v>
      </c>
      <c r="L29" s="3">
        <f t="shared" si="67"/>
        <v>42278</v>
      </c>
      <c r="M29" s="3">
        <f t="shared" si="67"/>
        <v>42309</v>
      </c>
      <c r="N29" s="3">
        <f t="shared" si="67"/>
        <v>42339</v>
      </c>
      <c r="O29" s="3">
        <f t="shared" si="67"/>
        <v>42370</v>
      </c>
      <c r="P29" s="3">
        <f t="shared" si="67"/>
        <v>42401</v>
      </c>
      <c r="Q29" s="3">
        <f t="shared" si="67"/>
        <v>42430</v>
      </c>
      <c r="R29" s="3">
        <f t="shared" si="67"/>
        <v>42461</v>
      </c>
      <c r="S29" s="3">
        <f t="shared" si="67"/>
        <v>42491</v>
      </c>
      <c r="T29" s="3">
        <f t="shared" si="67"/>
        <v>42522</v>
      </c>
      <c r="U29" s="3">
        <f t="shared" si="67"/>
        <v>42552</v>
      </c>
      <c r="V29" s="3">
        <f t="shared" si="67"/>
        <v>42583</v>
      </c>
      <c r="W29" s="3">
        <f t="shared" si="67"/>
        <v>42614</v>
      </c>
      <c r="X29" s="3">
        <f t="shared" si="67"/>
        <v>42644</v>
      </c>
      <c r="Y29" s="3">
        <f t="shared" si="67"/>
        <v>42675</v>
      </c>
      <c r="Z29" s="3">
        <f t="shared" si="67"/>
        <v>42705</v>
      </c>
      <c r="AA29" s="29" t="str">
        <f>AA17</f>
        <v>YTD 7/16</v>
      </c>
      <c r="AB29" s="29" t="s">
        <v>19</v>
      </c>
      <c r="AC29" s="29" t="s">
        <v>20</v>
      </c>
      <c r="AD29" s="29" t="s">
        <v>21</v>
      </c>
      <c r="AE29" s="29" t="s">
        <v>22</v>
      </c>
      <c r="AF29" s="26" t="str">
        <f t="shared" ref="AF29:AJ29" si="68">AF17</f>
        <v>YTD 7/15</v>
      </c>
      <c r="AG29" s="26" t="str">
        <f t="shared" si="68"/>
        <v>Q1 '15</v>
      </c>
      <c r="AH29" s="26" t="str">
        <f t="shared" si="68"/>
        <v>Q2 '15</v>
      </c>
      <c r="AI29" s="26" t="str">
        <f t="shared" si="68"/>
        <v>Q3 '15</v>
      </c>
      <c r="AJ29" s="26" t="str">
        <f t="shared" si="68"/>
        <v>Q4 '15</v>
      </c>
      <c r="AK29" s="30" t="s">
        <v>27</v>
      </c>
      <c r="AL29" s="30" t="s">
        <v>29</v>
      </c>
      <c r="AM29" s="30" t="s">
        <v>30</v>
      </c>
      <c r="AN29" s="30" t="s">
        <v>31</v>
      </c>
      <c r="AO29" s="30" t="s">
        <v>32</v>
      </c>
      <c r="AP29" s="108">
        <v>42736</v>
      </c>
      <c r="AQ29" s="108">
        <v>42767</v>
      </c>
      <c r="AR29" s="108">
        <v>42795</v>
      </c>
      <c r="AS29" s="108">
        <v>42826</v>
      </c>
      <c r="AT29" s="108">
        <v>42856</v>
      </c>
      <c r="AU29" s="108">
        <v>42887</v>
      </c>
      <c r="AV29" s="108">
        <v>42917</v>
      </c>
      <c r="AW29" s="108">
        <v>42948</v>
      </c>
      <c r="AX29" s="108">
        <v>42979</v>
      </c>
      <c r="AY29" s="108">
        <v>43009</v>
      </c>
      <c r="AZ29" s="108">
        <v>43040</v>
      </c>
      <c r="BA29" s="108">
        <v>43070</v>
      </c>
      <c r="BB29" s="29" t="s">
        <v>123</v>
      </c>
      <c r="BC29" s="29" t="s">
        <v>124</v>
      </c>
      <c r="BD29" s="29" t="s">
        <v>125</v>
      </c>
      <c r="BE29" s="29" t="s">
        <v>126</v>
      </c>
      <c r="BF29" s="29" t="str">
        <f>$BF$3</f>
        <v>YTD 7/17</v>
      </c>
      <c r="BG29" s="121">
        <v>42736</v>
      </c>
      <c r="BH29" s="108">
        <v>42767</v>
      </c>
      <c r="BI29" s="108">
        <v>42795</v>
      </c>
      <c r="BJ29" s="108">
        <v>42826</v>
      </c>
      <c r="BK29" s="108">
        <v>42856</v>
      </c>
      <c r="BL29" s="108">
        <v>42887</v>
      </c>
      <c r="BM29" s="108">
        <v>42917</v>
      </c>
      <c r="BN29" s="108">
        <v>42948</v>
      </c>
      <c r="BO29" s="108">
        <v>42979</v>
      </c>
      <c r="BP29" s="108">
        <v>43009</v>
      </c>
      <c r="BQ29" s="108">
        <v>43040</v>
      </c>
      <c r="BR29" s="108">
        <v>43070</v>
      </c>
      <c r="BS29" s="29" t="s">
        <v>127</v>
      </c>
      <c r="BT29" s="29" t="s">
        <v>128</v>
      </c>
      <c r="BU29" s="29" t="s">
        <v>96</v>
      </c>
      <c r="BV29" s="29" t="s">
        <v>129</v>
      </c>
      <c r="BW29" s="112" t="s">
        <v>130</v>
      </c>
    </row>
    <row r="30" spans="1:75" x14ac:dyDescent="0.25">
      <c r="A30" s="20" t="str">
        <f>$B$29&amp;"_by_rookie_mdrt:"&amp;B30</f>
        <v># Active_by_rookie_mdrt:MDRT</v>
      </c>
      <c r="B30" t="s">
        <v>4</v>
      </c>
      <c r="C30">
        <v>11</v>
      </c>
      <c r="D30">
        <v>5</v>
      </c>
      <c r="E30">
        <v>11</v>
      </c>
      <c r="F30">
        <v>11</v>
      </c>
      <c r="G30">
        <v>16</v>
      </c>
      <c r="H30">
        <v>13</v>
      </c>
      <c r="I30">
        <v>14</v>
      </c>
      <c r="J30">
        <v>13</v>
      </c>
      <c r="K30">
        <v>17</v>
      </c>
      <c r="L30">
        <v>19</v>
      </c>
      <c r="M30">
        <v>12</v>
      </c>
      <c r="N30">
        <v>15</v>
      </c>
      <c r="O30">
        <v>12</v>
      </c>
      <c r="P30">
        <v>8</v>
      </c>
      <c r="Q30">
        <v>18</v>
      </c>
      <c r="R30">
        <v>13</v>
      </c>
      <c r="S30">
        <v>13</v>
      </c>
      <c r="T30">
        <v>15</v>
      </c>
      <c r="U30">
        <v>15</v>
      </c>
      <c r="V30">
        <v>12</v>
      </c>
      <c r="W30">
        <v>13</v>
      </c>
      <c r="X30">
        <f>[14]Actv!AD8</f>
        <v>11</v>
      </c>
      <c r="Y30">
        <f>[24]Actv!AE8</f>
        <v>11</v>
      </c>
      <c r="Z30" s="6">
        <f>[15]Actv!M30</f>
        <v>13</v>
      </c>
      <c r="AA30" s="22">
        <f>SUM(O30:INDEX(O30:Z30,$B$2))</f>
        <v>94</v>
      </c>
      <c r="AB30" s="22">
        <f>SUM(O30:Q30)</f>
        <v>38</v>
      </c>
      <c r="AC30" s="22">
        <f>SUM(R30:T30)</f>
        <v>41</v>
      </c>
      <c r="AD30" s="22">
        <f>SUM(U30:W30)</f>
        <v>40</v>
      </c>
      <c r="AE30" s="22">
        <f>SUM(X30:Z30)</f>
        <v>35</v>
      </c>
      <c r="AF30" s="22">
        <f>SUM(C30                                                                                : INDEX(C30:N30,$B$2))</f>
        <v>81</v>
      </c>
      <c r="AG30" s="22">
        <f t="shared" ref="AG30:AG36" si="69">SUM(C30:E30)</f>
        <v>27</v>
      </c>
      <c r="AH30" s="22">
        <f t="shared" ref="AH30:AH36" si="70">SUM(F30:H30)</f>
        <v>40</v>
      </c>
      <c r="AI30" s="22">
        <f t="shared" ref="AI30:AI36" si="71">SUM(I30:K30)</f>
        <v>44</v>
      </c>
      <c r="AJ30" s="22">
        <f t="shared" ref="AJ30:AJ36" si="72">SUM(L30:N30)</f>
        <v>46</v>
      </c>
      <c r="AK30" s="31">
        <f>AA30/AF30-1</f>
        <v>0.16049382716049387</v>
      </c>
      <c r="AL30" s="31">
        <f t="shared" ref="AL30:AN39" si="73">AB30/AG30-1</f>
        <v>0.40740740740740744</v>
      </c>
      <c r="AM30" s="31">
        <f t="shared" si="73"/>
        <v>2.4999999999999911E-2</v>
      </c>
      <c r="AN30" s="31">
        <f t="shared" si="73"/>
        <v>-9.0909090909090939E-2</v>
      </c>
      <c r="AO30" s="31">
        <f>AE30/SUM(L30:INDEX(L30:N30,MOD($B$2,3)))-1</f>
        <v>0.84210526315789469</v>
      </c>
      <c r="AP30" s="22">
        <f>[16]Actv!M30</f>
        <v>26</v>
      </c>
      <c r="AQ30" s="22">
        <f>[17]Actv!M30</f>
        <v>35</v>
      </c>
      <c r="AR30" s="22">
        <f>[18]Actv!M30</f>
        <v>33</v>
      </c>
      <c r="AS30" s="22">
        <f>[19]Actv!M30</f>
        <v>36</v>
      </c>
      <c r="AT30" s="22">
        <f>[20]Actv!M30</f>
        <v>31</v>
      </c>
      <c r="AU30" s="22">
        <f>[21]Actv!M30</f>
        <v>31</v>
      </c>
      <c r="AV30" s="22">
        <f>[22]Actv!M30</f>
        <v>22</v>
      </c>
      <c r="AW30" s="18"/>
      <c r="AX30" s="18"/>
      <c r="AY30" s="18"/>
      <c r="AZ30" s="18"/>
      <c r="BA30" s="18"/>
      <c r="BB30" s="110">
        <f>SUM(AP30:INDEX(AP30:AR30,IF($B$2&lt;3,$B$2,3)))</f>
        <v>94</v>
      </c>
      <c r="BC30" s="110">
        <f>SUM(AS30:INDEX(AS30:AU30,IF($B$2&lt;7,$B$2-3,3)))</f>
        <v>98</v>
      </c>
      <c r="BD30" s="110">
        <f>SUM(AV30:INDEX(AV30:AX30,IF(AND($B$2&gt;6,$B$2&lt;10),$B$2-6,0)))</f>
        <v>22</v>
      </c>
      <c r="BE30" s="110">
        <f>SUM(AY30:INDEX(AY30:BA30,IF($B$2&gt;9,$B$2-9,0)))</f>
        <v>0</v>
      </c>
      <c r="BF30" s="110">
        <f>SUM($AP30:INDEX(AP30:BA30,$B$2))</f>
        <v>214</v>
      </c>
      <c r="BG30" s="122">
        <f t="shared" ref="BG30:BR39" si="74">AP30/O30</f>
        <v>2.1666666666666665</v>
      </c>
      <c r="BH30" s="111">
        <f t="shared" si="74"/>
        <v>4.375</v>
      </c>
      <c r="BI30" s="111">
        <f t="shared" si="74"/>
        <v>1.8333333333333333</v>
      </c>
      <c r="BJ30" s="111">
        <f t="shared" si="74"/>
        <v>2.7692307692307692</v>
      </c>
      <c r="BK30" s="111">
        <f t="shared" si="74"/>
        <v>2.3846153846153846</v>
      </c>
      <c r="BL30" s="111">
        <f t="shared" si="74"/>
        <v>2.0666666666666669</v>
      </c>
      <c r="BM30" s="111">
        <f t="shared" si="74"/>
        <v>1.4666666666666666</v>
      </c>
      <c r="BN30" s="111">
        <f t="shared" si="74"/>
        <v>0</v>
      </c>
      <c r="BO30" s="111">
        <f t="shared" si="74"/>
        <v>0</v>
      </c>
      <c r="BP30" s="111">
        <f t="shared" si="74"/>
        <v>0</v>
      </c>
      <c r="BQ30" s="111">
        <f t="shared" si="74"/>
        <v>0</v>
      </c>
      <c r="BR30" s="111">
        <f t="shared" si="74"/>
        <v>0</v>
      </c>
      <c r="BS30" s="111">
        <f>BB30/SUM(O30:INDEX(O30:Q30,IF($B$2&lt;3,$B$2,3)))</f>
        <v>2.4736842105263159</v>
      </c>
      <c r="BT30" s="111">
        <f>BC30/SUM(R30:INDEX(R30:T30,IF($B$2&lt;7,$B$2-3,3)))</f>
        <v>2.3902439024390243</v>
      </c>
      <c r="BU30" s="111">
        <f t="shared" ref="BU30:BV39" si="75">BD30/AD30</f>
        <v>0.55000000000000004</v>
      </c>
      <c r="BV30" s="111">
        <f t="shared" si="75"/>
        <v>0</v>
      </c>
      <c r="BW30" s="111">
        <f t="shared" ref="BW30:BW39" si="76">BF30/AA30</f>
        <v>2.2765957446808511</v>
      </c>
    </row>
    <row r="31" spans="1:75" x14ac:dyDescent="0.25">
      <c r="A31" s="20" t="str">
        <f t="shared" ref="A31:A38" si="77">$B$29&amp;"_by_rookie_mdrt:"&amp;B31</f>
        <v># Active_by_rookie_mdrt:Rookie in month</v>
      </c>
      <c r="B31" t="s">
        <v>5</v>
      </c>
      <c r="C31">
        <v>77</v>
      </c>
      <c r="D31">
        <v>52</v>
      </c>
      <c r="E31">
        <v>79</v>
      </c>
      <c r="F31">
        <v>90</v>
      </c>
      <c r="G31">
        <v>86</v>
      </c>
      <c r="H31">
        <v>98</v>
      </c>
      <c r="I31">
        <v>147</v>
      </c>
      <c r="J31">
        <v>99</v>
      </c>
      <c r="K31">
        <v>190</v>
      </c>
      <c r="L31">
        <v>131</v>
      </c>
      <c r="M31">
        <v>256</v>
      </c>
      <c r="N31">
        <v>161</v>
      </c>
      <c r="O31">
        <v>46</v>
      </c>
      <c r="P31">
        <v>40</v>
      </c>
      <c r="Q31">
        <v>187</v>
      </c>
      <c r="R31">
        <v>175</v>
      </c>
      <c r="S31">
        <v>225</v>
      </c>
      <c r="T31">
        <v>460</v>
      </c>
      <c r="U31">
        <v>280</v>
      </c>
      <c r="V31">
        <v>334</v>
      </c>
      <c r="W31">
        <v>427</v>
      </c>
      <c r="X31">
        <f>[14]Actv!AD9</f>
        <v>345</v>
      </c>
      <c r="Y31">
        <f>[24]Actv!AE9</f>
        <v>280</v>
      </c>
      <c r="Z31" s="6">
        <f>[15]Actv!M31</f>
        <v>600</v>
      </c>
      <c r="AA31" s="22">
        <f>SUM(O31:INDEX(O31:Z31,$B$2))</f>
        <v>1413</v>
      </c>
      <c r="AB31" s="22">
        <f t="shared" ref="AB31:AB36" si="78">SUM(O31:Q31)</f>
        <v>273</v>
      </c>
      <c r="AC31" s="22">
        <f t="shared" ref="AC31:AC36" si="79">SUM(R31:T31)</f>
        <v>860</v>
      </c>
      <c r="AD31" s="22">
        <f t="shared" ref="AD31:AD36" si="80">SUM(U31:W31)</f>
        <v>1041</v>
      </c>
      <c r="AE31" s="22">
        <f t="shared" ref="AE31:AE36" si="81">SUM(X31:Z31)</f>
        <v>1225</v>
      </c>
      <c r="AF31" s="22">
        <f>SUM(C31                                                                                : INDEX(C31:N31,$B$2))</f>
        <v>629</v>
      </c>
      <c r="AG31" s="22">
        <f t="shared" si="69"/>
        <v>208</v>
      </c>
      <c r="AH31" s="22">
        <f t="shared" si="70"/>
        <v>274</v>
      </c>
      <c r="AI31" s="22">
        <f t="shared" si="71"/>
        <v>436</v>
      </c>
      <c r="AJ31" s="22">
        <f t="shared" si="72"/>
        <v>548</v>
      </c>
      <c r="AK31" s="31">
        <f t="shared" ref="AK31:AK39" si="82">AA31/AF31-1</f>
        <v>1.246422893481717</v>
      </c>
      <c r="AL31" s="31">
        <f t="shared" si="73"/>
        <v>0.3125</v>
      </c>
      <c r="AM31" s="31">
        <f t="shared" si="73"/>
        <v>2.1386861313868613</v>
      </c>
      <c r="AN31" s="31">
        <f t="shared" si="73"/>
        <v>1.3876146788990824</v>
      </c>
      <c r="AO31" s="31">
        <f>AE31/SUM(L31:INDEX(L31:N31,MOD($B$2,3)))-1</f>
        <v>8.3511450381679388</v>
      </c>
      <c r="AP31" s="22">
        <f>[16]Actv!M31</f>
        <v>113</v>
      </c>
      <c r="AQ31" s="22">
        <f>[17]Actv!M31</f>
        <v>203</v>
      </c>
      <c r="AR31" s="22">
        <f>[18]Actv!M31</f>
        <v>448</v>
      </c>
      <c r="AS31" s="22">
        <f>[19]Actv!M31</f>
        <v>317</v>
      </c>
      <c r="AT31" s="22">
        <f>[20]Actv!M31</f>
        <v>275</v>
      </c>
      <c r="AU31" s="22">
        <f>[21]Actv!M31</f>
        <v>706</v>
      </c>
      <c r="AV31" s="22">
        <f>[22]Actv!M31</f>
        <v>360</v>
      </c>
      <c r="AW31" s="18"/>
      <c r="AX31" s="18"/>
      <c r="AY31" s="18"/>
      <c r="AZ31" s="18"/>
      <c r="BA31" s="18"/>
      <c r="BB31" s="110">
        <f>SUM(AP31:INDEX(AP31:AR31,IF($B$2&lt;3,$B$2,3)))</f>
        <v>764</v>
      </c>
      <c r="BC31" s="110">
        <f>SUM(AS31:INDEX(AS31:AU31,IF($B$2&lt;7,$B$2-3,3)))</f>
        <v>1298</v>
      </c>
      <c r="BD31" s="110">
        <f>SUM(AV31:INDEX(AV31:AX31,IF(AND($B$2&gt;6,$B$2&lt;10),$B$2-6,0)))</f>
        <v>360</v>
      </c>
      <c r="BE31" s="110">
        <f>SUM(AY31:INDEX(AY31:BA31,IF($B$2&gt;9,$B$2-9,0)))</f>
        <v>0</v>
      </c>
      <c r="BF31" s="110">
        <f>SUM($AP31:INDEX(AP31:BA31,$B$2))</f>
        <v>2422</v>
      </c>
      <c r="BG31" s="122">
        <f t="shared" si="74"/>
        <v>2.4565217391304346</v>
      </c>
      <c r="BH31" s="111">
        <f t="shared" si="74"/>
        <v>5.0750000000000002</v>
      </c>
      <c r="BI31" s="111">
        <f t="shared" si="74"/>
        <v>2.3957219251336896</v>
      </c>
      <c r="BJ31" s="111">
        <f t="shared" si="74"/>
        <v>1.8114285714285714</v>
      </c>
      <c r="BK31" s="111">
        <f t="shared" si="74"/>
        <v>1.2222222222222223</v>
      </c>
      <c r="BL31" s="111">
        <f t="shared" si="74"/>
        <v>1.5347826086956522</v>
      </c>
      <c r="BM31" s="111">
        <f t="shared" si="74"/>
        <v>1.2857142857142858</v>
      </c>
      <c r="BN31" s="111">
        <f t="shared" si="74"/>
        <v>0</v>
      </c>
      <c r="BO31" s="111">
        <f t="shared" si="74"/>
        <v>0</v>
      </c>
      <c r="BP31" s="111">
        <f t="shared" si="74"/>
        <v>0</v>
      </c>
      <c r="BQ31" s="111">
        <f t="shared" si="74"/>
        <v>0</v>
      </c>
      <c r="BR31" s="111">
        <f t="shared" si="74"/>
        <v>0</v>
      </c>
      <c r="BS31" s="111">
        <f>BB31/SUM(O31:INDEX(O31:Q31,IF($B$2&lt;3,$B$2,3)))</f>
        <v>2.7985347985347984</v>
      </c>
      <c r="BT31" s="111">
        <f>BC31/SUM(R31:INDEX(R31:T31,IF($B$2&lt;7,$B$2-3,3)))</f>
        <v>1.5093023255813953</v>
      </c>
      <c r="BU31" s="111">
        <f t="shared" si="75"/>
        <v>0.345821325648415</v>
      </c>
      <c r="BV31" s="111">
        <f t="shared" si="75"/>
        <v>0</v>
      </c>
      <c r="BW31" s="111">
        <f t="shared" si="76"/>
        <v>1.7140835102618541</v>
      </c>
    </row>
    <row r="32" spans="1:75" x14ac:dyDescent="0.25">
      <c r="A32" s="20" t="str">
        <f t="shared" si="77"/>
        <v># Active_by_rookie_mdrt:Rookie last month</v>
      </c>
      <c r="B32" t="s">
        <v>6</v>
      </c>
      <c r="C32">
        <v>46</v>
      </c>
      <c r="D32">
        <v>64</v>
      </c>
      <c r="E32">
        <v>50</v>
      </c>
      <c r="F32">
        <v>68</v>
      </c>
      <c r="G32">
        <v>82</v>
      </c>
      <c r="H32">
        <v>78</v>
      </c>
      <c r="I32">
        <v>89</v>
      </c>
      <c r="J32">
        <v>83</v>
      </c>
      <c r="K32">
        <v>111</v>
      </c>
      <c r="L32">
        <v>140</v>
      </c>
      <c r="M32">
        <v>73</v>
      </c>
      <c r="N32">
        <v>195</v>
      </c>
      <c r="O32">
        <v>67</v>
      </c>
      <c r="P32">
        <v>42</v>
      </c>
      <c r="Q32">
        <v>25</v>
      </c>
      <c r="R32">
        <v>82</v>
      </c>
      <c r="S32">
        <v>103</v>
      </c>
      <c r="T32">
        <v>164</v>
      </c>
      <c r="U32">
        <v>215</v>
      </c>
      <c r="V32">
        <v>158</v>
      </c>
      <c r="W32">
        <v>239</v>
      </c>
      <c r="X32">
        <f>[14]Actv!AD10</f>
        <v>202</v>
      </c>
      <c r="Y32">
        <f>[24]Actv!AE10</f>
        <v>207</v>
      </c>
      <c r="Z32" s="6">
        <f>[15]Actv!M32</f>
        <v>271</v>
      </c>
      <c r="AA32" s="22">
        <f>SUM(O32:INDEX(O32:Z32,$B$2))</f>
        <v>698</v>
      </c>
      <c r="AB32" s="22">
        <f t="shared" si="78"/>
        <v>134</v>
      </c>
      <c r="AC32" s="22">
        <f t="shared" si="79"/>
        <v>349</v>
      </c>
      <c r="AD32" s="22">
        <f t="shared" si="80"/>
        <v>612</v>
      </c>
      <c r="AE32" s="22">
        <f t="shared" si="81"/>
        <v>680</v>
      </c>
      <c r="AF32" s="22">
        <f>SUM(C32                                                                                : INDEX(C32:N32,$B$2))</f>
        <v>477</v>
      </c>
      <c r="AG32" s="22">
        <f t="shared" si="69"/>
        <v>160</v>
      </c>
      <c r="AH32" s="22">
        <f t="shared" si="70"/>
        <v>228</v>
      </c>
      <c r="AI32" s="22">
        <f t="shared" si="71"/>
        <v>283</v>
      </c>
      <c r="AJ32" s="22">
        <f t="shared" si="72"/>
        <v>408</v>
      </c>
      <c r="AK32" s="31">
        <f t="shared" si="82"/>
        <v>0.4633123689727463</v>
      </c>
      <c r="AL32" s="31">
        <f t="shared" si="73"/>
        <v>-0.16249999999999998</v>
      </c>
      <c r="AM32" s="31">
        <f t="shared" si="73"/>
        <v>0.5307017543859649</v>
      </c>
      <c r="AN32" s="31">
        <f t="shared" si="73"/>
        <v>1.1625441696113072</v>
      </c>
      <c r="AO32" s="31">
        <f>AE32/SUM(L32:INDEX(L32:N32,MOD($B$2,3)))-1</f>
        <v>3.8571428571428568</v>
      </c>
      <c r="AP32" s="22">
        <f>[16]Actv!M32</f>
        <v>163</v>
      </c>
      <c r="AQ32" s="22">
        <f>[17]Actv!M32</f>
        <v>71</v>
      </c>
      <c r="AR32" s="22">
        <f>[18]Actv!M32</f>
        <v>179</v>
      </c>
      <c r="AS32" s="22">
        <f>[19]Actv!M32</f>
        <v>198</v>
      </c>
      <c r="AT32" s="22">
        <f>[20]Actv!M32</f>
        <v>137</v>
      </c>
      <c r="AU32" s="22">
        <f>[21]Actv!M32</f>
        <v>108</v>
      </c>
      <c r="AV32" s="22">
        <f>[22]Actv!M32</f>
        <v>180</v>
      </c>
      <c r="AW32" s="18"/>
      <c r="AX32" s="18"/>
      <c r="AY32" s="18"/>
      <c r="AZ32" s="18"/>
      <c r="BA32" s="18"/>
      <c r="BB32" s="110">
        <f>SUM(AP32:INDEX(AP32:AR32,IF($B$2&lt;3,$B$2,3)))</f>
        <v>413</v>
      </c>
      <c r="BC32" s="110">
        <f>SUM(AS32:INDEX(AS32:AU32,IF($B$2&lt;7,$B$2-3,3)))</f>
        <v>443</v>
      </c>
      <c r="BD32" s="110">
        <f>SUM(AV32:INDEX(AV32:AX32,IF(AND($B$2&gt;6,$B$2&lt;10),$B$2-6,0)))</f>
        <v>180</v>
      </c>
      <c r="BE32" s="110">
        <f>SUM(AY32:INDEX(AY32:BA32,IF($B$2&gt;9,$B$2-9,0)))</f>
        <v>0</v>
      </c>
      <c r="BF32" s="110">
        <f>SUM($AP32:INDEX(AP32:BA32,$B$2))</f>
        <v>1036</v>
      </c>
      <c r="BG32" s="122">
        <f t="shared" si="74"/>
        <v>2.4328358208955225</v>
      </c>
      <c r="BH32" s="111">
        <f t="shared" si="74"/>
        <v>1.6904761904761905</v>
      </c>
      <c r="BI32" s="111">
        <f t="shared" si="74"/>
        <v>7.16</v>
      </c>
      <c r="BJ32" s="111">
        <f t="shared" si="74"/>
        <v>2.4146341463414633</v>
      </c>
      <c r="BK32" s="111">
        <f t="shared" si="74"/>
        <v>1.3300970873786409</v>
      </c>
      <c r="BL32" s="111">
        <f t="shared" si="74"/>
        <v>0.65853658536585369</v>
      </c>
      <c r="BM32" s="111">
        <f t="shared" si="74"/>
        <v>0.83720930232558144</v>
      </c>
      <c r="BN32" s="111">
        <f t="shared" si="74"/>
        <v>0</v>
      </c>
      <c r="BO32" s="111">
        <f t="shared" si="74"/>
        <v>0</v>
      </c>
      <c r="BP32" s="111">
        <f t="shared" si="74"/>
        <v>0</v>
      </c>
      <c r="BQ32" s="111">
        <f t="shared" si="74"/>
        <v>0</v>
      </c>
      <c r="BR32" s="111">
        <f t="shared" si="74"/>
        <v>0</v>
      </c>
      <c r="BS32" s="111">
        <f>BB32/SUM(O32:INDEX(O32:Q32,IF($B$2&lt;3,$B$2,3)))</f>
        <v>3.0820895522388061</v>
      </c>
      <c r="BT32" s="111">
        <f>BC32/SUM(R32:INDEX(R32:T32,IF($B$2&lt;7,$B$2-3,3)))</f>
        <v>1.2693409742120343</v>
      </c>
      <c r="BU32" s="111">
        <f t="shared" si="75"/>
        <v>0.29411764705882354</v>
      </c>
      <c r="BV32" s="111">
        <f t="shared" si="75"/>
        <v>0</v>
      </c>
      <c r="BW32" s="111">
        <f t="shared" si="76"/>
        <v>1.484240687679083</v>
      </c>
    </row>
    <row r="33" spans="1:75" x14ac:dyDescent="0.25">
      <c r="A33" s="20" t="str">
        <f t="shared" si="77"/>
        <v># Active_by_rookie_mdrt:2-3 months</v>
      </c>
      <c r="B33" t="s">
        <v>7</v>
      </c>
      <c r="C33">
        <v>64</v>
      </c>
      <c r="D33">
        <v>54</v>
      </c>
      <c r="E33">
        <v>84</v>
      </c>
      <c r="F33">
        <v>58</v>
      </c>
      <c r="G33">
        <v>64</v>
      </c>
      <c r="H33">
        <v>119</v>
      </c>
      <c r="I33">
        <v>111</v>
      </c>
      <c r="J33">
        <v>86</v>
      </c>
      <c r="K33">
        <v>160</v>
      </c>
      <c r="L33">
        <v>134</v>
      </c>
      <c r="M33">
        <v>159</v>
      </c>
      <c r="N33">
        <v>169</v>
      </c>
      <c r="O33">
        <v>97</v>
      </c>
      <c r="P33">
        <v>121</v>
      </c>
      <c r="Q33">
        <v>96</v>
      </c>
      <c r="R33">
        <v>37</v>
      </c>
      <c r="S33">
        <v>70</v>
      </c>
      <c r="T33">
        <v>151</v>
      </c>
      <c r="U33">
        <v>130</v>
      </c>
      <c r="V33">
        <v>231</v>
      </c>
      <c r="W33">
        <v>271</v>
      </c>
      <c r="X33">
        <f>[14]Actv!AD11</f>
        <v>179</v>
      </c>
      <c r="Y33">
        <f>[24]Actv!AE11</f>
        <v>216</v>
      </c>
      <c r="Z33" s="6">
        <f>[15]Actv!M33</f>
        <v>328</v>
      </c>
      <c r="AA33" s="22">
        <f>SUM(O33:INDEX(O33:Z33,$B$2))</f>
        <v>702</v>
      </c>
      <c r="AB33" s="22">
        <f t="shared" si="78"/>
        <v>314</v>
      </c>
      <c r="AC33" s="22">
        <f t="shared" si="79"/>
        <v>258</v>
      </c>
      <c r="AD33" s="22">
        <f t="shared" si="80"/>
        <v>632</v>
      </c>
      <c r="AE33" s="22">
        <f t="shared" si="81"/>
        <v>723</v>
      </c>
      <c r="AF33" s="22">
        <f>SUM(C33                                                                                : INDEX(C33:N33,$B$2))</f>
        <v>554</v>
      </c>
      <c r="AG33" s="22">
        <f t="shared" si="69"/>
        <v>202</v>
      </c>
      <c r="AH33" s="22">
        <f t="shared" si="70"/>
        <v>241</v>
      </c>
      <c r="AI33" s="22">
        <f t="shared" si="71"/>
        <v>357</v>
      </c>
      <c r="AJ33" s="22">
        <f t="shared" si="72"/>
        <v>462</v>
      </c>
      <c r="AK33" s="31">
        <f t="shared" si="82"/>
        <v>0.26714801444043323</v>
      </c>
      <c r="AL33" s="31">
        <f t="shared" si="73"/>
        <v>0.5544554455445545</v>
      </c>
      <c r="AM33" s="31">
        <f t="shared" si="73"/>
        <v>7.0539419087136901E-2</v>
      </c>
      <c r="AN33" s="31">
        <f t="shared" si="73"/>
        <v>0.77030812324929965</v>
      </c>
      <c r="AO33" s="31">
        <f>AE33/SUM(L33:INDEX(L33:N33,MOD($B$2,3)))-1</f>
        <v>4.3955223880597014</v>
      </c>
      <c r="AP33" s="22">
        <f>[16]Actv!M33</f>
        <v>154</v>
      </c>
      <c r="AQ33" s="22">
        <f>[17]Actv!M33</f>
        <v>299</v>
      </c>
      <c r="AR33" s="22">
        <f>[18]Actv!M33</f>
        <v>194</v>
      </c>
      <c r="AS33" s="22">
        <f>[19]Actv!M33</f>
        <v>149</v>
      </c>
      <c r="AT33" s="22">
        <f>[20]Actv!M33</f>
        <v>166</v>
      </c>
      <c r="AU33" s="22">
        <f>[21]Actv!M33</f>
        <v>139</v>
      </c>
      <c r="AV33" s="22">
        <f>[22]Actv!M33</f>
        <v>115</v>
      </c>
      <c r="AW33" s="18"/>
      <c r="AX33" s="18"/>
      <c r="AY33" s="18"/>
      <c r="AZ33" s="18"/>
      <c r="BA33" s="18"/>
      <c r="BB33" s="110">
        <f>SUM(AP33:INDEX(AP33:AR33,IF($B$2&lt;3,$B$2,3)))</f>
        <v>647</v>
      </c>
      <c r="BC33" s="110">
        <f>SUM(AS33:INDEX(AS33:AU33,IF($B$2&lt;7,$B$2-3,3)))</f>
        <v>454</v>
      </c>
      <c r="BD33" s="110">
        <f>SUM(AV33:INDEX(AV33:AX33,IF(AND($B$2&gt;6,$B$2&lt;10),$B$2-6,0)))</f>
        <v>115</v>
      </c>
      <c r="BE33" s="110">
        <f>SUM(AY33:INDEX(AY33:BA33,IF($B$2&gt;9,$B$2-9,0)))</f>
        <v>0</v>
      </c>
      <c r="BF33" s="110">
        <f>SUM($AP33:INDEX(AP33:BA33,$B$2))</f>
        <v>1216</v>
      </c>
      <c r="BG33" s="122">
        <f t="shared" si="74"/>
        <v>1.5876288659793814</v>
      </c>
      <c r="BH33" s="111">
        <f t="shared" si="74"/>
        <v>2.4710743801652892</v>
      </c>
      <c r="BI33" s="111">
        <f t="shared" si="74"/>
        <v>2.0208333333333335</v>
      </c>
      <c r="BJ33" s="111">
        <f t="shared" si="74"/>
        <v>4.0270270270270272</v>
      </c>
      <c r="BK33" s="111">
        <f t="shared" si="74"/>
        <v>2.3714285714285714</v>
      </c>
      <c r="BL33" s="111">
        <f t="shared" si="74"/>
        <v>0.92052980132450335</v>
      </c>
      <c r="BM33" s="111">
        <f t="shared" si="74"/>
        <v>0.88461538461538458</v>
      </c>
      <c r="BN33" s="111">
        <f t="shared" si="74"/>
        <v>0</v>
      </c>
      <c r="BO33" s="111">
        <f t="shared" si="74"/>
        <v>0</v>
      </c>
      <c r="BP33" s="111">
        <f t="shared" si="74"/>
        <v>0</v>
      </c>
      <c r="BQ33" s="111">
        <f t="shared" si="74"/>
        <v>0</v>
      </c>
      <c r="BR33" s="111">
        <f t="shared" si="74"/>
        <v>0</v>
      </c>
      <c r="BS33" s="111">
        <f>BB33/SUM(O33:INDEX(O33:Q33,IF($B$2&lt;3,$B$2,3)))</f>
        <v>2.0605095541401273</v>
      </c>
      <c r="BT33" s="111">
        <f>BC33/SUM(R33:INDEX(R33:T33,IF($B$2&lt;7,$B$2-3,3)))</f>
        <v>1.7596899224806202</v>
      </c>
      <c r="BU33" s="111">
        <f t="shared" si="75"/>
        <v>0.18196202531645569</v>
      </c>
      <c r="BV33" s="111">
        <f t="shared" si="75"/>
        <v>0</v>
      </c>
      <c r="BW33" s="111">
        <f t="shared" si="76"/>
        <v>1.7321937321937322</v>
      </c>
    </row>
    <row r="34" spans="1:75" x14ac:dyDescent="0.25">
      <c r="A34" s="20" t="str">
        <f t="shared" si="77"/>
        <v># Active_by_rookie_mdrt:4 - 6 mths</v>
      </c>
      <c r="B34" t="s">
        <v>8</v>
      </c>
      <c r="C34">
        <v>30</v>
      </c>
      <c r="D34">
        <v>30</v>
      </c>
      <c r="E34">
        <v>66</v>
      </c>
      <c r="F34">
        <v>62</v>
      </c>
      <c r="G34">
        <v>85</v>
      </c>
      <c r="H34">
        <v>73</v>
      </c>
      <c r="I34">
        <v>61</v>
      </c>
      <c r="J34">
        <v>57</v>
      </c>
      <c r="K34">
        <v>123</v>
      </c>
      <c r="L34">
        <v>93</v>
      </c>
      <c r="M34">
        <v>108</v>
      </c>
      <c r="N34">
        <v>108</v>
      </c>
      <c r="O34">
        <v>88</v>
      </c>
      <c r="P34">
        <v>86</v>
      </c>
      <c r="Q34">
        <v>172</v>
      </c>
      <c r="R34">
        <v>108</v>
      </c>
      <c r="S34">
        <v>83</v>
      </c>
      <c r="T34">
        <v>64</v>
      </c>
      <c r="U34">
        <v>52</v>
      </c>
      <c r="V34">
        <v>75</v>
      </c>
      <c r="W34">
        <v>98</v>
      </c>
      <c r="X34">
        <f>[14]Actv!AD12</f>
        <v>115</v>
      </c>
      <c r="Y34">
        <f>[24]Actv!AE12</f>
        <v>108</v>
      </c>
      <c r="Z34" s="6">
        <f>[15]Actv!M34</f>
        <v>230</v>
      </c>
      <c r="AA34" s="22">
        <f>SUM(O34:INDEX(O34:Z34,$B$2))</f>
        <v>653</v>
      </c>
      <c r="AB34" s="22">
        <f t="shared" si="78"/>
        <v>346</v>
      </c>
      <c r="AC34" s="22">
        <f t="shared" si="79"/>
        <v>255</v>
      </c>
      <c r="AD34" s="22">
        <f t="shared" si="80"/>
        <v>225</v>
      </c>
      <c r="AE34" s="22">
        <f t="shared" si="81"/>
        <v>453</v>
      </c>
      <c r="AF34" s="22">
        <f>SUM(C34                                                                                : INDEX(C34:N34,$B$2))</f>
        <v>407</v>
      </c>
      <c r="AG34" s="22">
        <f t="shared" si="69"/>
        <v>126</v>
      </c>
      <c r="AH34" s="22">
        <f t="shared" si="70"/>
        <v>220</v>
      </c>
      <c r="AI34" s="22">
        <f t="shared" si="71"/>
        <v>241</v>
      </c>
      <c r="AJ34" s="22">
        <f t="shared" si="72"/>
        <v>309</v>
      </c>
      <c r="AK34" s="31">
        <f t="shared" si="82"/>
        <v>0.60442260442260443</v>
      </c>
      <c r="AL34" s="31">
        <f t="shared" si="73"/>
        <v>1.746031746031746</v>
      </c>
      <c r="AM34" s="31">
        <f t="shared" si="73"/>
        <v>0.15909090909090917</v>
      </c>
      <c r="AN34" s="31">
        <f t="shared" si="73"/>
        <v>-6.639004149377592E-2</v>
      </c>
      <c r="AO34" s="31">
        <f>AE34/SUM(L34:INDEX(L34:N34,MOD($B$2,3)))-1</f>
        <v>3.870967741935484</v>
      </c>
      <c r="AP34" s="22">
        <f>[16]Actv!M34</f>
        <v>105</v>
      </c>
      <c r="AQ34" s="22">
        <f>[17]Actv!M34</f>
        <v>168</v>
      </c>
      <c r="AR34" s="22">
        <f>[18]Actv!M34</f>
        <v>214</v>
      </c>
      <c r="AS34" s="22">
        <f>[19]Actv!M34</f>
        <v>202</v>
      </c>
      <c r="AT34" s="22">
        <f>[20]Actv!M34</f>
        <v>108</v>
      </c>
      <c r="AU34" s="22">
        <f>[21]Actv!M34</f>
        <v>89</v>
      </c>
      <c r="AV34" s="22">
        <f>[22]Actv!M34</f>
        <v>74</v>
      </c>
      <c r="AW34" s="18"/>
      <c r="AX34" s="18"/>
      <c r="AY34" s="18"/>
      <c r="AZ34" s="18"/>
      <c r="BA34" s="18"/>
      <c r="BB34" s="110">
        <f>SUM(AP34:INDEX(AP34:AR34,IF($B$2&lt;3,$B$2,3)))</f>
        <v>487</v>
      </c>
      <c r="BC34" s="110">
        <f>SUM(AS34:INDEX(AS34:AU34,IF($B$2&lt;7,$B$2-3,3)))</f>
        <v>399</v>
      </c>
      <c r="BD34" s="110">
        <f>SUM(AV34:INDEX(AV34:AX34,IF(AND($B$2&gt;6,$B$2&lt;10),$B$2-6,0)))</f>
        <v>74</v>
      </c>
      <c r="BE34" s="110">
        <f>SUM(AY34:INDEX(AY34:BA34,IF($B$2&gt;9,$B$2-9,0)))</f>
        <v>0</v>
      </c>
      <c r="BF34" s="110">
        <f>SUM($AP34:INDEX(AP34:BA34,$B$2))</f>
        <v>960</v>
      </c>
      <c r="BG34" s="122">
        <f t="shared" si="74"/>
        <v>1.1931818181818181</v>
      </c>
      <c r="BH34" s="111">
        <f t="shared" si="74"/>
        <v>1.9534883720930232</v>
      </c>
      <c r="BI34" s="111">
        <f t="shared" si="74"/>
        <v>1.2441860465116279</v>
      </c>
      <c r="BJ34" s="111">
        <f t="shared" si="74"/>
        <v>1.8703703703703705</v>
      </c>
      <c r="BK34" s="111">
        <f t="shared" si="74"/>
        <v>1.3012048192771084</v>
      </c>
      <c r="BL34" s="111">
        <f t="shared" si="74"/>
        <v>1.390625</v>
      </c>
      <c r="BM34" s="111">
        <f t="shared" si="74"/>
        <v>1.4230769230769231</v>
      </c>
      <c r="BN34" s="111">
        <f t="shared" si="74"/>
        <v>0</v>
      </c>
      <c r="BO34" s="111">
        <f t="shared" si="74"/>
        <v>0</v>
      </c>
      <c r="BP34" s="111">
        <f t="shared" si="74"/>
        <v>0</v>
      </c>
      <c r="BQ34" s="111">
        <f t="shared" si="74"/>
        <v>0</v>
      </c>
      <c r="BR34" s="111">
        <f t="shared" si="74"/>
        <v>0</v>
      </c>
      <c r="BS34" s="111">
        <f>BB34/SUM(O34:INDEX(O34:Q34,IF($B$2&lt;3,$B$2,3)))</f>
        <v>1.4075144508670521</v>
      </c>
      <c r="BT34" s="111">
        <f>BC34/SUM(R34:INDEX(R34:T34,IF($B$2&lt;7,$B$2-3,3)))</f>
        <v>1.5647058823529412</v>
      </c>
      <c r="BU34" s="111">
        <f t="shared" si="75"/>
        <v>0.3288888888888889</v>
      </c>
      <c r="BV34" s="111">
        <f t="shared" si="75"/>
        <v>0</v>
      </c>
      <c r="BW34" s="111">
        <f t="shared" si="76"/>
        <v>1.4701378254211332</v>
      </c>
    </row>
    <row r="35" spans="1:75" x14ac:dyDescent="0.25">
      <c r="A35" s="20" t="str">
        <f t="shared" si="77"/>
        <v># Active_by_rookie_mdrt:7-12mth</v>
      </c>
      <c r="B35" t="s">
        <v>1</v>
      </c>
      <c r="C35">
        <v>32</v>
      </c>
      <c r="D35">
        <v>27</v>
      </c>
      <c r="E35">
        <v>42</v>
      </c>
      <c r="F35">
        <v>52</v>
      </c>
      <c r="G35">
        <v>67</v>
      </c>
      <c r="H35">
        <v>59</v>
      </c>
      <c r="I35">
        <v>60</v>
      </c>
      <c r="J35">
        <v>51</v>
      </c>
      <c r="K35">
        <v>112</v>
      </c>
      <c r="L35">
        <v>93</v>
      </c>
      <c r="M35">
        <v>93</v>
      </c>
      <c r="N35">
        <v>110</v>
      </c>
      <c r="O35">
        <v>54</v>
      </c>
      <c r="P35">
        <v>66</v>
      </c>
      <c r="Q35">
        <v>108</v>
      </c>
      <c r="R35">
        <v>107</v>
      </c>
      <c r="S35">
        <v>117</v>
      </c>
      <c r="T35">
        <v>142</v>
      </c>
      <c r="U35">
        <v>86</v>
      </c>
      <c r="V35">
        <v>63</v>
      </c>
      <c r="W35">
        <v>77</v>
      </c>
      <c r="X35">
        <f>[14]Actv!AD13</f>
        <v>47</v>
      </c>
      <c r="Y35">
        <f>[24]Actv!AE13</f>
        <v>63</v>
      </c>
      <c r="Z35" s="6">
        <f>[15]Actv!M35</f>
        <v>136</v>
      </c>
      <c r="AA35" s="22">
        <f>SUM(O35:INDEX(O35:Z35,$B$2))</f>
        <v>680</v>
      </c>
      <c r="AB35" s="22">
        <f t="shared" si="78"/>
        <v>228</v>
      </c>
      <c r="AC35" s="22">
        <f t="shared" si="79"/>
        <v>366</v>
      </c>
      <c r="AD35" s="22">
        <f t="shared" si="80"/>
        <v>226</v>
      </c>
      <c r="AE35" s="22">
        <f t="shared" si="81"/>
        <v>246</v>
      </c>
      <c r="AF35" s="22">
        <f>SUM(C35                                                                                : INDEX(C35:N35,$B$2))</f>
        <v>339</v>
      </c>
      <c r="AG35" s="22">
        <f t="shared" si="69"/>
        <v>101</v>
      </c>
      <c r="AH35" s="22">
        <f t="shared" si="70"/>
        <v>178</v>
      </c>
      <c r="AI35" s="22">
        <f t="shared" si="71"/>
        <v>223</v>
      </c>
      <c r="AJ35" s="22">
        <f t="shared" si="72"/>
        <v>296</v>
      </c>
      <c r="AK35" s="31">
        <f t="shared" si="82"/>
        <v>1.0058997050147491</v>
      </c>
      <c r="AL35" s="31">
        <f t="shared" si="73"/>
        <v>1.2574257425742572</v>
      </c>
      <c r="AM35" s="31">
        <f t="shared" si="73"/>
        <v>1.0561797752808988</v>
      </c>
      <c r="AN35" s="31">
        <f t="shared" si="73"/>
        <v>1.3452914798206317E-2</v>
      </c>
      <c r="AO35" s="31">
        <f>AE35/SUM(L35:INDEX(L35:N35,MOD($B$2,3)))-1</f>
        <v>1.6451612903225805</v>
      </c>
      <c r="AP35" s="22">
        <f>[16]Actv!M35</f>
        <v>45</v>
      </c>
      <c r="AQ35" s="22">
        <f>[17]Actv!M35</f>
        <v>73</v>
      </c>
      <c r="AR35" s="22">
        <f>[18]Actv!M35</f>
        <v>111</v>
      </c>
      <c r="AS35" s="22">
        <f>[19]Actv!M35</f>
        <v>122</v>
      </c>
      <c r="AT35" s="22">
        <f>[20]Actv!M35</f>
        <v>84</v>
      </c>
      <c r="AU35" s="22">
        <f>[21]Actv!M35</f>
        <v>93</v>
      </c>
      <c r="AV35" s="22">
        <f>[22]Actv!M35</f>
        <v>80</v>
      </c>
      <c r="AW35" s="18"/>
      <c r="AX35" s="18"/>
      <c r="AY35" s="18"/>
      <c r="AZ35" s="18"/>
      <c r="BA35" s="18"/>
      <c r="BB35" s="110">
        <f>SUM(AP35:INDEX(AP35:AR35,IF($B$2&lt;3,$B$2,3)))</f>
        <v>229</v>
      </c>
      <c r="BC35" s="110">
        <f>SUM(AS35:INDEX(AS35:AU35,IF($B$2&lt;7,$B$2-3,3)))</f>
        <v>299</v>
      </c>
      <c r="BD35" s="110">
        <f>SUM(AV35:INDEX(AV35:AX35,IF(AND($B$2&gt;6,$B$2&lt;10),$B$2-6,0)))</f>
        <v>80</v>
      </c>
      <c r="BE35" s="110">
        <f>SUM(AY35:INDEX(AY35:BA35,IF($B$2&gt;9,$B$2-9,0)))</f>
        <v>0</v>
      </c>
      <c r="BF35" s="110">
        <f>SUM($AP35:INDEX(AP35:BA35,$B$2))</f>
        <v>608</v>
      </c>
      <c r="BG35" s="122">
        <f t="shared" si="74"/>
        <v>0.83333333333333337</v>
      </c>
      <c r="BH35" s="111">
        <f t="shared" si="74"/>
        <v>1.106060606060606</v>
      </c>
      <c r="BI35" s="111">
        <f t="shared" si="74"/>
        <v>1.0277777777777777</v>
      </c>
      <c r="BJ35" s="111">
        <f t="shared" si="74"/>
        <v>1.1401869158878504</v>
      </c>
      <c r="BK35" s="111">
        <f t="shared" si="74"/>
        <v>0.71794871794871795</v>
      </c>
      <c r="BL35" s="111">
        <f t="shared" si="74"/>
        <v>0.65492957746478875</v>
      </c>
      <c r="BM35" s="111">
        <f t="shared" si="74"/>
        <v>0.93023255813953487</v>
      </c>
      <c r="BN35" s="111">
        <f t="shared" si="74"/>
        <v>0</v>
      </c>
      <c r="BO35" s="111">
        <f t="shared" si="74"/>
        <v>0</v>
      </c>
      <c r="BP35" s="111">
        <f t="shared" si="74"/>
        <v>0</v>
      </c>
      <c r="BQ35" s="111">
        <f t="shared" si="74"/>
        <v>0</v>
      </c>
      <c r="BR35" s="111">
        <f t="shared" si="74"/>
        <v>0</v>
      </c>
      <c r="BS35" s="111">
        <f>BB35/SUM(O35:INDEX(O35:Q35,IF($B$2&lt;3,$B$2,3)))</f>
        <v>1.0043859649122806</v>
      </c>
      <c r="BT35" s="111">
        <f>BC35/SUM(R35:INDEX(R35:T35,IF($B$2&lt;7,$B$2-3,3)))</f>
        <v>0.81693989071038253</v>
      </c>
      <c r="BU35" s="111">
        <f t="shared" si="75"/>
        <v>0.35398230088495575</v>
      </c>
      <c r="BV35" s="111">
        <f t="shared" si="75"/>
        <v>0</v>
      </c>
      <c r="BW35" s="111">
        <f t="shared" si="76"/>
        <v>0.89411764705882357</v>
      </c>
    </row>
    <row r="36" spans="1:75" x14ac:dyDescent="0.25">
      <c r="A36" s="20" t="str">
        <f t="shared" si="77"/>
        <v># Active_by_rookie_mdrt:13+mth</v>
      </c>
      <c r="B36" t="s">
        <v>2</v>
      </c>
      <c r="C36">
        <v>2</v>
      </c>
      <c r="D36">
        <v>6</v>
      </c>
      <c r="E36">
        <v>4</v>
      </c>
      <c r="F36">
        <v>3</v>
      </c>
      <c r="G36">
        <v>15</v>
      </c>
      <c r="H36">
        <v>13</v>
      </c>
      <c r="I36">
        <v>20</v>
      </c>
      <c r="J36">
        <v>22</v>
      </c>
      <c r="K36">
        <v>52</v>
      </c>
      <c r="L36">
        <v>26</v>
      </c>
      <c r="M36">
        <v>54</v>
      </c>
      <c r="N36">
        <v>50</v>
      </c>
      <c r="O36">
        <v>30</v>
      </c>
      <c r="P36">
        <v>24</v>
      </c>
      <c r="Q36">
        <v>49</v>
      </c>
      <c r="R36">
        <v>31</v>
      </c>
      <c r="S36">
        <v>52</v>
      </c>
      <c r="T36">
        <v>69</v>
      </c>
      <c r="U36">
        <v>53</v>
      </c>
      <c r="V36">
        <v>83</v>
      </c>
      <c r="W36">
        <v>78</v>
      </c>
      <c r="X36">
        <f>[14]Actv!AD14</f>
        <v>91</v>
      </c>
      <c r="Y36">
        <f>[24]Actv!AE14</f>
        <v>80</v>
      </c>
      <c r="Z36" s="6">
        <f>[15]Actv!M36</f>
        <v>120</v>
      </c>
      <c r="AA36" s="22">
        <f>SUM(O36:INDEX(O36:Z36,$B$2))</f>
        <v>308</v>
      </c>
      <c r="AB36" s="22">
        <f t="shared" si="78"/>
        <v>103</v>
      </c>
      <c r="AC36" s="22">
        <f t="shared" si="79"/>
        <v>152</v>
      </c>
      <c r="AD36" s="22">
        <f t="shared" si="80"/>
        <v>214</v>
      </c>
      <c r="AE36" s="22">
        <f t="shared" si="81"/>
        <v>291</v>
      </c>
      <c r="AF36" s="22">
        <f>SUM(C36                                                                                : INDEX(C36:N36,$B$2))</f>
        <v>63</v>
      </c>
      <c r="AG36" s="22">
        <f t="shared" si="69"/>
        <v>12</v>
      </c>
      <c r="AH36" s="22">
        <f t="shared" si="70"/>
        <v>31</v>
      </c>
      <c r="AI36" s="22">
        <f t="shared" si="71"/>
        <v>94</v>
      </c>
      <c r="AJ36" s="22">
        <f t="shared" si="72"/>
        <v>130</v>
      </c>
      <c r="AK36" s="31">
        <f t="shared" si="82"/>
        <v>3.8888888888888893</v>
      </c>
      <c r="AL36" s="31">
        <f t="shared" si="73"/>
        <v>7.5833333333333339</v>
      </c>
      <c r="AM36" s="31">
        <f t="shared" si="73"/>
        <v>3.903225806451613</v>
      </c>
      <c r="AN36" s="31">
        <f t="shared" si="73"/>
        <v>1.2765957446808511</v>
      </c>
      <c r="AO36" s="31">
        <f>AE36/SUM(L36:INDEX(L36:N36,MOD($B$2,3)))-1</f>
        <v>10.192307692307692</v>
      </c>
      <c r="AP36" s="22">
        <f>[16]Actv!M36</f>
        <v>55</v>
      </c>
      <c r="AQ36" s="22">
        <f>[17]Actv!M36</f>
        <v>71</v>
      </c>
      <c r="AR36" s="22">
        <f>[18]Actv!M36</f>
        <v>67</v>
      </c>
      <c r="AS36" s="22">
        <f>[19]Actv!M36</f>
        <v>74</v>
      </c>
      <c r="AT36" s="22">
        <f>[20]Actv!M36</f>
        <v>63</v>
      </c>
      <c r="AU36" s="22">
        <f>[21]Actv!M36</f>
        <v>60</v>
      </c>
      <c r="AV36" s="22">
        <f>[22]Actv!M36</f>
        <v>60</v>
      </c>
      <c r="AW36" s="18"/>
      <c r="AX36" s="18"/>
      <c r="AY36" s="18"/>
      <c r="AZ36" s="18"/>
      <c r="BA36" s="18"/>
      <c r="BB36" s="110">
        <f>SUM(AP36:INDEX(AP36:AR36,IF($B$2&lt;3,$B$2,3)))</f>
        <v>193</v>
      </c>
      <c r="BC36" s="110">
        <f>SUM(AS36:INDEX(AS36:AU36,IF($B$2&lt;7,$B$2-3,3)))</f>
        <v>197</v>
      </c>
      <c r="BD36" s="110">
        <f>SUM(AV36:INDEX(AV36:AX36,IF(AND($B$2&gt;6,$B$2&lt;10),$B$2-6,0)))</f>
        <v>60</v>
      </c>
      <c r="BE36" s="110">
        <f>SUM(AY36:INDEX(AY36:BA36,IF($B$2&gt;9,$B$2-9,0)))</f>
        <v>0</v>
      </c>
      <c r="BF36" s="110">
        <f>SUM($AP36:INDEX(AP36:BA36,$B$2))</f>
        <v>450</v>
      </c>
      <c r="BG36" s="122">
        <f t="shared" si="74"/>
        <v>1.8333333333333333</v>
      </c>
      <c r="BH36" s="111">
        <f t="shared" si="74"/>
        <v>2.9583333333333335</v>
      </c>
      <c r="BI36" s="111">
        <f t="shared" si="74"/>
        <v>1.3673469387755102</v>
      </c>
      <c r="BJ36" s="111">
        <f t="shared" si="74"/>
        <v>2.3870967741935485</v>
      </c>
      <c r="BK36" s="111">
        <f t="shared" si="74"/>
        <v>1.2115384615384615</v>
      </c>
      <c r="BL36" s="111">
        <f t="shared" si="74"/>
        <v>0.86956521739130432</v>
      </c>
      <c r="BM36" s="111">
        <f t="shared" si="74"/>
        <v>1.1320754716981132</v>
      </c>
      <c r="BN36" s="111">
        <f t="shared" si="74"/>
        <v>0</v>
      </c>
      <c r="BO36" s="111">
        <f t="shared" si="74"/>
        <v>0</v>
      </c>
      <c r="BP36" s="111">
        <f t="shared" si="74"/>
        <v>0</v>
      </c>
      <c r="BQ36" s="111">
        <f t="shared" si="74"/>
        <v>0</v>
      </c>
      <c r="BR36" s="111">
        <f t="shared" si="74"/>
        <v>0</v>
      </c>
      <c r="BS36" s="111">
        <f>BB36/SUM(O36:INDEX(O36:Q36,IF($B$2&lt;3,$B$2,3)))</f>
        <v>1.8737864077669903</v>
      </c>
      <c r="BT36" s="111">
        <f>BC36/SUM(R36:INDEX(R36:T36,IF($B$2&lt;7,$B$2-3,3)))</f>
        <v>1.2960526315789473</v>
      </c>
      <c r="BU36" s="111">
        <f t="shared" si="75"/>
        <v>0.28037383177570091</v>
      </c>
      <c r="BV36" s="111">
        <f t="shared" si="75"/>
        <v>0</v>
      </c>
      <c r="BW36" s="111">
        <f t="shared" si="76"/>
        <v>1.4610389610389611</v>
      </c>
    </row>
    <row r="37" spans="1:75" x14ac:dyDescent="0.25">
      <c r="A37" s="20" t="str">
        <f t="shared" si="77"/>
        <v># Active_by_rookie_mdrt:SA</v>
      </c>
      <c r="B37" s="135" t="s">
        <v>136</v>
      </c>
      <c r="Z37" s="6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31"/>
      <c r="AL37" s="31"/>
      <c r="AM37" s="31"/>
      <c r="AN37" s="31"/>
      <c r="AO37" s="31"/>
      <c r="AP37" s="22"/>
      <c r="AQ37" s="22">
        <f>[17]Actv!M37</f>
        <v>67</v>
      </c>
      <c r="AR37" s="22">
        <f>[18]Actv!M37</f>
        <v>45</v>
      </c>
      <c r="AS37" s="22">
        <f>[19]Actv!M37</f>
        <v>115</v>
      </c>
      <c r="AT37" s="22">
        <f>[20]Actv!M37</f>
        <v>44</v>
      </c>
      <c r="AU37" s="22">
        <f>[21]Actv!M37</f>
        <v>42</v>
      </c>
      <c r="AV37" s="22">
        <f>[22]Actv!M37</f>
        <v>32</v>
      </c>
      <c r="AW37" s="18"/>
      <c r="AX37" s="18"/>
      <c r="AY37" s="18"/>
      <c r="AZ37" s="18"/>
      <c r="BA37" s="18"/>
      <c r="BB37" s="110">
        <f>SUM(AP37:INDEX(AP37:AR37,IF($B$2&lt;3,$B$2,3)))</f>
        <v>112</v>
      </c>
      <c r="BC37" s="110">
        <f>SUM(AS37:INDEX(AS37:AU37,IF($B$2&lt;7,$B$2-3,3)))</f>
        <v>201</v>
      </c>
      <c r="BD37" s="110">
        <f>SUM(AV37:INDEX(AV37:AX37,IF(AND($B$2&gt;6,$B$2&lt;10),$B$2-6,0)))</f>
        <v>32</v>
      </c>
      <c r="BE37" s="110"/>
      <c r="BF37" s="110">
        <f>SUM($AP37:INDEX(AP37:BA37,$B$2))</f>
        <v>345</v>
      </c>
      <c r="BG37" s="122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</row>
    <row r="38" spans="1:75" s="19" customFormat="1" x14ac:dyDescent="0.25">
      <c r="A38" s="20" t="str">
        <f t="shared" si="77"/>
        <v># Active_by_rookie_mdrt:Total (excl. SA)</v>
      </c>
      <c r="B38" s="1" t="s">
        <v>137</v>
      </c>
      <c r="C38" s="7">
        <f>SUM(C30:C36)</f>
        <v>262</v>
      </c>
      <c r="D38" s="7">
        <f t="shared" ref="D38:Z38" si="83">SUM(D30:D36)</f>
        <v>238</v>
      </c>
      <c r="E38" s="7">
        <f t="shared" si="83"/>
        <v>336</v>
      </c>
      <c r="F38" s="7">
        <f t="shared" si="83"/>
        <v>344</v>
      </c>
      <c r="G38" s="7">
        <f t="shared" si="83"/>
        <v>415</v>
      </c>
      <c r="H38" s="7">
        <f t="shared" si="83"/>
        <v>453</v>
      </c>
      <c r="I38" s="7">
        <f t="shared" si="83"/>
        <v>502</v>
      </c>
      <c r="J38" s="7">
        <f t="shared" si="83"/>
        <v>411</v>
      </c>
      <c r="K38" s="7">
        <f t="shared" si="83"/>
        <v>765</v>
      </c>
      <c r="L38" s="7">
        <f t="shared" si="83"/>
        <v>636</v>
      </c>
      <c r="M38" s="7">
        <f t="shared" si="83"/>
        <v>755</v>
      </c>
      <c r="N38" s="7">
        <f t="shared" si="83"/>
        <v>808</v>
      </c>
      <c r="O38" s="7">
        <f t="shared" si="83"/>
        <v>394</v>
      </c>
      <c r="P38" s="7">
        <f t="shared" si="83"/>
        <v>387</v>
      </c>
      <c r="Q38" s="7">
        <f t="shared" si="83"/>
        <v>655</v>
      </c>
      <c r="R38" s="7">
        <f t="shared" si="83"/>
        <v>553</v>
      </c>
      <c r="S38" s="7">
        <f t="shared" si="83"/>
        <v>663</v>
      </c>
      <c r="T38" s="7">
        <f t="shared" si="83"/>
        <v>1065</v>
      </c>
      <c r="U38" s="7">
        <f t="shared" si="83"/>
        <v>831</v>
      </c>
      <c r="V38" s="7">
        <f t="shared" si="83"/>
        <v>956</v>
      </c>
      <c r="W38" s="7">
        <f t="shared" si="83"/>
        <v>1203</v>
      </c>
      <c r="X38" s="7">
        <f t="shared" si="83"/>
        <v>990</v>
      </c>
      <c r="Y38" s="7">
        <f t="shared" si="83"/>
        <v>965</v>
      </c>
      <c r="Z38" s="7">
        <f t="shared" si="83"/>
        <v>1698</v>
      </c>
      <c r="AA38" s="7">
        <f>SUM(O38:INDEX(O38:Z38,$B$2))</f>
        <v>4548</v>
      </c>
      <c r="AB38" s="1">
        <f t="shared" ref="AB38:AJ38" si="84">SUM(AB30:AB36)</f>
        <v>1436</v>
      </c>
      <c r="AC38" s="1">
        <f t="shared" si="84"/>
        <v>2281</v>
      </c>
      <c r="AD38" s="1">
        <f t="shared" si="84"/>
        <v>2990</v>
      </c>
      <c r="AE38" s="1">
        <f t="shared" si="84"/>
        <v>3653</v>
      </c>
      <c r="AF38" s="7">
        <f t="shared" si="84"/>
        <v>2550</v>
      </c>
      <c r="AG38" s="7">
        <f t="shared" si="84"/>
        <v>836</v>
      </c>
      <c r="AH38" s="7">
        <f t="shared" si="84"/>
        <v>1212</v>
      </c>
      <c r="AI38" s="7">
        <f t="shared" si="84"/>
        <v>1678</v>
      </c>
      <c r="AJ38" s="7">
        <f t="shared" si="84"/>
        <v>2199</v>
      </c>
      <c r="AK38" s="32">
        <f t="shared" si="82"/>
        <v>0.78352941176470581</v>
      </c>
      <c r="AL38" s="32">
        <f t="shared" si="73"/>
        <v>0.71770334928229662</v>
      </c>
      <c r="AM38" s="32">
        <f t="shared" si="73"/>
        <v>0.88201320132013206</v>
      </c>
      <c r="AN38" s="32">
        <f t="shared" si="73"/>
        <v>0.78188319427890351</v>
      </c>
      <c r="AO38" s="31">
        <f>AE38/SUM(L38:INDEX(L38:N38,MOD($B$2,3)))-1</f>
        <v>4.7437106918238996</v>
      </c>
      <c r="AP38" s="7">
        <f t="shared" ref="AP38:AU38" si="85">SUM(AP30:AP36)</f>
        <v>661</v>
      </c>
      <c r="AQ38" s="7">
        <f t="shared" si="85"/>
        <v>920</v>
      </c>
      <c r="AR38" s="7">
        <f t="shared" si="85"/>
        <v>1246</v>
      </c>
      <c r="AS38" s="7">
        <f t="shared" si="85"/>
        <v>1098</v>
      </c>
      <c r="AT38" s="7">
        <f t="shared" si="85"/>
        <v>864</v>
      </c>
      <c r="AU38" s="7">
        <f t="shared" si="85"/>
        <v>1226</v>
      </c>
      <c r="AV38" s="7">
        <f>SUM(AV30:AV36)</f>
        <v>891</v>
      </c>
      <c r="AW38" s="17"/>
      <c r="AX38" s="17"/>
      <c r="AY38" s="17"/>
      <c r="AZ38" s="17"/>
      <c r="BA38" s="17"/>
      <c r="BB38" s="116">
        <f>SUM(AP38:INDEX(AP38:AR38,IF($B$2&lt;3,$B$2,3)))</f>
        <v>2827</v>
      </c>
      <c r="BC38" s="116">
        <f>SUM(AS38:INDEX(AS38:AU38,IF($B$2&lt;7,$B$2-3,3)))</f>
        <v>3188</v>
      </c>
      <c r="BD38" s="116">
        <f>SUM(AV38:INDEX(AV38:AX38,IF(AND($B$2&gt;6,$B$2&lt;10),$B$2-6,0)))</f>
        <v>891</v>
      </c>
      <c r="BE38" s="116">
        <f>SUM(AY38:INDEX(AY38:BA38,IF($B$2&gt;9,$B$2-9,0)))</f>
        <v>0</v>
      </c>
      <c r="BF38" s="116">
        <f>SUM($AP38:INDEX(AP38:BA38,$B$2))</f>
        <v>6906</v>
      </c>
      <c r="BG38" s="123">
        <f t="shared" si="74"/>
        <v>1.6776649746192893</v>
      </c>
      <c r="BH38" s="118">
        <f t="shared" si="74"/>
        <v>2.3772609819121446</v>
      </c>
      <c r="BI38" s="118">
        <f t="shared" si="74"/>
        <v>1.9022900763358779</v>
      </c>
      <c r="BJ38" s="118">
        <f t="shared" si="74"/>
        <v>1.9855334538878842</v>
      </c>
      <c r="BK38" s="118">
        <f t="shared" si="74"/>
        <v>1.3031674208144797</v>
      </c>
      <c r="BL38" s="118">
        <f t="shared" si="74"/>
        <v>1.1511737089201879</v>
      </c>
      <c r="BM38" s="118">
        <f t="shared" si="74"/>
        <v>1.0722021660649819</v>
      </c>
      <c r="BN38" s="118">
        <f t="shared" si="74"/>
        <v>0</v>
      </c>
      <c r="BO38" s="118">
        <f t="shared" si="74"/>
        <v>0</v>
      </c>
      <c r="BP38" s="118">
        <f t="shared" si="74"/>
        <v>0</v>
      </c>
      <c r="BQ38" s="118">
        <f t="shared" si="74"/>
        <v>0</v>
      </c>
      <c r="BR38" s="118">
        <f t="shared" si="74"/>
        <v>0</v>
      </c>
      <c r="BS38" s="118">
        <f>BB38/SUM(O38:INDEX(O38:Q38,IF($B$2&lt;3,$B$2,3)))</f>
        <v>1.9686629526462396</v>
      </c>
      <c r="BT38" s="118">
        <f>BC38/SUM(R38:INDEX(R38:T38,IF($B$2&lt;7,$B$2-3,3)))</f>
        <v>1.3976326172731259</v>
      </c>
      <c r="BU38" s="118">
        <f t="shared" si="75"/>
        <v>0.29799331103678928</v>
      </c>
      <c r="BV38" s="118">
        <f t="shared" si="75"/>
        <v>0</v>
      </c>
      <c r="BW38" s="118">
        <f t="shared" si="76"/>
        <v>1.5184696569920844</v>
      </c>
    </row>
    <row r="39" spans="1:75" x14ac:dyDescent="0.25">
      <c r="A39" s="20" t="s">
        <v>159</v>
      </c>
      <c r="B39" t="s">
        <v>187</v>
      </c>
      <c r="C39">
        <f>SUM(C30:C37)</f>
        <v>262</v>
      </c>
      <c r="D39">
        <f t="shared" ref="D39:Z39" si="86">SUM(D30:D37)</f>
        <v>238</v>
      </c>
      <c r="E39">
        <f t="shared" si="86"/>
        <v>336</v>
      </c>
      <c r="F39">
        <f t="shared" si="86"/>
        <v>344</v>
      </c>
      <c r="G39">
        <f t="shared" si="86"/>
        <v>415</v>
      </c>
      <c r="H39">
        <f t="shared" si="86"/>
        <v>453</v>
      </c>
      <c r="I39">
        <f t="shared" si="86"/>
        <v>502</v>
      </c>
      <c r="J39">
        <f t="shared" si="86"/>
        <v>411</v>
      </c>
      <c r="K39">
        <f t="shared" si="86"/>
        <v>765</v>
      </c>
      <c r="L39">
        <f t="shared" si="86"/>
        <v>636</v>
      </c>
      <c r="M39">
        <f t="shared" si="86"/>
        <v>755</v>
      </c>
      <c r="N39">
        <f t="shared" si="86"/>
        <v>808</v>
      </c>
      <c r="O39">
        <f>SUM(O30:O37)</f>
        <v>394</v>
      </c>
      <c r="P39">
        <f t="shared" si="86"/>
        <v>387</v>
      </c>
      <c r="Q39">
        <f t="shared" si="86"/>
        <v>655</v>
      </c>
      <c r="R39">
        <f t="shared" si="86"/>
        <v>553</v>
      </c>
      <c r="S39">
        <f t="shared" si="86"/>
        <v>663</v>
      </c>
      <c r="T39">
        <f t="shared" si="86"/>
        <v>1065</v>
      </c>
      <c r="U39">
        <f t="shared" si="86"/>
        <v>831</v>
      </c>
      <c r="V39">
        <f t="shared" si="86"/>
        <v>956</v>
      </c>
      <c r="W39">
        <f t="shared" si="86"/>
        <v>1203</v>
      </c>
      <c r="X39">
        <f t="shared" si="86"/>
        <v>990</v>
      </c>
      <c r="Y39">
        <f t="shared" si="86"/>
        <v>965</v>
      </c>
      <c r="Z39">
        <f t="shared" si="86"/>
        <v>1698</v>
      </c>
      <c r="AA39" s="22">
        <f>SUM(AA30:AA37)</f>
        <v>4548</v>
      </c>
      <c r="AB39" s="22">
        <f t="shared" ref="AB39:AJ39" si="87">SUM(AB30:AB37)</f>
        <v>1436</v>
      </c>
      <c r="AC39" s="22">
        <f t="shared" si="87"/>
        <v>2281</v>
      </c>
      <c r="AD39" s="22">
        <f t="shared" si="87"/>
        <v>2990</v>
      </c>
      <c r="AE39" s="22">
        <f t="shared" si="87"/>
        <v>3653</v>
      </c>
      <c r="AF39" s="22">
        <f t="shared" si="87"/>
        <v>2550</v>
      </c>
      <c r="AG39" s="22">
        <f t="shared" si="87"/>
        <v>836</v>
      </c>
      <c r="AH39" s="22">
        <f t="shared" si="87"/>
        <v>1212</v>
      </c>
      <c r="AI39" s="22">
        <f t="shared" si="87"/>
        <v>1678</v>
      </c>
      <c r="AJ39" s="22">
        <f t="shared" si="87"/>
        <v>2199</v>
      </c>
      <c r="AK39" s="32">
        <f t="shared" si="82"/>
        <v>0.78352941176470581</v>
      </c>
      <c r="AL39" s="32">
        <f t="shared" si="73"/>
        <v>0.71770334928229662</v>
      </c>
      <c r="AM39" s="32">
        <f t="shared" si="73"/>
        <v>0.88201320132013206</v>
      </c>
      <c r="AN39" s="32">
        <f t="shared" si="73"/>
        <v>0.78188319427890351</v>
      </c>
      <c r="AO39" s="31">
        <f>AE39/SUM(L39:INDEX(L39:N39,MOD($B$2,3)))-1</f>
        <v>4.7437106918238996</v>
      </c>
      <c r="AP39" s="22">
        <f>SUM(AP30:AP37)</f>
        <v>661</v>
      </c>
      <c r="AQ39" s="22">
        <f t="shared" ref="AQ39:AT39" si="88">SUM(AQ30:AQ37)</f>
        <v>987</v>
      </c>
      <c r="AR39" s="22">
        <f t="shared" si="88"/>
        <v>1291</v>
      </c>
      <c r="AS39" s="22">
        <f t="shared" si="88"/>
        <v>1213</v>
      </c>
      <c r="AT39" s="22">
        <f t="shared" si="88"/>
        <v>908</v>
      </c>
      <c r="AU39" s="22">
        <f>SUM(AU30:AU37)</f>
        <v>1268</v>
      </c>
      <c r="AV39" s="22">
        <f>SUM(AV30:AV37)</f>
        <v>923</v>
      </c>
      <c r="AW39" s="18"/>
      <c r="AX39" s="18"/>
      <c r="AY39" s="18"/>
      <c r="AZ39" s="18"/>
      <c r="BA39" s="18"/>
      <c r="BB39" s="110">
        <f>SUM(BB30:BB37)</f>
        <v>2939</v>
      </c>
      <c r="BC39" s="110">
        <f>SUM(BC30:BC37)</f>
        <v>3389</v>
      </c>
      <c r="BD39" s="110">
        <f t="shared" ref="BD39:BF39" si="89">SUM(BD30:BD37)</f>
        <v>923</v>
      </c>
      <c r="BE39" s="110">
        <f t="shared" si="89"/>
        <v>0</v>
      </c>
      <c r="BF39" s="110">
        <f t="shared" si="89"/>
        <v>7251</v>
      </c>
      <c r="BG39" s="123">
        <f t="shared" ref="BG39" si="90">AP39/O39</f>
        <v>1.6776649746192893</v>
      </c>
      <c r="BH39" s="118">
        <f t="shared" ref="BH39" si="91">AQ39/P39</f>
        <v>2.5503875968992249</v>
      </c>
      <c r="BI39" s="118">
        <f t="shared" ref="BI39" si="92">AR39/Q39</f>
        <v>1.9709923664122138</v>
      </c>
      <c r="BJ39" s="118">
        <f t="shared" ref="BJ39" si="93">AS39/R39</f>
        <v>2.1934900542495481</v>
      </c>
      <c r="BK39" s="118">
        <f t="shared" ref="BK39" si="94">AT39/S39</f>
        <v>1.3695324283559578</v>
      </c>
      <c r="BL39" s="118">
        <f t="shared" ref="BL39" si="95">AU39/T39</f>
        <v>1.1906103286384977</v>
      </c>
      <c r="BM39" s="118">
        <f t="shared" si="74"/>
        <v>1.1107099879663056</v>
      </c>
      <c r="BN39" s="18"/>
      <c r="BO39" s="18"/>
      <c r="BP39" s="18"/>
      <c r="BQ39" s="18"/>
      <c r="BR39" s="18"/>
      <c r="BS39" s="118">
        <f>BB39/SUM(O39:INDEX(O39:Q39,IF($B$2&lt;3,$B$2,3)))</f>
        <v>2.0466573816155988</v>
      </c>
      <c r="BT39" s="118">
        <f>BC39/SUM(R39:INDEX(R39:T39,IF($B$2&lt;7,$B$2-3,3)))</f>
        <v>1.485751863217887</v>
      </c>
      <c r="BU39" s="118">
        <f t="shared" si="75"/>
        <v>0.30869565217391304</v>
      </c>
      <c r="BV39" s="18"/>
      <c r="BW39" s="118">
        <f t="shared" si="76"/>
        <v>1.5943271767810026</v>
      </c>
    </row>
    <row r="40" spans="1:75" x14ac:dyDescent="0.25">
      <c r="B40" t="s">
        <v>187</v>
      </c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24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</row>
    <row r="41" spans="1:75" s="19" customFormat="1" x14ac:dyDescent="0.25">
      <c r="A41" s="20"/>
      <c r="B41" s="2" t="s">
        <v>11</v>
      </c>
      <c r="C41" s="3">
        <f t="shared" ref="C41:Z41" si="96">C17</f>
        <v>42005</v>
      </c>
      <c r="D41" s="3">
        <f t="shared" si="96"/>
        <v>42036</v>
      </c>
      <c r="E41" s="3">
        <f t="shared" si="96"/>
        <v>42064</v>
      </c>
      <c r="F41" s="3">
        <f t="shared" si="96"/>
        <v>42095</v>
      </c>
      <c r="G41" s="3">
        <f t="shared" si="96"/>
        <v>42125</v>
      </c>
      <c r="H41" s="3">
        <f t="shared" si="96"/>
        <v>42156</v>
      </c>
      <c r="I41" s="3">
        <f t="shared" si="96"/>
        <v>42186</v>
      </c>
      <c r="J41" s="3">
        <f t="shared" si="96"/>
        <v>42217</v>
      </c>
      <c r="K41" s="3">
        <f t="shared" si="96"/>
        <v>42248</v>
      </c>
      <c r="L41" s="3">
        <f t="shared" si="96"/>
        <v>42278</v>
      </c>
      <c r="M41" s="3">
        <f t="shared" si="96"/>
        <v>42309</v>
      </c>
      <c r="N41" s="3">
        <f t="shared" si="96"/>
        <v>42339</v>
      </c>
      <c r="O41" s="3">
        <f t="shared" si="96"/>
        <v>42370</v>
      </c>
      <c r="P41" s="3">
        <f t="shared" si="96"/>
        <v>42401</v>
      </c>
      <c r="Q41" s="3">
        <f t="shared" si="96"/>
        <v>42430</v>
      </c>
      <c r="R41" s="3">
        <f t="shared" si="96"/>
        <v>42461</v>
      </c>
      <c r="S41" s="3">
        <f t="shared" si="96"/>
        <v>42491</v>
      </c>
      <c r="T41" s="3">
        <f t="shared" si="96"/>
        <v>42522</v>
      </c>
      <c r="U41" s="3">
        <f t="shared" si="96"/>
        <v>42552</v>
      </c>
      <c r="V41" s="3">
        <f t="shared" si="96"/>
        <v>42583</v>
      </c>
      <c r="W41" s="3">
        <f t="shared" si="96"/>
        <v>42614</v>
      </c>
      <c r="X41" s="3">
        <f t="shared" si="96"/>
        <v>42644</v>
      </c>
      <c r="Y41" s="3">
        <f t="shared" si="96"/>
        <v>42675</v>
      </c>
      <c r="Z41" s="3">
        <f t="shared" si="96"/>
        <v>42705</v>
      </c>
      <c r="AA41" s="29" t="str">
        <f>AA29</f>
        <v>YTD 7/16</v>
      </c>
      <c r="AB41" s="29" t="s">
        <v>19</v>
      </c>
      <c r="AC41" s="29" t="s">
        <v>20</v>
      </c>
      <c r="AD41" s="29" t="s">
        <v>21</v>
      </c>
      <c r="AE41" s="29" t="s">
        <v>22</v>
      </c>
      <c r="AF41" s="26" t="str">
        <f t="shared" ref="AF41:AJ41" si="97">AF17</f>
        <v>YTD 7/15</v>
      </c>
      <c r="AG41" s="26" t="str">
        <f t="shared" si="97"/>
        <v>Q1 '15</v>
      </c>
      <c r="AH41" s="26" t="str">
        <f t="shared" si="97"/>
        <v>Q2 '15</v>
      </c>
      <c r="AI41" s="26" t="str">
        <f t="shared" si="97"/>
        <v>Q3 '15</v>
      </c>
      <c r="AJ41" s="26" t="str">
        <f t="shared" si="97"/>
        <v>Q4 '15</v>
      </c>
      <c r="AK41" s="30" t="s">
        <v>27</v>
      </c>
      <c r="AL41" s="30" t="s">
        <v>29</v>
      </c>
      <c r="AM41" s="30" t="s">
        <v>30</v>
      </c>
      <c r="AN41" s="30" t="s">
        <v>31</v>
      </c>
      <c r="AO41" s="30" t="s">
        <v>32</v>
      </c>
      <c r="AP41" s="108">
        <v>42736</v>
      </c>
      <c r="AQ41" s="108">
        <v>42767</v>
      </c>
      <c r="AR41" s="108">
        <v>42795</v>
      </c>
      <c r="AS41" s="108">
        <v>42826</v>
      </c>
      <c r="AT41" s="108">
        <v>42856</v>
      </c>
      <c r="AU41" s="108">
        <v>42887</v>
      </c>
      <c r="AV41" s="108">
        <v>42917</v>
      </c>
      <c r="AW41" s="108">
        <v>42948</v>
      </c>
      <c r="AX41" s="108">
        <v>42979</v>
      </c>
      <c r="AY41" s="108">
        <v>43009</v>
      </c>
      <c r="AZ41" s="108">
        <v>43040</v>
      </c>
      <c r="BA41" s="108">
        <v>43070</v>
      </c>
      <c r="BB41" s="29" t="s">
        <v>123</v>
      </c>
      <c r="BC41" s="29" t="s">
        <v>124</v>
      </c>
      <c r="BD41" s="29" t="s">
        <v>125</v>
      </c>
      <c r="BE41" s="29" t="s">
        <v>126</v>
      </c>
      <c r="BF41" s="29" t="str">
        <f>$BF$3</f>
        <v>YTD 7/17</v>
      </c>
      <c r="BG41" s="121">
        <v>42736</v>
      </c>
      <c r="BH41" s="108">
        <v>42767</v>
      </c>
      <c r="BI41" s="108">
        <v>42795</v>
      </c>
      <c r="BJ41" s="108">
        <v>42826</v>
      </c>
      <c r="BK41" s="108">
        <v>42856</v>
      </c>
      <c r="BL41" s="108">
        <v>42887</v>
      </c>
      <c r="BM41" s="108">
        <v>42917</v>
      </c>
      <c r="BN41" s="108">
        <v>42948</v>
      </c>
      <c r="BO41" s="108">
        <v>42979</v>
      </c>
      <c r="BP41" s="108">
        <v>43009</v>
      </c>
      <c r="BQ41" s="108">
        <v>43040</v>
      </c>
      <c r="BR41" s="108">
        <v>43070</v>
      </c>
      <c r="BS41" s="29" t="s">
        <v>127</v>
      </c>
      <c r="BT41" s="29" t="s">
        <v>128</v>
      </c>
      <c r="BU41" s="29" t="s">
        <v>96</v>
      </c>
      <c r="BV41" s="29" t="s">
        <v>129</v>
      </c>
      <c r="BW41" s="112" t="s">
        <v>130</v>
      </c>
    </row>
    <row r="42" spans="1:75" x14ac:dyDescent="0.25">
      <c r="A42" s="20" t="str">
        <f>$B$41&amp;"_by_rookie_mdrt:"&amp;B42</f>
        <v>Activity Ratio_by_rookie_mdrt:MDRT</v>
      </c>
      <c r="B42" t="s">
        <v>4</v>
      </c>
      <c r="C42" s="8">
        <f t="shared" ref="C42:C48" si="98">IFERROR(C30/C18,"")</f>
        <v>0.61111111111111116</v>
      </c>
      <c r="D42" s="8">
        <f t="shared" ref="D42:N42" si="99">IFERROR(D30/D18,"")</f>
        <v>0.27777777777777779</v>
      </c>
      <c r="E42" s="8">
        <f t="shared" si="99"/>
        <v>0.55000000000000004</v>
      </c>
      <c r="F42" s="8">
        <f t="shared" si="99"/>
        <v>0.55000000000000004</v>
      </c>
      <c r="G42" s="8">
        <f t="shared" si="99"/>
        <v>0.84210526315789469</v>
      </c>
      <c r="H42" s="8">
        <f t="shared" si="99"/>
        <v>0.72222222222222221</v>
      </c>
      <c r="I42" s="8">
        <f t="shared" si="99"/>
        <v>0.60869565217391308</v>
      </c>
      <c r="J42" s="8">
        <f t="shared" si="99"/>
        <v>0.56521739130434778</v>
      </c>
      <c r="K42" s="8">
        <f t="shared" si="99"/>
        <v>0.70833333333333337</v>
      </c>
      <c r="L42" s="8">
        <f t="shared" si="99"/>
        <v>0.79166666666666663</v>
      </c>
      <c r="M42" s="8">
        <f t="shared" si="99"/>
        <v>0.52173913043478259</v>
      </c>
      <c r="N42" s="8">
        <f t="shared" si="99"/>
        <v>0.6</v>
      </c>
      <c r="O42" s="8">
        <f t="shared" ref="O42:O48" si="100">O30*2/SUM(N18:O18)</f>
        <v>0.38709677419354838</v>
      </c>
      <c r="P42" s="8">
        <f t="shared" ref="P42:Z42" si="101">P30*2/SUM(O18:P18)</f>
        <v>0.21917808219178081</v>
      </c>
      <c r="Q42" s="8">
        <f t="shared" si="101"/>
        <v>0.49315068493150682</v>
      </c>
      <c r="R42" s="8">
        <f t="shared" si="101"/>
        <v>0.35616438356164382</v>
      </c>
      <c r="S42" s="8">
        <f t="shared" si="101"/>
        <v>0.38235294117647056</v>
      </c>
      <c r="T42" s="8">
        <f t="shared" si="101"/>
        <v>0.4838709677419355</v>
      </c>
      <c r="U42" s="8">
        <f t="shared" si="101"/>
        <v>0.50847457627118642</v>
      </c>
      <c r="V42" s="8">
        <f t="shared" si="101"/>
        <v>0.43636363636363634</v>
      </c>
      <c r="W42" s="8">
        <f t="shared" si="101"/>
        <v>0.5</v>
      </c>
      <c r="X42" s="8">
        <f t="shared" si="101"/>
        <v>0.42307692307692307</v>
      </c>
      <c r="Y42" s="8">
        <f t="shared" si="101"/>
        <v>0.43137254901960786</v>
      </c>
      <c r="Z42" s="8">
        <f t="shared" si="101"/>
        <v>0.55319148936170215</v>
      </c>
      <c r="AA42" s="139">
        <f>2*SUM(O30:INDEX(O30:Z30,$B$2))/(SUM(O18:INDEX(O18:Z18,$B$2))*2+N18-INDEX(O18:Z18,$B$2))</f>
        <v>0.4</v>
      </c>
      <c r="AB42" s="8">
        <f>AVERAGE(O42:Q42)</f>
        <v>0.36647518043894528</v>
      </c>
      <c r="AC42" s="8">
        <f>2*SUM(R30:INDEX(R30:T30,$C$2))/(Q18+SUM(R18:INDEX(R18:T18,$C$2))*2-INDEX(R18:T18,$C$2))</f>
        <v>0.35616438356164382</v>
      </c>
      <c r="AD42" s="8">
        <f t="shared" ref="AD42:AD50" si="102">IFERROR(AVERAGE(U42:W42),"")</f>
        <v>0.48161273754494088</v>
      </c>
      <c r="AE42" s="8">
        <f t="shared" ref="AE42:AE50" si="103">IFERROR(AVERAGE(X42:Z42),"")</f>
        <v>0.4692136538194111</v>
      </c>
      <c r="AF42" s="8">
        <f>AVERAGE(C42:INDEX(C42:N42,$B$2))</f>
        <v>0.59455886092041699</v>
      </c>
      <c r="AG42" s="8">
        <f>AVERAGE(C42:E42)</f>
        <v>0.47962962962962968</v>
      </c>
      <c r="AH42" s="8">
        <f>AVERAGE(F42:H42)</f>
        <v>0.70477582846003894</v>
      </c>
      <c r="AI42" s="8">
        <f>AVERAGE(I42:K42)</f>
        <v>0.62741545893719808</v>
      </c>
      <c r="AJ42" s="8">
        <f>AVERAGE(L42:N42)</f>
        <v>0.63780193236714977</v>
      </c>
      <c r="AK42" s="31">
        <f>AA42/AF42-1</f>
        <v>-0.32723229558672595</v>
      </c>
      <c r="AL42" s="31">
        <f t="shared" ref="AL42:AO50" si="104">AB42/AG42-1</f>
        <v>-0.23592047321609877</v>
      </c>
      <c r="AM42" s="31">
        <f t="shared" si="104"/>
        <v>-0.49464160208235852</v>
      </c>
      <c r="AN42" s="31">
        <f t="shared" si="104"/>
        <v>-0.23238624314300083</v>
      </c>
      <c r="AO42" s="31">
        <f t="shared" si="104"/>
        <v>-0.26432701124318803</v>
      </c>
      <c r="AP42" s="8">
        <f t="shared" ref="AP42:AP48" si="105">IFERROR(AP30/AVERAGE(Z18,AP18),"")</f>
        <v>0.74285714285714288</v>
      </c>
      <c r="AQ42" s="8">
        <f t="shared" ref="AQ42:AV42" si="106">IFERROR(AQ30/AVERAGE(AP18,AQ18),"")</f>
        <v>0.72916666666666663</v>
      </c>
      <c r="AR42" s="8">
        <f t="shared" si="106"/>
        <v>0.6875</v>
      </c>
      <c r="AS42" s="8">
        <f t="shared" si="106"/>
        <v>0.75789473684210529</v>
      </c>
      <c r="AT42" s="8">
        <f t="shared" si="106"/>
        <v>0.66666666666666663</v>
      </c>
      <c r="AU42" s="8">
        <f t="shared" si="106"/>
        <v>0.66666666666666663</v>
      </c>
      <c r="AV42" s="8">
        <f t="shared" si="106"/>
        <v>0.4731182795698925</v>
      </c>
      <c r="AW42" s="18"/>
      <c r="AX42" s="18"/>
      <c r="AY42" s="18"/>
      <c r="AZ42" s="18"/>
      <c r="BA42" s="18"/>
      <c r="BB42" s="8">
        <f t="shared" ref="BB42:BB44" si="107">IFERROR(BB30/(AVERAGE(Z18,AP18)+AVERAGE(AP18,AQ18)+AVERAGE(AR18,AQ18)),"")</f>
        <v>0.71755725190839692</v>
      </c>
      <c r="BC42" s="8">
        <f>IFERROR(BC30*2/(AR18+2*SUM(AS18:INDEX(AS18:AU18,$C$2))-INDEX(AS18:AU18,$C$2)),"")</f>
        <v>2.0631578947368423</v>
      </c>
      <c r="BD42" s="8">
        <f>IFERROR(BD30*2/(AU18+2*SUM(AV18:INDEX(AV18:AX18,$C$2))-INDEX(AV18:AX18,$C$2)),"")</f>
        <v>0.4731182795698925</v>
      </c>
      <c r="BE42" s="18"/>
      <c r="BF42" s="8">
        <f>2*SUM(AP30:INDEX(AP30:BA30,$B$2))/(SUM(AP18:INDEX(AP18:BA18,$B$2))*2+Z18-INDEX(AP18:BA18,$B$2))</f>
        <v>0.67295597484276726</v>
      </c>
      <c r="BG42" s="122">
        <f t="shared" ref="BG42:BH50" si="108">AP42/O42</f>
        <v>1.9190476190476191</v>
      </c>
      <c r="BH42" s="111">
        <f t="shared" si="108"/>
        <v>3.3268229166666665</v>
      </c>
      <c r="BI42" s="111">
        <f t="shared" ref="BI42:BI48" si="109">AR42/Q42</f>
        <v>1.3940972222222223</v>
      </c>
      <c r="BJ42" s="111">
        <f t="shared" ref="BJ42:BJ48" si="110">AS42/R42</f>
        <v>2.1279352226720651</v>
      </c>
      <c r="BK42" s="111">
        <f t="shared" ref="BK42:BK48" si="111">AT42/S42</f>
        <v>1.7435897435897436</v>
      </c>
      <c r="BL42" s="111">
        <f t="shared" ref="BL42:BL48" si="112">AU42/T42</f>
        <v>1.3777777777777778</v>
      </c>
      <c r="BM42" s="111">
        <f>AV42/U42</f>
        <v>0.93046594982078867</v>
      </c>
      <c r="BN42" s="111"/>
      <c r="BO42" s="111"/>
      <c r="BP42" s="111"/>
      <c r="BQ42" s="111"/>
      <c r="BR42" s="111"/>
      <c r="BS42" s="111">
        <f>BB42/((O30+P30+Q30)/(SUM(N18,O18,O18,P18,P18,Q18)/2))</f>
        <v>1.9638408999598234</v>
      </c>
      <c r="BT42" s="111">
        <f>BC42/AC42</f>
        <v>5.7927125506072885</v>
      </c>
      <c r="BU42" s="111">
        <f>BD42/(SUM(U30:INDEX(U30:W30, $C$2))*2/(T18+2*SUM(U18:INDEX(U18:W18,$C$2))-INDEX(U18:W18,$C$2)))</f>
        <v>0.93046594982078867</v>
      </c>
      <c r="BV42" s="111">
        <f t="shared" ref="BT42:BV50" si="113">BE42/AE42</f>
        <v>0</v>
      </c>
      <c r="BW42" s="111">
        <f t="shared" ref="BW42:BW50" si="114">BF42/AA42</f>
        <v>1.682389937106918</v>
      </c>
    </row>
    <row r="43" spans="1:75" x14ac:dyDescent="0.25">
      <c r="A43" s="20" t="str">
        <f t="shared" ref="A43:A50" si="115">$B$41&amp;"_by_rookie_mdrt:"&amp;B43</f>
        <v>Activity Ratio_by_rookie_mdrt:Rookie in month</v>
      </c>
      <c r="B43" t="s">
        <v>5</v>
      </c>
      <c r="C43" s="8">
        <f t="shared" si="98"/>
        <v>0.35159817351598172</v>
      </c>
      <c r="D43" s="8">
        <f t="shared" ref="D43:N43" si="116">IFERROR(D31/D19,"")</f>
        <v>0.36363636363636365</v>
      </c>
      <c r="E43" s="8">
        <f t="shared" si="116"/>
        <v>0.34649122807017546</v>
      </c>
      <c r="F43" s="8">
        <f t="shared" si="116"/>
        <v>0.32258064516129031</v>
      </c>
      <c r="G43" s="8">
        <f t="shared" si="116"/>
        <v>0.34538152610441769</v>
      </c>
      <c r="H43" s="8">
        <f t="shared" si="116"/>
        <v>0.3983739837398374</v>
      </c>
      <c r="I43" s="8">
        <f t="shared" si="116"/>
        <v>0.54646840148698883</v>
      </c>
      <c r="J43" s="8">
        <f t="shared" si="116"/>
        <v>0.37931034482758619</v>
      </c>
      <c r="K43" s="8">
        <f t="shared" si="116"/>
        <v>0.54285714285714282</v>
      </c>
      <c r="L43" s="8">
        <f t="shared" si="116"/>
        <v>0.46953405017921146</v>
      </c>
      <c r="M43" s="8">
        <f t="shared" si="116"/>
        <v>0.51821862348178138</v>
      </c>
      <c r="N43" s="8">
        <f t="shared" si="116"/>
        <v>0.46802325581395349</v>
      </c>
      <c r="O43" s="8">
        <f t="shared" si="100"/>
        <v>0.19246861924686193</v>
      </c>
      <c r="P43" s="8">
        <f t="shared" ref="P43:Z43" si="117">P31*2/SUM(O19:P19)</f>
        <v>0.3125</v>
      </c>
      <c r="Q43" s="8">
        <f t="shared" si="117"/>
        <v>0.77113402061855674</v>
      </c>
      <c r="R43" s="8">
        <f t="shared" si="117"/>
        <v>0.4985754985754986</v>
      </c>
      <c r="S43" s="8">
        <f t="shared" si="117"/>
        <v>0.51487414187643021</v>
      </c>
      <c r="T43" s="8">
        <f t="shared" si="117"/>
        <v>0.60526315789473684</v>
      </c>
      <c r="U43" s="8">
        <f t="shared" si="117"/>
        <v>0.33633633633633636</v>
      </c>
      <c r="V43" s="8">
        <f t="shared" si="117"/>
        <v>0.44712182061579653</v>
      </c>
      <c r="W43" s="8">
        <f t="shared" si="117"/>
        <v>0.48772130211307824</v>
      </c>
      <c r="X43" s="8">
        <f t="shared" si="117"/>
        <v>0.37953795379537952</v>
      </c>
      <c r="Y43" s="8">
        <f t="shared" si="117"/>
        <v>0.30837004405286345</v>
      </c>
      <c r="Z43" s="8">
        <f t="shared" si="117"/>
        <v>0.58508044856167718</v>
      </c>
      <c r="AA43" s="139">
        <f>2*SUM(O31:INDEX(O31:Z31,$B$2))/(SUM(O19:INDEX(O19:Z19,$B$2))*2+N19-INDEX(O19:Z19,$B$2))</f>
        <v>0.4725752508361204</v>
      </c>
      <c r="AB43" s="8">
        <f t="shared" ref="AB43:AB50" si="118">AVERAGE(O43:Q43)</f>
        <v>0.42536754662180626</v>
      </c>
      <c r="AC43" s="8">
        <f>2*SUM(R31:INDEX(R31:T31,$C$2))/(Q19+SUM(R19:INDEX(R19:T19,$C$2))*2-INDEX(R19:T19,$C$2))</f>
        <v>0.4985754985754986</v>
      </c>
      <c r="AD43" s="8">
        <f t="shared" si="102"/>
        <v>0.42372648635507032</v>
      </c>
      <c r="AE43" s="8">
        <f t="shared" si="103"/>
        <v>0.42432948213664007</v>
      </c>
      <c r="AF43" s="8">
        <f>AVERAGE(C43:INDEX(C43:N43,$B$2))</f>
        <v>0.38207576024500789</v>
      </c>
      <c r="AG43" s="8">
        <f t="shared" ref="AG43:AG50" si="119">AVERAGE(C43:E43)</f>
        <v>0.353908588407507</v>
      </c>
      <c r="AH43" s="8">
        <f t="shared" ref="AH43:AH50" si="120">AVERAGE(F43:H43)</f>
        <v>0.35544538500184847</v>
      </c>
      <c r="AI43" s="8">
        <f t="shared" ref="AI43:AI50" si="121">AVERAGE(I43:K43)</f>
        <v>0.48954529639057265</v>
      </c>
      <c r="AJ43" s="8">
        <f t="shared" ref="AJ43:AJ50" si="122">AVERAGE(L43:N43)</f>
        <v>0.48525864315831546</v>
      </c>
      <c r="AK43" s="31">
        <f t="shared" ref="AK43:AK50" si="123">AA43/AF43-1</f>
        <v>0.23686268538228994</v>
      </c>
      <c r="AL43" s="31">
        <f t="shared" si="104"/>
        <v>0.20191360298953254</v>
      </c>
      <c r="AM43" s="31">
        <f t="shared" si="104"/>
        <v>0.4026782161566278</v>
      </c>
      <c r="AN43" s="31">
        <f t="shared" si="104"/>
        <v>-0.13444886616373553</v>
      </c>
      <c r="AO43" s="31">
        <f t="shared" si="104"/>
        <v>-0.12556017678555242</v>
      </c>
      <c r="AP43" s="8">
        <f t="shared" si="105"/>
        <v>0.1573816155988858</v>
      </c>
      <c r="AQ43" s="8">
        <f t="shared" ref="AQ43:AU49" si="124">IFERROR(AQ31/AVERAGE(AP19,AQ19),"")</f>
        <v>0.41176470588235292</v>
      </c>
      <c r="AR43" s="8">
        <f t="shared" si="124"/>
        <v>0.58908612754766598</v>
      </c>
      <c r="AS43" s="8">
        <f t="shared" si="124"/>
        <v>0.4212624584717608</v>
      </c>
      <c r="AT43" s="8">
        <f t="shared" si="124"/>
        <v>0.44462409054163299</v>
      </c>
      <c r="AU43" s="8">
        <f t="shared" si="124"/>
        <v>0.74354923644023174</v>
      </c>
      <c r="AV43" s="8">
        <f t="shared" ref="AV43:AV50" si="125">IFERROR(AV31/AVERAGE(AU19,AV19),"")</f>
        <v>0.33692091717360784</v>
      </c>
      <c r="AW43" s="18"/>
      <c r="AX43" s="18"/>
      <c r="AY43" s="18"/>
      <c r="AZ43" s="18"/>
      <c r="BA43" s="18"/>
      <c r="BB43" s="8">
        <f t="shared" si="107"/>
        <v>0.38752219122495563</v>
      </c>
      <c r="BC43" s="8">
        <f>IFERROR(BC31*2/(AR19+2*SUM(AS19:INDEX(AS19:AU19,$C$2))-INDEX(AS19:AU19,$C$2)),"")</f>
        <v>1.7249169435215947</v>
      </c>
      <c r="BD43" s="8">
        <f>IFERROR(BD31*2/(AU19+2*SUM(AV19:INDEX(AV19:AX19,$C$2))-INDEX(AV19:AX19,$C$2)),"")</f>
        <v>0.33692091717360784</v>
      </c>
      <c r="BE43" s="18"/>
      <c r="BF43" s="8">
        <f>2*SUM(AP31:INDEX(AP31:BA31,$B$2))/(SUM(AP19:INDEX(AP19:BA19,$B$2))*2+Z19-INDEX(AP19:BA19,$B$2))</f>
        <v>0.45182352392500702</v>
      </c>
      <c r="BG43" s="122">
        <f t="shared" si="108"/>
        <v>0.817700133220298</v>
      </c>
      <c r="BH43" s="111">
        <f t="shared" si="108"/>
        <v>1.3176470588235294</v>
      </c>
      <c r="BI43" s="111">
        <f t="shared" si="109"/>
        <v>0.76392184989470047</v>
      </c>
      <c r="BJ43" s="111">
        <f t="shared" si="110"/>
        <v>0.84493213099193165</v>
      </c>
      <c r="BK43" s="111">
        <f t="shared" si="111"/>
        <v>0.86355878918530493</v>
      </c>
      <c r="BL43" s="111">
        <f t="shared" si="112"/>
        <v>1.228472651509948</v>
      </c>
      <c r="BM43" s="111">
        <f t="shared" ref="BM43:BM48" si="126">AV43/U43</f>
        <v>1.0017380840965304</v>
      </c>
      <c r="BN43" s="111"/>
      <c r="BO43" s="111"/>
      <c r="BP43" s="111"/>
      <c r="BQ43" s="111"/>
      <c r="BR43" s="111"/>
      <c r="BS43" s="111">
        <f t="shared" ref="BS43:BS48" si="127">BB43/((O31+P31+Q31)/(SUM(N19,O19,O19,P19,P19,Q19)/2))</f>
        <v>0.86518232802787709</v>
      </c>
      <c r="BT43" s="111">
        <f t="shared" si="113"/>
        <v>3.4596905552918842</v>
      </c>
      <c r="BU43" s="111">
        <f>BD43/(SUM(U31:INDEX(U31:W31, $C$2))*2/(T19+2*SUM(U19:INDEX(U19:W19,$C$2))-INDEX(U19:W19,$C$2)))</f>
        <v>1.0017380840965304</v>
      </c>
      <c r="BV43" s="111">
        <f t="shared" si="113"/>
        <v>0</v>
      </c>
      <c r="BW43" s="111">
        <f t="shared" si="114"/>
        <v>0.95608799471745998</v>
      </c>
    </row>
    <row r="44" spans="1:75" x14ac:dyDescent="0.25">
      <c r="A44" s="20" t="str">
        <f t="shared" si="115"/>
        <v>Activity Ratio_by_rookie_mdrt:Rookie last month</v>
      </c>
      <c r="B44" t="s">
        <v>6</v>
      </c>
      <c r="C44" s="8">
        <f t="shared" si="98"/>
        <v>0.27058823529411763</v>
      </c>
      <c r="D44" s="8">
        <f t="shared" ref="D44:N44" si="128">IFERROR(D32/D20,"")</f>
        <v>0.29357798165137616</v>
      </c>
      <c r="E44" s="8">
        <f t="shared" si="128"/>
        <v>0.35714285714285715</v>
      </c>
      <c r="F44" s="8">
        <f t="shared" si="128"/>
        <v>0.30088495575221241</v>
      </c>
      <c r="G44" s="8">
        <f t="shared" si="128"/>
        <v>0.30827067669172931</v>
      </c>
      <c r="H44" s="8">
        <f t="shared" si="128"/>
        <v>0.34361233480176212</v>
      </c>
      <c r="I44" s="8">
        <f t="shared" si="128"/>
        <v>0.38034188034188032</v>
      </c>
      <c r="J44" s="8">
        <f t="shared" si="128"/>
        <v>0.31679389312977096</v>
      </c>
      <c r="K44" s="8">
        <f t="shared" si="128"/>
        <v>0.43190661478599224</v>
      </c>
      <c r="L44" s="8">
        <f t="shared" si="128"/>
        <v>0.40579710144927539</v>
      </c>
      <c r="M44" s="8">
        <f t="shared" si="128"/>
        <v>0.26937269372693728</v>
      </c>
      <c r="N44" s="8">
        <f t="shared" si="128"/>
        <v>0.41666666666666669</v>
      </c>
      <c r="O44" s="8">
        <f t="shared" si="100"/>
        <v>0.16502463054187191</v>
      </c>
      <c r="P44" s="8">
        <f t="shared" ref="P44:Z44" si="129">P32*2/SUM(O20:P20)</f>
        <v>0.17573221757322174</v>
      </c>
      <c r="Q44" s="8">
        <f t="shared" si="129"/>
        <v>0.19685039370078741</v>
      </c>
      <c r="R44" s="8">
        <f t="shared" si="129"/>
        <v>0.34381551362683438</v>
      </c>
      <c r="S44" s="8">
        <f t="shared" si="129"/>
        <v>0.29640287769784174</v>
      </c>
      <c r="T44" s="8">
        <f t="shared" si="129"/>
        <v>0.38051044083526681</v>
      </c>
      <c r="U44" s="8">
        <f t="shared" si="129"/>
        <v>0.28666666666666668</v>
      </c>
      <c r="V44" s="8">
        <f t="shared" si="129"/>
        <v>0.19209726443768996</v>
      </c>
      <c r="W44" s="8">
        <f t="shared" si="129"/>
        <v>0.32362897765741366</v>
      </c>
      <c r="X44" s="8">
        <f t="shared" si="129"/>
        <v>0.23191733639494833</v>
      </c>
      <c r="Y44" s="8">
        <f t="shared" si="129"/>
        <v>0.22910902047592696</v>
      </c>
      <c r="Z44" s="8">
        <f t="shared" si="129"/>
        <v>0.30330162283156126</v>
      </c>
      <c r="AA44" s="139">
        <f>2*SUM(O32:INDEX(O32:Z32,$B$2))/(SUM(O20:INDEX(O20:Z20,$B$2))*2+N20-INDEX(O20:Z20,$B$2))</f>
        <v>0.27491138243402913</v>
      </c>
      <c r="AB44" s="8">
        <f t="shared" si="118"/>
        <v>0.17920241393862701</v>
      </c>
      <c r="AC44" s="8">
        <f>2*SUM(R32:INDEX(R32:T32,$C$2))/(Q20+SUM(R20:INDEX(R20:T20,$C$2))*2-INDEX(R20:T20,$C$2))</f>
        <v>0.34381551362683438</v>
      </c>
      <c r="AD44" s="8">
        <f t="shared" si="102"/>
        <v>0.26746430292059009</v>
      </c>
      <c r="AE44" s="8">
        <f t="shared" si="103"/>
        <v>0.25477599323414551</v>
      </c>
      <c r="AF44" s="8">
        <f>AVERAGE(C44:INDEX(C44:N44,$B$2))</f>
        <v>0.32205984595370502</v>
      </c>
      <c r="AG44" s="8">
        <f t="shared" si="119"/>
        <v>0.307103024696117</v>
      </c>
      <c r="AH44" s="8">
        <f t="shared" si="120"/>
        <v>0.31758932241523463</v>
      </c>
      <c r="AI44" s="8">
        <f t="shared" si="121"/>
        <v>0.37634746275254782</v>
      </c>
      <c r="AJ44" s="8">
        <f t="shared" si="122"/>
        <v>0.36394548728095977</v>
      </c>
      <c r="AK44" s="31">
        <f t="shared" si="123"/>
        <v>-0.14639659091948187</v>
      </c>
      <c r="AL44" s="31">
        <f t="shared" si="104"/>
        <v>-0.41647460452090801</v>
      </c>
      <c r="AM44" s="31">
        <f t="shared" si="104"/>
        <v>8.2578945073317422E-2</v>
      </c>
      <c r="AN44" s="31">
        <f t="shared" si="104"/>
        <v>-0.28931551453968352</v>
      </c>
      <c r="AO44" s="31">
        <f t="shared" si="104"/>
        <v>-0.29996111467797171</v>
      </c>
      <c r="AP44" s="8">
        <f t="shared" si="105"/>
        <v>0.16059113300492611</v>
      </c>
      <c r="AQ44" s="8">
        <f t="shared" si="124"/>
        <v>9.8954703832752608E-2</v>
      </c>
      <c r="AR44" s="8">
        <f t="shared" si="124"/>
        <v>0.36530612244897959</v>
      </c>
      <c r="AS44" s="8">
        <f t="shared" si="124"/>
        <v>0.26207809397749837</v>
      </c>
      <c r="AT44" s="8">
        <f t="shared" si="124"/>
        <v>0.18266666666666667</v>
      </c>
      <c r="AU44" s="8">
        <f t="shared" si="124"/>
        <v>0.17807089859851608</v>
      </c>
      <c r="AV44" s="8">
        <f t="shared" si="125"/>
        <v>0.1926163723916533</v>
      </c>
      <c r="AW44" s="18"/>
      <c r="AX44" s="18"/>
      <c r="AY44" s="18"/>
      <c r="AZ44" s="18"/>
      <c r="BA44" s="18"/>
      <c r="BB44" s="8">
        <f t="shared" si="107"/>
        <v>0.1858267716535433</v>
      </c>
      <c r="BC44" s="8">
        <f>IFERROR(BC32*2/(AR20+2*SUM(AS20:INDEX(AS20:AU20,$C$2))-INDEX(AS20:AU20,$C$2)),"")</f>
        <v>0.58636664460622101</v>
      </c>
      <c r="BD44" s="8">
        <f>IFERROR(BD32*2/(AU20+2*SUM(AV20:INDEX(AV20:AX20,$C$2))-INDEX(AV20:AX20,$C$2)),"")</f>
        <v>0.1926163723916533</v>
      </c>
      <c r="BE44" s="18"/>
      <c r="BF44" s="8">
        <f>2*SUM(AP32:INDEX(AP32:BA32,$B$2))/(SUM(AP20:INDEX(AP20:BA20,$B$2))*2+Z20-INDEX(AP20:BA20,$B$2))</f>
        <v>0.19662174985765801</v>
      </c>
      <c r="BG44" s="122">
        <f t="shared" si="108"/>
        <v>0.97313432835820901</v>
      </c>
      <c r="BH44" s="111">
        <f t="shared" si="108"/>
        <v>0.56309938609590182</v>
      </c>
      <c r="BI44" s="111">
        <f t="shared" si="109"/>
        <v>1.8557551020408163</v>
      </c>
      <c r="BJ44" s="111">
        <f t="shared" si="110"/>
        <v>0.76226372455650437</v>
      </c>
      <c r="BK44" s="111">
        <f t="shared" si="111"/>
        <v>0.61627831715210357</v>
      </c>
      <c r="BL44" s="111">
        <f t="shared" si="112"/>
        <v>0.46797900790219776</v>
      </c>
      <c r="BM44" s="111">
        <f t="shared" si="126"/>
        <v>0.67191757811041841</v>
      </c>
      <c r="BN44" s="111"/>
      <c r="BO44" s="111"/>
      <c r="BP44" s="111"/>
      <c r="BQ44" s="111"/>
      <c r="BR44" s="111"/>
      <c r="BS44" s="111">
        <f t="shared" si="127"/>
        <v>1.0705840874368315</v>
      </c>
      <c r="BT44" s="111">
        <f t="shared" si="113"/>
        <v>1.7054688382754111</v>
      </c>
      <c r="BU44" s="111">
        <f>BD44/(SUM(U32:INDEX(U32:W32, $C$2))*2/(T20+2*SUM(U20:INDEX(U20:W20,$C$2))-INDEX(U20:W20,$C$2)))</f>
        <v>0.67191757811041841</v>
      </c>
      <c r="BV44" s="111">
        <f t="shared" si="113"/>
        <v>0</v>
      </c>
      <c r="BW44" s="111">
        <f t="shared" si="114"/>
        <v>0.71521865743351531</v>
      </c>
    </row>
    <row r="45" spans="1:75" x14ac:dyDescent="0.25">
      <c r="A45" s="20" t="str">
        <f t="shared" si="115"/>
        <v>Activity Ratio_by_rookie_mdrt:2-3 months</v>
      </c>
      <c r="B45" t="s">
        <v>7</v>
      </c>
      <c r="C45" s="8">
        <f t="shared" si="98"/>
        <v>0.23616236162361623</v>
      </c>
      <c r="D45" s="8">
        <f t="shared" ref="D45:N45" si="130">IFERROR(D33/D21,"")</f>
        <v>0.1588235294117647</v>
      </c>
      <c r="E45" s="8">
        <f t="shared" si="130"/>
        <v>0.23076923076923078</v>
      </c>
      <c r="F45" s="8">
        <f t="shared" si="130"/>
        <v>0.16909620991253643</v>
      </c>
      <c r="G45" s="8">
        <f t="shared" si="130"/>
        <v>0.23104693140794225</v>
      </c>
      <c r="H45" s="8">
        <f t="shared" si="130"/>
        <v>0.31989247311827956</v>
      </c>
      <c r="I45" s="8">
        <f t="shared" si="130"/>
        <v>0.27750000000000002</v>
      </c>
      <c r="J45" s="8">
        <f t="shared" si="130"/>
        <v>0.21662468513853905</v>
      </c>
      <c r="K45" s="8">
        <f t="shared" si="130"/>
        <v>0.37914691943127959</v>
      </c>
      <c r="L45" s="8">
        <f t="shared" si="130"/>
        <v>0.29711751662971175</v>
      </c>
      <c r="M45" s="8">
        <f t="shared" si="130"/>
        <v>0.31237721021611004</v>
      </c>
      <c r="N45" s="8">
        <f t="shared" si="130"/>
        <v>0.34631147540983609</v>
      </c>
      <c r="O45" s="8">
        <f t="shared" si="100"/>
        <v>0.17399103139013453</v>
      </c>
      <c r="P45" s="8">
        <f t="shared" ref="P45:Z45" si="131">P33*2/SUM(O21:P21)</f>
        <v>0.18086696562032886</v>
      </c>
      <c r="Q45" s="8">
        <f t="shared" si="131"/>
        <v>0.17051509769094139</v>
      </c>
      <c r="R45" s="8">
        <f t="shared" si="131"/>
        <v>0.11472868217054263</v>
      </c>
      <c r="S45" s="8">
        <f t="shared" si="131"/>
        <v>0.21276595744680851</v>
      </c>
      <c r="T45" s="8">
        <f t="shared" si="131"/>
        <v>0.28436911487758948</v>
      </c>
      <c r="U45" s="8">
        <f t="shared" si="131"/>
        <v>0.17869415807560138</v>
      </c>
      <c r="V45" s="8">
        <f t="shared" si="131"/>
        <v>0.2077338129496403</v>
      </c>
      <c r="W45" s="8">
        <f t="shared" si="131"/>
        <v>0.18625429553264605</v>
      </c>
      <c r="X45" s="8">
        <f t="shared" si="131"/>
        <v>0.12357611322057301</v>
      </c>
      <c r="Y45" s="8">
        <f t="shared" si="131"/>
        <v>0.14257425742574256</v>
      </c>
      <c r="Z45" s="8">
        <f t="shared" si="131"/>
        <v>0.19699699699699699</v>
      </c>
      <c r="AA45" s="139">
        <f>2*SUM(O33:INDEX(O33:Z33,$B$2))/(SUM(O21:INDEX(O21:Z21,$B$2))*2+N21-INDEX(O21:Z21,$B$2))</f>
        <v>0.18975537234761455</v>
      </c>
      <c r="AB45" s="8">
        <f t="shared" si="118"/>
        <v>0.17512436490046826</v>
      </c>
      <c r="AC45" s="8">
        <f>2*SUM(R33:INDEX(R33:T33,$C$2))/(Q21+SUM(R21:INDEX(R21:T21,$C$2))*2-INDEX(R21:T21,$C$2))</f>
        <v>0.11472868217054263</v>
      </c>
      <c r="AD45" s="8">
        <f t="shared" si="102"/>
        <v>0.19089408885262923</v>
      </c>
      <c r="AE45" s="8">
        <f t="shared" si="103"/>
        <v>0.15438245588110419</v>
      </c>
      <c r="AF45" s="8">
        <f>AVERAGE(C45:INDEX(C45:N45,$B$2))</f>
        <v>0.2318986766061957</v>
      </c>
      <c r="AG45" s="8">
        <f t="shared" si="119"/>
        <v>0.20858504060153726</v>
      </c>
      <c r="AH45" s="8">
        <f t="shared" si="120"/>
        <v>0.24001187147958611</v>
      </c>
      <c r="AI45" s="8">
        <f t="shared" si="121"/>
        <v>0.29109053485660624</v>
      </c>
      <c r="AJ45" s="8">
        <f t="shared" si="122"/>
        <v>0.31860206741855263</v>
      </c>
      <c r="AK45" s="31">
        <f t="shared" si="123"/>
        <v>-0.18173154273815806</v>
      </c>
      <c r="AL45" s="31">
        <f t="shared" si="104"/>
        <v>-0.16041742784895763</v>
      </c>
      <c r="AM45" s="31">
        <f t="shared" si="104"/>
        <v>-0.52198746893942394</v>
      </c>
      <c r="AN45" s="31">
        <f t="shared" si="104"/>
        <v>-0.34421059432019885</v>
      </c>
      <c r="AO45" s="31">
        <f t="shared" si="104"/>
        <v>-0.5154379972108295</v>
      </c>
      <c r="AP45" s="8">
        <f t="shared" si="105"/>
        <v>9.0137547556335962E-2</v>
      </c>
      <c r="AQ45" s="8">
        <f t="shared" si="124"/>
        <v>0.16092572658772875</v>
      </c>
      <c r="AR45" s="8">
        <f t="shared" si="124"/>
        <v>0.11544183278786076</v>
      </c>
      <c r="AS45" s="8">
        <f t="shared" si="124"/>
        <v>0.12967798085291557</v>
      </c>
      <c r="AT45" s="8">
        <f t="shared" si="124"/>
        <v>0.13736036408771204</v>
      </c>
      <c r="AU45" s="8">
        <f t="shared" si="124"/>
        <v>9.4945355191256825E-2</v>
      </c>
      <c r="AV45" s="8">
        <f t="shared" si="125"/>
        <v>8.9147286821705432E-2</v>
      </c>
      <c r="AW45" s="18"/>
      <c r="AX45" s="18"/>
      <c r="AY45" s="18"/>
      <c r="AZ45" s="18"/>
      <c r="BA45" s="18"/>
      <c r="BB45" s="8">
        <f>IFERROR(BB33/(AVERAGE(Z21,AP21)+AVERAGE(AP21,AQ21)+AVERAGE(AR21,AQ21)),"")</f>
        <v>0.12330855727082142</v>
      </c>
      <c r="BC45" s="8">
        <f>IFERROR(BC33*2/(AR21+2*SUM(AS21:INDEX(AS21:AU21,$C$2))-INDEX(AS21:AU21,$C$2)),"")</f>
        <v>0.39512619669277632</v>
      </c>
      <c r="BD45" s="8">
        <f>IFERROR(BD33*2/(AU21+2*SUM(AV21:INDEX(AV21:AX21,$C$2))-INDEX(AV21:AX21,$C$2)),"")</f>
        <v>8.9147286821705432E-2</v>
      </c>
      <c r="BE45" s="18"/>
      <c r="BF45" s="8">
        <f>2*SUM(AP33:INDEX(AP33:BA33,$B$2))/(SUM(AP21:INDEX(AP21:BA21,$B$2))*2+Z21-INDEX(AP21:BA21,$B$2))</f>
        <v>0.11739151421537868</v>
      </c>
      <c r="BG45" s="122">
        <f t="shared" si="108"/>
        <v>0.51805858518203407</v>
      </c>
      <c r="BH45" s="111">
        <f t="shared" si="108"/>
        <v>0.88974637262140932</v>
      </c>
      <c r="BI45" s="111">
        <f t="shared" si="109"/>
        <v>0.67701824853714165</v>
      </c>
      <c r="BJ45" s="111">
        <f t="shared" si="110"/>
        <v>1.1303013195963587</v>
      </c>
      <c r="BK45" s="111">
        <f t="shared" si="111"/>
        <v>0.64559371121224662</v>
      </c>
      <c r="BL45" s="111">
        <f t="shared" si="112"/>
        <v>0.33388068613614152</v>
      </c>
      <c r="BM45" s="111">
        <f t="shared" si="126"/>
        <v>0.49888193202146691</v>
      </c>
      <c r="BN45" s="111"/>
      <c r="BO45" s="111"/>
      <c r="BP45" s="111"/>
      <c r="BQ45" s="111"/>
      <c r="BR45" s="111"/>
      <c r="BS45" s="111">
        <f t="shared" si="127"/>
        <v>0.70274096572017486</v>
      </c>
      <c r="BT45" s="111">
        <f t="shared" si="113"/>
        <v>3.4440053630654153</v>
      </c>
      <c r="BU45" s="111">
        <f>BD45/(SUM(U33:INDEX(U33:W33, $C$2))*2/(T21+2*SUM(U21:INDEX(U21:W21,$C$2))-INDEX(U21:W21,$C$2)))</f>
        <v>0.49888193202146691</v>
      </c>
      <c r="BV45" s="111">
        <f t="shared" si="113"/>
        <v>0</v>
      </c>
      <c r="BW45" s="111">
        <f t="shared" si="114"/>
        <v>0.61864659093987662</v>
      </c>
    </row>
    <row r="46" spans="1:75" x14ac:dyDescent="0.25">
      <c r="A46" s="20" t="str">
        <f t="shared" si="115"/>
        <v>Activity Ratio_by_rookie_mdrt:4 - 6 mths</v>
      </c>
      <c r="B46" t="s">
        <v>8</v>
      </c>
      <c r="C46" s="8">
        <f t="shared" si="98"/>
        <v>0.13698630136986301</v>
      </c>
      <c r="D46" s="8">
        <f t="shared" ref="D46:N46" si="132">IFERROR(D34/D22,"")</f>
        <v>0.13513513513513514</v>
      </c>
      <c r="E46" s="8">
        <f t="shared" si="132"/>
        <v>0.24</v>
      </c>
      <c r="F46" s="8">
        <f t="shared" si="132"/>
        <v>0.20529801324503311</v>
      </c>
      <c r="G46" s="8">
        <f t="shared" si="132"/>
        <v>0.265625</v>
      </c>
      <c r="H46" s="8">
        <f t="shared" si="132"/>
        <v>0.29317269076305219</v>
      </c>
      <c r="I46" s="8">
        <f t="shared" si="132"/>
        <v>0.25311203319502074</v>
      </c>
      <c r="J46" s="8">
        <f t="shared" si="132"/>
        <v>0.20212765957446807</v>
      </c>
      <c r="K46" s="8">
        <f t="shared" si="132"/>
        <v>0.38317757009345793</v>
      </c>
      <c r="L46" s="8">
        <f t="shared" si="132"/>
        <v>0.256198347107438</v>
      </c>
      <c r="M46" s="8">
        <f t="shared" si="132"/>
        <v>0.28647214854111408</v>
      </c>
      <c r="N46" s="8">
        <f t="shared" si="132"/>
        <v>0.27411167512690354</v>
      </c>
      <c r="O46" s="8">
        <f t="shared" si="100"/>
        <v>0.19193020719738277</v>
      </c>
      <c r="P46" s="8">
        <f t="shared" ref="P46:Z46" si="133">P34*2/SUM(O22:P22)</f>
        <v>0.16618357487922705</v>
      </c>
      <c r="Q46" s="8">
        <f t="shared" si="133"/>
        <v>0.29477292202227934</v>
      </c>
      <c r="R46" s="8">
        <f t="shared" si="133"/>
        <v>0.17170111287758347</v>
      </c>
      <c r="S46" s="8">
        <f t="shared" si="133"/>
        <v>0.14625550660792952</v>
      </c>
      <c r="T46" s="8">
        <f t="shared" si="133"/>
        <v>0.14831981460023175</v>
      </c>
      <c r="U46" s="8">
        <f t="shared" si="133"/>
        <v>0.1471004243281471</v>
      </c>
      <c r="V46" s="8">
        <f t="shared" si="133"/>
        <v>0.16910935738444194</v>
      </c>
      <c r="W46" s="8">
        <f t="shared" si="133"/>
        <v>0.15276695245518315</v>
      </c>
      <c r="X46" s="8">
        <f t="shared" si="133"/>
        <v>0.1131333005410723</v>
      </c>
      <c r="Y46" s="8">
        <f t="shared" si="133"/>
        <v>8.2285714285714281E-2</v>
      </c>
      <c r="Z46" s="8">
        <f t="shared" si="133"/>
        <v>0.15609093993892093</v>
      </c>
      <c r="AA46" s="139">
        <f>2*SUM(O34:INDEX(O34:Z34,$B$2))/(SUM(O22:INDEX(O22:Z22,$B$2))*2+N22-INDEX(O22:Z22,$B$2))</f>
        <v>0.18441118328155889</v>
      </c>
      <c r="AB46" s="8">
        <f t="shared" si="118"/>
        <v>0.2176289013662964</v>
      </c>
      <c r="AC46" s="8">
        <f>2*SUM(R34:INDEX(R34:T34,$C$2))/(Q22+SUM(R22:INDEX(R22:T22,$C$2))*2-INDEX(R22:T22,$C$2))</f>
        <v>0.17170111287758347</v>
      </c>
      <c r="AD46" s="8">
        <f t="shared" si="102"/>
        <v>0.15632557805592406</v>
      </c>
      <c r="AE46" s="8">
        <f t="shared" si="103"/>
        <v>0.1171699849219025</v>
      </c>
      <c r="AF46" s="8">
        <f>AVERAGE(C46:INDEX(C46:N46,$B$2))</f>
        <v>0.21847559624401486</v>
      </c>
      <c r="AG46" s="8">
        <f t="shared" si="119"/>
        <v>0.17070714550166607</v>
      </c>
      <c r="AH46" s="8">
        <f t="shared" si="120"/>
        <v>0.25469856800269514</v>
      </c>
      <c r="AI46" s="8">
        <f t="shared" si="121"/>
        <v>0.27947242095431557</v>
      </c>
      <c r="AJ46" s="8">
        <f t="shared" si="122"/>
        <v>0.27226072359181858</v>
      </c>
      <c r="AK46" s="31">
        <f t="shared" si="123"/>
        <v>-0.15591861767668325</v>
      </c>
      <c r="AL46" s="31">
        <f t="shared" si="104"/>
        <v>0.27486697013612926</v>
      </c>
      <c r="AM46" s="31">
        <f t="shared" si="104"/>
        <v>-0.32586541721048634</v>
      </c>
      <c r="AN46" s="31">
        <f t="shared" si="104"/>
        <v>-0.44064041266713005</v>
      </c>
      <c r="AO46" s="31">
        <f t="shared" si="104"/>
        <v>-0.56964051451810849</v>
      </c>
      <c r="AP46" s="8">
        <f t="shared" si="105"/>
        <v>6.2481404343945252E-2</v>
      </c>
      <c r="AQ46" s="8">
        <f t="shared" si="124"/>
        <v>0.12008577555396711</v>
      </c>
      <c r="AR46" s="8">
        <f t="shared" si="124"/>
        <v>0.19833178869323448</v>
      </c>
      <c r="AS46" s="8">
        <f t="shared" si="124"/>
        <v>0.1866913123844732</v>
      </c>
      <c r="AT46" s="8">
        <f t="shared" si="124"/>
        <v>0.12080536912751678</v>
      </c>
      <c r="AU46" s="8">
        <f t="shared" si="124"/>
        <v>0.1259731068648266</v>
      </c>
      <c r="AV46" s="8">
        <f t="shared" si="125"/>
        <v>0.12282157676348547</v>
      </c>
      <c r="AW46" s="18"/>
      <c r="AX46" s="18"/>
      <c r="AY46" s="18"/>
      <c r="AZ46" s="18"/>
      <c r="BA46" s="18"/>
      <c r="BB46" s="8">
        <f t="shared" ref="BB46:BB50" si="134">IFERROR(BB34/(AVERAGE(Z22,AP22)+AVERAGE(AP22,AQ22)+AVERAGE(AR22,AQ22)),"")</f>
        <v>0.11710953468798846</v>
      </c>
      <c r="BC46" s="8">
        <f>IFERROR(BC34*2/(AR22+2*SUM(AS22:INDEX(AS22:AU22,$C$2))-INDEX(AS22:AU22,$C$2)),"")</f>
        <v>0.36876155268022182</v>
      </c>
      <c r="BD46" s="8">
        <f>IFERROR(BD34*2/(AU22+2*SUM(AV22:INDEX(AV22:AX22,$C$2))-INDEX(AV22:AX22,$C$2)),"")</f>
        <v>0.12282157676348547</v>
      </c>
      <c r="BE46" s="18"/>
      <c r="BF46" s="8">
        <f>2*SUM(AP34:INDEX(AP34:BA34,$B$2))/(SUM(AP22:INDEX(AP22:BA22,$B$2))*2+Z22-INDEX(AP22:BA22,$B$2))</f>
        <v>0.12897158594747093</v>
      </c>
      <c r="BG46" s="122">
        <f t="shared" si="108"/>
        <v>0.32554231695112384</v>
      </c>
      <c r="BH46" s="111">
        <f t="shared" si="108"/>
        <v>0.72260917266486024</v>
      </c>
      <c r="BI46" s="111">
        <f t="shared" si="109"/>
        <v>0.67282906222385075</v>
      </c>
      <c r="BJ46" s="111">
        <f t="shared" si="110"/>
        <v>1.0873040323132745</v>
      </c>
      <c r="BK46" s="111">
        <f t="shared" si="111"/>
        <v>0.82598851782970806</v>
      </c>
      <c r="BL46" s="111">
        <f t="shared" si="112"/>
        <v>0.84933430644019814</v>
      </c>
      <c r="BM46" s="111">
        <f t="shared" si="126"/>
        <v>0.83495052665177139</v>
      </c>
      <c r="BN46" s="111"/>
      <c r="BO46" s="111"/>
      <c r="BP46" s="111"/>
      <c r="BQ46" s="111"/>
      <c r="BR46" s="111"/>
      <c r="BS46" s="111">
        <f t="shared" si="127"/>
        <v>0.52783907325409829</v>
      </c>
      <c r="BT46" s="111">
        <f t="shared" si="113"/>
        <v>2.147694598480181</v>
      </c>
      <c r="BU46" s="111">
        <f>BD46/(SUM(U34:INDEX(U34:W34, $C$2))*2/(T22+2*SUM(U22:INDEX(U22:W22,$C$2))-INDEX(U22:W22,$C$2)))</f>
        <v>0.83495052665177139</v>
      </c>
      <c r="BV46" s="111">
        <f t="shared" si="113"/>
        <v>0</v>
      </c>
      <c r="BW46" s="111">
        <f t="shared" si="114"/>
        <v>0.69936965672280937</v>
      </c>
    </row>
    <row r="47" spans="1:75" x14ac:dyDescent="0.25">
      <c r="A47" s="20" t="str">
        <f t="shared" si="115"/>
        <v>Activity Ratio_by_rookie_mdrt:7-12mth</v>
      </c>
      <c r="B47" t="s">
        <v>1</v>
      </c>
      <c r="C47" s="8">
        <f t="shared" si="98"/>
        <v>0.1893491124260355</v>
      </c>
      <c r="D47" s="8">
        <f t="shared" ref="D47:N47" si="135">IFERROR(D35/D23,"")</f>
        <v>0.14673913043478262</v>
      </c>
      <c r="E47" s="8">
        <f t="shared" si="135"/>
        <v>0.18666666666666668</v>
      </c>
      <c r="F47" s="8">
        <f t="shared" si="135"/>
        <v>0.20392156862745098</v>
      </c>
      <c r="G47" s="8">
        <f t="shared" si="135"/>
        <v>0.29385964912280704</v>
      </c>
      <c r="H47" s="8">
        <f t="shared" si="135"/>
        <v>0.23412698412698413</v>
      </c>
      <c r="I47" s="8">
        <f t="shared" si="135"/>
        <v>0.27777777777777779</v>
      </c>
      <c r="J47" s="8">
        <f t="shared" si="135"/>
        <v>0.20564516129032259</v>
      </c>
      <c r="K47" s="8">
        <f t="shared" si="135"/>
        <v>0.46280991735537191</v>
      </c>
      <c r="L47" s="8">
        <f t="shared" si="135"/>
        <v>0.35094339622641507</v>
      </c>
      <c r="M47" s="8">
        <f t="shared" si="135"/>
        <v>0.31</v>
      </c>
      <c r="N47" s="8">
        <f t="shared" si="135"/>
        <v>0.36184210526315791</v>
      </c>
      <c r="O47" s="8">
        <f t="shared" si="100"/>
        <v>0.16143497757847533</v>
      </c>
      <c r="P47" s="8">
        <f t="shared" ref="P47:Z47" si="136">P35*2/SUM(O23:P23)</f>
        <v>0.17391304347826086</v>
      </c>
      <c r="Q47" s="8">
        <f t="shared" si="136"/>
        <v>0.25899280575539568</v>
      </c>
      <c r="R47" s="8">
        <f t="shared" si="136"/>
        <v>0.21293532338308457</v>
      </c>
      <c r="S47" s="8">
        <f t="shared" si="136"/>
        <v>0.20744680851063829</v>
      </c>
      <c r="T47" s="8">
        <f t="shared" si="136"/>
        <v>0.22611464968152867</v>
      </c>
      <c r="U47" s="8">
        <f t="shared" si="136"/>
        <v>0.12338593974175036</v>
      </c>
      <c r="V47" s="8">
        <f t="shared" si="136"/>
        <v>9.5238095238095233E-2</v>
      </c>
      <c r="W47" s="8">
        <f t="shared" si="136"/>
        <v>0.13139931740614336</v>
      </c>
      <c r="X47" s="8">
        <f t="shared" si="136"/>
        <v>8.7037037037037038E-2</v>
      </c>
      <c r="Y47" s="8">
        <f t="shared" si="136"/>
        <v>0.11320754716981132</v>
      </c>
      <c r="Z47" s="8">
        <f t="shared" si="136"/>
        <v>0.21673306772908366</v>
      </c>
      <c r="AA47" s="139">
        <f>2*SUM(O35:INDEX(O35:Z35,$B$2))/(SUM(O23:INDEX(O23:Z23,$B$2))*2+N23-INDEX(O23:Z23,$B$2))</f>
        <v>0.19304471256210079</v>
      </c>
      <c r="AB47" s="8">
        <f t="shared" si="118"/>
        <v>0.19811360893737731</v>
      </c>
      <c r="AC47" s="8">
        <f>2*SUM(R35:INDEX(R35:T35,$C$2))/(Q23+SUM(R23:INDEX(R23:T23,$C$2))*2-INDEX(R23:T23,$C$2))</f>
        <v>0.21293532338308457</v>
      </c>
      <c r="AD47" s="8">
        <f t="shared" si="102"/>
        <v>0.11667445079532963</v>
      </c>
      <c r="AE47" s="8">
        <f t="shared" si="103"/>
        <v>0.13899255064531069</v>
      </c>
      <c r="AF47" s="8">
        <f>AVERAGE(C47:INDEX(C47:N47,$B$2))</f>
        <v>0.21892012702607211</v>
      </c>
      <c r="AG47" s="8">
        <f t="shared" si="119"/>
        <v>0.17425163650916162</v>
      </c>
      <c r="AH47" s="8">
        <f t="shared" si="120"/>
        <v>0.24396940062574737</v>
      </c>
      <c r="AI47" s="8">
        <f t="shared" si="121"/>
        <v>0.31541095214115744</v>
      </c>
      <c r="AJ47" s="8">
        <f t="shared" si="122"/>
        <v>0.34092850049652434</v>
      </c>
      <c r="AK47" s="31">
        <f t="shared" si="123"/>
        <v>-0.11819568541036751</v>
      </c>
      <c r="AL47" s="31">
        <f t="shared" si="104"/>
        <v>0.13693973213824662</v>
      </c>
      <c r="AM47" s="31">
        <f t="shared" si="104"/>
        <v>-0.12720479356454018</v>
      </c>
      <c r="AN47" s="31">
        <f t="shared" si="104"/>
        <v>-0.63008750963373727</v>
      </c>
      <c r="AO47" s="31">
        <f t="shared" si="104"/>
        <v>-0.59231172975306101</v>
      </c>
      <c r="AP47" s="8">
        <f t="shared" si="105"/>
        <v>5.232558139534884E-2</v>
      </c>
      <c r="AQ47" s="8">
        <f t="shared" si="124"/>
        <v>8.8111044055522031E-2</v>
      </c>
      <c r="AR47" s="8">
        <f t="shared" si="124"/>
        <v>0.16530156366344007</v>
      </c>
      <c r="AS47" s="8">
        <f t="shared" si="124"/>
        <v>0.15968586387434555</v>
      </c>
      <c r="AT47" s="8">
        <f t="shared" si="124"/>
        <v>9.6385542168674704E-2</v>
      </c>
      <c r="AU47" s="8">
        <f t="shared" si="124"/>
        <v>9.4752929190015281E-2</v>
      </c>
      <c r="AV47" s="8">
        <f t="shared" si="125"/>
        <v>7.9404466501240695E-2</v>
      </c>
      <c r="AW47" s="18"/>
      <c r="AX47" s="18"/>
      <c r="AY47" s="18"/>
      <c r="AZ47" s="18"/>
      <c r="BA47" s="18"/>
      <c r="BB47" s="8">
        <f t="shared" si="134"/>
        <v>9.7033898305084743E-2</v>
      </c>
      <c r="BC47" s="8">
        <f>IFERROR(BC35*2/(AR23+2*SUM(AS23:INDEX(AS23:AU23,$C$2))-INDEX(AS23:AU23,$C$2)),"")</f>
        <v>0.3913612565445026</v>
      </c>
      <c r="BD47" s="8">
        <f>IFERROR(BD35*2/(AU23+2*SUM(AV23:INDEX(AV23:AX23,$C$2))-INDEX(AV23:AX23,$C$2)),"")</f>
        <v>7.9404466501240695E-2</v>
      </c>
      <c r="BE47" s="18"/>
      <c r="BF47" s="8">
        <f>2*SUM(AP35:INDEX(AP35:BA35,$B$2))/(SUM(AP23:INDEX(AP23:BA23,$B$2))*2+Z23-INDEX(AP23:BA23,$B$2))</f>
        <v>0.10159578912189823</v>
      </c>
      <c r="BG47" s="122">
        <f t="shared" si="108"/>
        <v>0.32412790697674421</v>
      </c>
      <c r="BH47" s="111">
        <f t="shared" si="108"/>
        <v>0.50663850331925164</v>
      </c>
      <c r="BI47" s="111">
        <f t="shared" si="109"/>
        <v>0.63824770414494914</v>
      </c>
      <c r="BJ47" s="111">
        <f t="shared" si="110"/>
        <v>0.74992660370895925</v>
      </c>
      <c r="BK47" s="111">
        <f t="shared" si="111"/>
        <v>0.46462774173617549</v>
      </c>
      <c r="BL47" s="111">
        <f t="shared" si="112"/>
        <v>0.41904816571358872</v>
      </c>
      <c r="BM47" s="111">
        <f t="shared" si="126"/>
        <v>0.64354550176005543</v>
      </c>
      <c r="BN47" s="111"/>
      <c r="BO47" s="111"/>
      <c r="BP47" s="111"/>
      <c r="BQ47" s="111"/>
      <c r="BR47" s="111"/>
      <c r="BS47" s="111">
        <f t="shared" si="127"/>
        <v>0.48133920606601244</v>
      </c>
      <c r="BT47" s="111">
        <f t="shared" si="113"/>
        <v>1.8379348730244165</v>
      </c>
      <c r="BU47" s="111">
        <f>BD47/(SUM(U35:INDEX(U35:W35, $C$2))*2/(T23+2*SUM(U23:INDEX(U23:W23,$C$2))-INDEX(U23:W23,$C$2)))</f>
        <v>0.64354550176005543</v>
      </c>
      <c r="BV47" s="111">
        <f t="shared" si="113"/>
        <v>0</v>
      </c>
      <c r="BW47" s="111">
        <f t="shared" si="114"/>
        <v>0.52628112820865658</v>
      </c>
    </row>
    <row r="48" spans="1:75" x14ac:dyDescent="0.25">
      <c r="A48" s="20" t="str">
        <f t="shared" si="115"/>
        <v>Activity Ratio_by_rookie_mdrt:13+mth</v>
      </c>
      <c r="B48" t="s">
        <v>2</v>
      </c>
      <c r="C48" s="8">
        <f t="shared" si="98"/>
        <v>2.6315789473684209E-2</v>
      </c>
      <c r="D48" s="8">
        <f t="shared" ref="D48:N48" si="137">IFERROR(D36/D24,"")</f>
        <v>7.6923076923076927E-2</v>
      </c>
      <c r="E48" s="8">
        <f t="shared" si="137"/>
        <v>5.0632911392405063E-2</v>
      </c>
      <c r="F48" s="8">
        <f t="shared" si="137"/>
        <v>3.8461538461538464E-2</v>
      </c>
      <c r="G48" s="8">
        <f t="shared" si="137"/>
        <v>0.15</v>
      </c>
      <c r="H48" s="8">
        <f t="shared" si="137"/>
        <v>0.10743801652892562</v>
      </c>
      <c r="I48" s="8">
        <f t="shared" si="137"/>
        <v>0.19607843137254902</v>
      </c>
      <c r="J48" s="8">
        <f t="shared" si="137"/>
        <v>0.22222222222222221</v>
      </c>
      <c r="K48" s="8">
        <f t="shared" si="137"/>
        <v>0.44827586206896552</v>
      </c>
      <c r="L48" s="8">
        <f t="shared" si="137"/>
        <v>0.20799999999999999</v>
      </c>
      <c r="M48" s="8">
        <f t="shared" si="137"/>
        <v>0.40298507462686567</v>
      </c>
      <c r="N48" s="8">
        <f t="shared" si="137"/>
        <v>0.29585798816568049</v>
      </c>
      <c r="O48" s="8">
        <f t="shared" si="100"/>
        <v>0.16759776536312848</v>
      </c>
      <c r="P48" s="8">
        <f t="shared" ref="P48:Z48" si="138">P36*2/SUM(O24:P24)</f>
        <v>0.11707317073170732</v>
      </c>
      <c r="Q48" s="8">
        <f t="shared" si="138"/>
        <v>0.21777777777777776</v>
      </c>
      <c r="R48" s="8">
        <f t="shared" si="138"/>
        <v>0.128099173553719</v>
      </c>
      <c r="S48" s="8">
        <f t="shared" si="138"/>
        <v>0.18571428571428572</v>
      </c>
      <c r="T48" s="8">
        <f t="shared" si="138"/>
        <v>0.21766561514195584</v>
      </c>
      <c r="U48" s="8">
        <f t="shared" si="138"/>
        <v>0.15078236130867709</v>
      </c>
      <c r="V48" s="8">
        <f t="shared" si="138"/>
        <v>0.20775969962453067</v>
      </c>
      <c r="W48" s="8">
        <f t="shared" si="138"/>
        <v>0.17199558985667035</v>
      </c>
      <c r="X48" s="8">
        <f t="shared" si="138"/>
        <v>0.17234848484848486</v>
      </c>
      <c r="Y48" s="8">
        <f t="shared" si="138"/>
        <v>0.1362862010221465</v>
      </c>
      <c r="Z48" s="8">
        <f t="shared" si="138"/>
        <v>0.18404907975460122</v>
      </c>
      <c r="AA48" s="139">
        <f>2*SUM(O36:INDEX(O36:Z36,$B$2))/(SUM(O24:INDEX(O24:Z24,$B$2))*2+N24-INDEX(O24:Z24,$B$2))</f>
        <v>0.171158655181995</v>
      </c>
      <c r="AB48" s="8">
        <f t="shared" si="118"/>
        <v>0.16748290462420454</v>
      </c>
      <c r="AC48" s="8">
        <f>2*SUM(R36:INDEX(R36:T36,$C$2))/(Q24+SUM(R24:INDEX(R24:T24,$C$2))*2-INDEX(R24:T24,$C$2))</f>
        <v>0.128099173553719</v>
      </c>
      <c r="AD48" s="8">
        <f t="shared" si="102"/>
        <v>0.17684588359662601</v>
      </c>
      <c r="AE48" s="8">
        <f t="shared" si="103"/>
        <v>0.16422792187507754</v>
      </c>
      <c r="AF48" s="8">
        <f>AVERAGE(C48:INDEX(C48:N48,$B$2))</f>
        <v>9.2264252021739893E-2</v>
      </c>
      <c r="AG48" s="8">
        <f t="shared" si="119"/>
        <v>5.1290592596388733E-2</v>
      </c>
      <c r="AH48" s="8">
        <f t="shared" si="120"/>
        <v>9.8633184996821346E-2</v>
      </c>
      <c r="AI48" s="8">
        <f t="shared" si="121"/>
        <v>0.28885883855457889</v>
      </c>
      <c r="AJ48" s="8">
        <f t="shared" si="122"/>
        <v>0.30228102093084869</v>
      </c>
      <c r="AK48" s="31">
        <f t="shared" si="123"/>
        <v>0.85509177640832656</v>
      </c>
      <c r="AL48" s="31">
        <f t="shared" si="104"/>
        <v>2.2653727739538083</v>
      </c>
      <c r="AM48" s="31">
        <f t="shared" si="104"/>
        <v>0.29874315178859168</v>
      </c>
      <c r="AN48" s="31">
        <f t="shared" si="104"/>
        <v>-0.38777748854234351</v>
      </c>
      <c r="AO48" s="31">
        <f t="shared" si="104"/>
        <v>-0.45670448852742518</v>
      </c>
      <c r="AP48" s="8">
        <f t="shared" si="105"/>
        <v>7.4475287745429927E-2</v>
      </c>
      <c r="AQ48" s="8">
        <f t="shared" si="124"/>
        <v>0.11507293354943274</v>
      </c>
      <c r="AR48" s="8">
        <f t="shared" si="124"/>
        <v>0.14955357142857142</v>
      </c>
      <c r="AS48" s="8">
        <f t="shared" si="124"/>
        <v>0.16972477064220184</v>
      </c>
      <c r="AT48" s="8">
        <f t="shared" si="124"/>
        <v>0.140625</v>
      </c>
      <c r="AU48" s="8">
        <f t="shared" si="124"/>
        <v>0.12513034410844631</v>
      </c>
      <c r="AV48" s="8">
        <f t="shared" si="125"/>
        <v>0.11131725417439703</v>
      </c>
      <c r="AW48" s="18"/>
      <c r="AX48" s="18"/>
      <c r="AY48" s="18"/>
      <c r="AZ48" s="18"/>
      <c r="BA48" s="18"/>
      <c r="BB48" s="8">
        <f t="shared" si="134"/>
        <v>0.10701413917382867</v>
      </c>
      <c r="BC48" s="8">
        <f>IFERROR(BC36*2/(AR24+2*SUM(AS24:INDEX(AS24:AU24,$C$2))-INDEX(AS24:AU24,$C$2)),"")</f>
        <v>0.45183486238532111</v>
      </c>
      <c r="BD48" s="8">
        <f>IFERROR(BD36*2/(AU24+2*SUM(AV24:INDEX(AV24:AX24,$C$2))-INDEX(AV24:AX24,$C$2)),"")</f>
        <v>0.11131725417439703</v>
      </c>
      <c r="BE48" s="18"/>
      <c r="BF48" s="8">
        <f>2*SUM(AP36:INDEX(AP36:BA36,$B$2))/(SUM(AP24:INDEX(AP24:BA24,$B$2))*2+Z24-INDEX(AP24:BA24,$B$2))</f>
        <v>0.12142471667566108</v>
      </c>
      <c r="BG48" s="122">
        <f t="shared" si="108"/>
        <v>0.44436921688106523</v>
      </c>
      <c r="BH48" s="111">
        <f t="shared" si="108"/>
        <v>0.98291464073473789</v>
      </c>
      <c r="BI48" s="111">
        <f t="shared" si="109"/>
        <v>0.68672558309037901</v>
      </c>
      <c r="BJ48" s="111">
        <f t="shared" si="110"/>
        <v>1.3249482095294467</v>
      </c>
      <c r="BK48" s="111">
        <f t="shared" si="111"/>
        <v>0.75721153846153844</v>
      </c>
      <c r="BL48" s="111">
        <f t="shared" si="112"/>
        <v>0.57487418959967362</v>
      </c>
      <c r="BM48" s="111">
        <f t="shared" si="126"/>
        <v>0.73826443098680294</v>
      </c>
      <c r="BN48" s="111"/>
      <c r="BO48" s="111"/>
      <c r="BP48" s="111"/>
      <c r="BQ48" s="111"/>
      <c r="BR48" s="111"/>
      <c r="BS48" s="111">
        <f t="shared" si="127"/>
        <v>0.63273408501807438</v>
      </c>
      <c r="BT48" s="111">
        <f t="shared" si="113"/>
        <v>3.5272269902337974</v>
      </c>
      <c r="BU48" s="111">
        <f>BD48/(SUM(U36:INDEX(U36:W36, $C$2))*2/(T24+2*SUM(U24:INDEX(U24:W24,$C$2))-INDEX(U24:W24,$C$2)))</f>
        <v>0.73826443098680294</v>
      </c>
      <c r="BV48" s="111">
        <f t="shared" si="113"/>
        <v>0</v>
      </c>
      <c r="BW48" s="111">
        <f>BF48/AA48</f>
        <v>0.70942784953848093</v>
      </c>
    </row>
    <row r="49" spans="1:75" x14ac:dyDescent="0.25">
      <c r="A49" s="20" t="str">
        <f t="shared" si="115"/>
        <v>Activity Ratio_by_rookie_mdrt:SA</v>
      </c>
      <c r="B49" s="135" t="s">
        <v>136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31"/>
      <c r="AL49" s="31"/>
      <c r="AM49" s="31"/>
      <c r="AN49" s="31"/>
      <c r="AO49" s="31"/>
      <c r="AP49" s="8"/>
      <c r="AQ49" s="8">
        <f>IFERROR(AQ37/(SUM(AP25,AQ25)/2),"")</f>
        <v>8.6173633440514472E-2</v>
      </c>
      <c r="AR49" s="8">
        <f t="shared" si="124"/>
        <v>2.7573529411764705E-2</v>
      </c>
      <c r="AS49" s="8">
        <f t="shared" si="124"/>
        <v>5.6441717791411043E-2</v>
      </c>
      <c r="AT49" s="8">
        <f t="shared" si="124"/>
        <v>1.7234625930278104E-2</v>
      </c>
      <c r="AU49" s="8">
        <f t="shared" si="124"/>
        <v>1.3909587680079483E-2</v>
      </c>
      <c r="AV49" s="8">
        <f t="shared" si="125"/>
        <v>8.658008658008658E-3</v>
      </c>
      <c r="AW49" s="18"/>
      <c r="AX49" s="18"/>
      <c r="AY49" s="18"/>
      <c r="AZ49" s="18"/>
      <c r="BA49" s="18"/>
      <c r="BB49" s="8">
        <f>IFERROR(BB37/(SUM(AP25,AQ25,AQ25,AR25)/2),"")</f>
        <v>4.6482672753683334E-2</v>
      </c>
      <c r="BC49" s="8">
        <f>IFERROR(BC37*2/(AR25+2*SUM(AS25:INDEX(AS25:AU25,$C$2))-INDEX(AS25:AU25,$C$2)),"")</f>
        <v>9.8650306748466254E-2</v>
      </c>
      <c r="BD49" s="8">
        <f>IFERROR(BD37*2/(AU25+2*SUM(AV25:INDEX(AV25:AX25,$C$2))-INDEX(AV25:AX25,$C$2)),"")</f>
        <v>8.658008658008658E-3</v>
      </c>
      <c r="BE49" s="18"/>
      <c r="BF49" s="8">
        <f>2*SUM(AP37:INDEX(AP37:BA37,$B$2))/(SUM(AP25:INDEX(AP25:BA25,$B$2))*2+Z25-INDEX(AP25:BA25,$B$2))</f>
        <v>2.5154022820896068E-2</v>
      </c>
      <c r="BG49" s="122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</row>
    <row r="50" spans="1:75" s="19" customFormat="1" x14ac:dyDescent="0.25">
      <c r="A50" s="20" t="str">
        <f t="shared" si="115"/>
        <v>Activity Ratio_by_rookie_mdrt:Total</v>
      </c>
      <c r="B50" s="1" t="s">
        <v>186</v>
      </c>
      <c r="C50" s="9">
        <f t="shared" ref="C50:N50" si="139">IFERROR(C38/C26,"")</f>
        <v>0.22942206654991243</v>
      </c>
      <c r="D50" s="9">
        <f t="shared" si="139"/>
        <v>0.19783873649210307</v>
      </c>
      <c r="E50" s="9">
        <f t="shared" si="139"/>
        <v>0.25244177310293014</v>
      </c>
      <c r="F50" s="9">
        <f t="shared" si="139"/>
        <v>0.22887558216899534</v>
      </c>
      <c r="G50" s="9">
        <f t="shared" si="139"/>
        <v>0.2844413982179575</v>
      </c>
      <c r="H50" s="9">
        <f t="shared" si="139"/>
        <v>0.30505050505050507</v>
      </c>
      <c r="I50" s="9">
        <f t="shared" si="139"/>
        <v>0.33804713804713804</v>
      </c>
      <c r="J50" s="9">
        <f t="shared" si="139"/>
        <v>0.26145038167938933</v>
      </c>
      <c r="K50" s="9">
        <f t="shared" si="139"/>
        <v>0.44168591224018477</v>
      </c>
      <c r="L50" s="9">
        <f t="shared" si="139"/>
        <v>0.3434125269978402</v>
      </c>
      <c r="M50" s="9">
        <f t="shared" si="139"/>
        <v>0.35815939278937381</v>
      </c>
      <c r="N50" s="9">
        <f t="shared" si="139"/>
        <v>0.36861313868613138</v>
      </c>
      <c r="O50" s="9">
        <f t="shared" ref="O50:Z50" si="140">O38*2/SUM(N26:O26)</f>
        <v>0.17864429834504647</v>
      </c>
      <c r="P50" s="9">
        <f t="shared" si="140"/>
        <v>0.17797194757415497</v>
      </c>
      <c r="Q50" s="9">
        <f t="shared" si="140"/>
        <v>0.29847345636819322</v>
      </c>
      <c r="R50" s="9">
        <f t="shared" si="140"/>
        <v>0.23815676141257536</v>
      </c>
      <c r="S50" s="9">
        <f t="shared" si="140"/>
        <v>0.25908558030480655</v>
      </c>
      <c r="T50" s="9">
        <f t="shared" si="140"/>
        <v>0.3403099536667199</v>
      </c>
      <c r="U50" s="9">
        <f t="shared" si="140"/>
        <v>0.22210343445142322</v>
      </c>
      <c r="V50" s="9">
        <f t="shared" si="140"/>
        <v>0.22688975910763023</v>
      </c>
      <c r="W50" s="9">
        <f t="shared" si="140"/>
        <v>0.25188442211055279</v>
      </c>
      <c r="X50" s="9">
        <f t="shared" si="140"/>
        <v>0.18542798276830869</v>
      </c>
      <c r="Y50" s="9">
        <f t="shared" si="140"/>
        <v>0.16615013774104684</v>
      </c>
      <c r="Z50" s="9">
        <f t="shared" si="140"/>
        <v>0.26696014464271678</v>
      </c>
      <c r="AA50" s="9">
        <f>2*SUM(O38:INDEX(O38:Z38,$B$2))/(SUM(O26:INDEX(O26:Z26,$B$2))*2+N26-INDEX(O26:Z26,$B$2))</f>
        <v>0.2481652252203094</v>
      </c>
      <c r="AB50" s="9">
        <f t="shared" si="118"/>
        <v>0.21836323409579825</v>
      </c>
      <c r="AC50" s="9">
        <f>2*SUM(R38:INDEX(R38:T38,$C$2))/(Q26+SUM(R26:INDEX(R26:T26,$C$2))*2-INDEX(R26:T26,$C$2))</f>
        <v>0.23815676141257536</v>
      </c>
      <c r="AD50" s="9">
        <f t="shared" si="102"/>
        <v>0.23362587188986872</v>
      </c>
      <c r="AE50" s="9">
        <f t="shared" si="103"/>
        <v>0.20617942171735745</v>
      </c>
      <c r="AF50" s="28">
        <f>AVERAGE(C50:INDEX(C50:N50,$B$2))</f>
        <v>0.26230245708993449</v>
      </c>
      <c r="AG50" s="28">
        <f t="shared" si="119"/>
        <v>0.22656752538164857</v>
      </c>
      <c r="AH50" s="28">
        <f t="shared" si="120"/>
        <v>0.27278916181248597</v>
      </c>
      <c r="AI50" s="28">
        <f t="shared" si="121"/>
        <v>0.34706114398890403</v>
      </c>
      <c r="AJ50" s="28">
        <f t="shared" si="122"/>
        <v>0.35672835282444848</v>
      </c>
      <c r="AK50" s="32">
        <f t="shared" si="123"/>
        <v>-5.3896681054641959E-2</v>
      </c>
      <c r="AL50" s="32">
        <f t="shared" si="104"/>
        <v>-3.6211241094814217E-2</v>
      </c>
      <c r="AM50" s="32">
        <f t="shared" si="104"/>
        <v>-0.12695665828438141</v>
      </c>
      <c r="AN50" s="32">
        <f t="shared" si="104"/>
        <v>-0.32684520887380575</v>
      </c>
      <c r="AO50" s="32">
        <f t="shared" si="104"/>
        <v>-0.42202681652607099</v>
      </c>
      <c r="AP50" s="28">
        <f t="shared" ref="AP50" si="141">IFERROR(AP38/AVERAGE(Z26,AP26),"")</f>
        <v>9.7846199393087113E-2</v>
      </c>
      <c r="AQ50" s="28">
        <f>IFERROR(AQ38/AVERAGE(AP26,AQ26),"")</f>
        <v>0.1365289010907472</v>
      </c>
      <c r="AR50" s="28">
        <f>IFERROR(AR38/AVERAGE(AQ26,AR26),"")</f>
        <v>0.20923593618807726</v>
      </c>
      <c r="AS50" s="28">
        <f>IFERROR(AS38/AVERAGE(AR26,AS26),"")</f>
        <v>0.22019452521808883</v>
      </c>
      <c r="AT50" s="28">
        <f>IFERROR(AT38/AVERAGE(AS26,AT26),"")</f>
        <v>0.17862311350010338</v>
      </c>
      <c r="AU50" s="28">
        <f>IFERROR(AU38/AVERAGE(AT26,AU26),"")</f>
        <v>0.23423767672907911</v>
      </c>
      <c r="AV50" s="8">
        <f t="shared" si="125"/>
        <v>0.16233943700464606</v>
      </c>
      <c r="AW50" s="37"/>
      <c r="AX50" s="37"/>
      <c r="AY50" s="37"/>
      <c r="AZ50" s="37"/>
      <c r="BA50" s="37"/>
      <c r="BB50" s="28">
        <f t="shared" si="134"/>
        <v>0.14535451694174509</v>
      </c>
      <c r="BC50" s="28">
        <f>IFERROR(BC38*2/(AR26+2*SUM(AS26:INDEX(AS26:AU26,$C$2))-INDEX(AS26:AU26,$C$2)),"")</f>
        <v>0.63932618068785718</v>
      </c>
      <c r="BD50" s="8">
        <f>IFERROR(BD38*2/(AU26+2*SUM(AV26:INDEX(AV26:AX26,$C$2))-INDEX(AV26:AX26,$C$2)),"")</f>
        <v>0.16233943700464606</v>
      </c>
      <c r="BE50" s="37"/>
      <c r="BF50" s="28">
        <f>2*SUM(AP38:INDEX(AP38:BA38,$B$2))/(SUM(AP26:INDEX(AP26:BA26,$B$2))*2+Z26-INDEX(AP26:BA26,$B$2))</f>
        <v>0.17267158394799351</v>
      </c>
      <c r="BG50" s="123">
        <f t="shared" si="108"/>
        <v>0.5477152100544509</v>
      </c>
      <c r="BH50" s="118">
        <f t="shared" si="108"/>
        <v>0.76713719747242837</v>
      </c>
      <c r="BI50" s="118">
        <f t="shared" ref="BI50" si="142">AR50/Q50</f>
        <v>0.70102024727440537</v>
      </c>
      <c r="BJ50" s="118">
        <f t="shared" ref="BJ50" si="143">AS50/R50</f>
        <v>0.92457809684702041</v>
      </c>
      <c r="BK50" s="118">
        <f t="shared" ref="BK50" si="144">AT50/S50</f>
        <v>0.68943672314745785</v>
      </c>
      <c r="BL50" s="118">
        <f t="shared" ref="BL50:BM50" si="145">AU50/T50</f>
        <v>0.68830686321469781</v>
      </c>
      <c r="BM50" s="118">
        <f t="shared" si="145"/>
        <v>0.73091817515389079</v>
      </c>
      <c r="BN50" s="118"/>
      <c r="BO50" s="118"/>
      <c r="BP50" s="118"/>
      <c r="BQ50" s="118"/>
      <c r="BR50" s="118"/>
      <c r="BS50" s="118">
        <f>BB50/((O38+P38+Q38)/(SUM(N26,O26,O26,P26,P26,Q26)/2))</f>
        <v>0.66548277968906899</v>
      </c>
      <c r="BT50" s="118">
        <f t="shared" si="113"/>
        <v>2.68447629576348</v>
      </c>
      <c r="BU50" s="111">
        <f>BD50/(SUM(U38:INDEX(U38:W38, $C$2))*2/(T26+2*SUM(U26:INDEX(U26:W26,$C$2))-INDEX(U26:W26,$C$2)))</f>
        <v>0.73091817515389079</v>
      </c>
      <c r="BV50" s="118">
        <f t="shared" si="113"/>
        <v>0</v>
      </c>
      <c r="BW50" s="118">
        <f t="shared" si="114"/>
        <v>0.69579282832517653</v>
      </c>
    </row>
    <row r="51" spans="1:75" x14ac:dyDescent="0.25">
      <c r="B51" t="s">
        <v>187</v>
      </c>
      <c r="AA51" s="31">
        <f>2*SUM(O38:INDEX(O38:Z38,$B$2))/(SUM(O26:INDEX(O26:Z26,$B$2))*2+N26-INDEX(O26:Z26,$B$2))</f>
        <v>0.2481652252203094</v>
      </c>
      <c r="AB51" s="18"/>
      <c r="AC51" s="31"/>
      <c r="AD51" s="18"/>
      <c r="AE51" s="18"/>
      <c r="AF51" s="31">
        <f>2*SUM(C38:INDEX(C38:N38,$B$2))/(SUM(C26:INDEX(C26:N26,$B$2))*2+C26-INDEX(C26:N26,$B$2))</f>
        <v>0.27022730885391827</v>
      </c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32">
        <f>2*SUM(AP38:INDEX(AP38:BA38,B2))/(SUM(AP26:INDEX(AP26:BA26,B2))*2+Z26-INDEX(AP26:BA26,B2))</f>
        <v>0.17267158394799351</v>
      </c>
      <c r="BG51" s="124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</row>
    <row r="52" spans="1:75" x14ac:dyDescent="0.25">
      <c r="B52" t="s">
        <v>187</v>
      </c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24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</row>
    <row r="53" spans="1:75" s="19" customFormat="1" x14ac:dyDescent="0.25">
      <c r="B53" s="2" t="s">
        <v>12</v>
      </c>
      <c r="C53" s="3">
        <f t="shared" ref="C53:Z53" si="146">C17</f>
        <v>42005</v>
      </c>
      <c r="D53" s="3">
        <f t="shared" si="146"/>
        <v>42036</v>
      </c>
      <c r="E53" s="3">
        <f t="shared" si="146"/>
        <v>42064</v>
      </c>
      <c r="F53" s="3">
        <f t="shared" si="146"/>
        <v>42095</v>
      </c>
      <c r="G53" s="3">
        <f t="shared" si="146"/>
        <v>42125</v>
      </c>
      <c r="H53" s="3">
        <f t="shared" si="146"/>
        <v>42156</v>
      </c>
      <c r="I53" s="3">
        <f t="shared" si="146"/>
        <v>42186</v>
      </c>
      <c r="J53" s="3">
        <f t="shared" si="146"/>
        <v>42217</v>
      </c>
      <c r="K53" s="3">
        <f t="shared" si="146"/>
        <v>42248</v>
      </c>
      <c r="L53" s="3">
        <f t="shared" si="146"/>
        <v>42278</v>
      </c>
      <c r="M53" s="3">
        <f t="shared" si="146"/>
        <v>42309</v>
      </c>
      <c r="N53" s="3">
        <f t="shared" si="146"/>
        <v>42339</v>
      </c>
      <c r="O53" s="3">
        <f t="shared" si="146"/>
        <v>42370</v>
      </c>
      <c r="P53" s="3">
        <f t="shared" si="146"/>
        <v>42401</v>
      </c>
      <c r="Q53" s="3">
        <f t="shared" si="146"/>
        <v>42430</v>
      </c>
      <c r="R53" s="3">
        <f t="shared" si="146"/>
        <v>42461</v>
      </c>
      <c r="S53" s="3">
        <f t="shared" si="146"/>
        <v>42491</v>
      </c>
      <c r="T53" s="3">
        <f t="shared" si="146"/>
        <v>42522</v>
      </c>
      <c r="U53" s="3">
        <f t="shared" si="146"/>
        <v>42552</v>
      </c>
      <c r="V53" s="3">
        <f t="shared" si="146"/>
        <v>42583</v>
      </c>
      <c r="W53" s="3">
        <f t="shared" si="146"/>
        <v>42614</v>
      </c>
      <c r="X53" s="3">
        <f t="shared" si="146"/>
        <v>42644</v>
      </c>
      <c r="Y53" s="3">
        <f t="shared" si="146"/>
        <v>42675</v>
      </c>
      <c r="Z53" s="3">
        <f t="shared" si="146"/>
        <v>42705</v>
      </c>
      <c r="AA53" s="29" t="str">
        <f>AA41</f>
        <v>YTD 7/16</v>
      </c>
      <c r="AB53" s="29" t="s">
        <v>19</v>
      </c>
      <c r="AC53" s="29" t="s">
        <v>20</v>
      </c>
      <c r="AD53" s="29" t="s">
        <v>21</v>
      </c>
      <c r="AE53" s="29" t="s">
        <v>22</v>
      </c>
      <c r="AF53" s="26" t="str">
        <f t="shared" ref="AF53:AJ53" si="147">AF29</f>
        <v>YTD 7/15</v>
      </c>
      <c r="AG53" s="26" t="str">
        <f t="shared" si="147"/>
        <v>Q1 '15</v>
      </c>
      <c r="AH53" s="26" t="str">
        <f t="shared" si="147"/>
        <v>Q2 '15</v>
      </c>
      <c r="AI53" s="26" t="str">
        <f t="shared" si="147"/>
        <v>Q3 '15</v>
      </c>
      <c r="AJ53" s="26" t="str">
        <f t="shared" si="147"/>
        <v>Q4 '15</v>
      </c>
      <c r="AK53" s="30" t="s">
        <v>27</v>
      </c>
      <c r="AL53" s="30" t="s">
        <v>29</v>
      </c>
      <c r="AM53" s="30" t="s">
        <v>30</v>
      </c>
      <c r="AN53" s="30" t="s">
        <v>31</v>
      </c>
      <c r="AO53" s="30" t="s">
        <v>32</v>
      </c>
      <c r="AP53" s="108">
        <v>42736</v>
      </c>
      <c r="AQ53" s="108">
        <v>42767</v>
      </c>
      <c r="AR53" s="108">
        <v>42795</v>
      </c>
      <c r="AS53" s="108">
        <v>42826</v>
      </c>
      <c r="AT53" s="108">
        <v>42856</v>
      </c>
      <c r="AU53" s="108">
        <v>42887</v>
      </c>
      <c r="AV53" s="108">
        <v>42917</v>
      </c>
      <c r="AW53" s="108">
        <v>42948</v>
      </c>
      <c r="AX53" s="108">
        <v>42979</v>
      </c>
      <c r="AY53" s="108">
        <v>43009</v>
      </c>
      <c r="AZ53" s="108">
        <v>43040</v>
      </c>
      <c r="BA53" s="108">
        <v>43070</v>
      </c>
      <c r="BB53" s="29" t="s">
        <v>123</v>
      </c>
      <c r="BC53" s="29" t="s">
        <v>124</v>
      </c>
      <c r="BD53" s="29" t="s">
        <v>125</v>
      </c>
      <c r="BE53" s="29" t="s">
        <v>126</v>
      </c>
      <c r="BF53" s="29" t="str">
        <f>$BF$3</f>
        <v>YTD 7/17</v>
      </c>
      <c r="BG53" s="121">
        <v>42736</v>
      </c>
      <c r="BH53" s="108">
        <v>42767</v>
      </c>
      <c r="BI53" s="108">
        <v>42795</v>
      </c>
      <c r="BJ53" s="108">
        <v>42826</v>
      </c>
      <c r="BK53" s="108">
        <v>42856</v>
      </c>
      <c r="BL53" s="108">
        <v>42887</v>
      </c>
      <c r="BM53" s="108">
        <v>42917</v>
      </c>
      <c r="BN53" s="108">
        <v>42948</v>
      </c>
      <c r="BO53" s="108">
        <v>42979</v>
      </c>
      <c r="BP53" s="108">
        <v>43009</v>
      </c>
      <c r="BQ53" s="108">
        <v>43040</v>
      </c>
      <c r="BR53" s="108">
        <v>43070</v>
      </c>
      <c r="BS53" s="29" t="s">
        <v>127</v>
      </c>
      <c r="BT53" s="29" t="s">
        <v>128</v>
      </c>
      <c r="BU53" s="29" t="s">
        <v>96</v>
      </c>
      <c r="BV53" s="29" t="s">
        <v>129</v>
      </c>
      <c r="BW53" s="112" t="s">
        <v>130</v>
      </c>
    </row>
    <row r="54" spans="1:75" x14ac:dyDescent="0.25">
      <c r="A54" s="20" t="str">
        <f>$B$53&amp;"_by_rookie_mdrt:"&amp;B54</f>
        <v># Case_by_rookie_mdrt:MDRT</v>
      </c>
      <c r="B54" t="s">
        <v>4</v>
      </c>
      <c r="C54">
        <v>22</v>
      </c>
      <c r="D54">
        <v>8</v>
      </c>
      <c r="E54">
        <v>41</v>
      </c>
      <c r="F54">
        <v>19</v>
      </c>
      <c r="G54">
        <v>19</v>
      </c>
      <c r="H54">
        <v>26</v>
      </c>
      <c r="I54">
        <v>46</v>
      </c>
      <c r="J54">
        <v>23</v>
      </c>
      <c r="K54">
        <v>52</v>
      </c>
      <c r="L54">
        <v>34</v>
      </c>
      <c r="M54">
        <v>54</v>
      </c>
      <c r="N54">
        <v>100</v>
      </c>
      <c r="O54">
        <v>17</v>
      </c>
      <c r="P54">
        <v>12</v>
      </c>
      <c r="Q54">
        <v>44</v>
      </c>
      <c r="R54">
        <v>25</v>
      </c>
      <c r="S54">
        <v>24</v>
      </c>
      <c r="T54">
        <v>34</v>
      </c>
      <c r="U54">
        <v>34</v>
      </c>
      <c r="V54">
        <v>30</v>
      </c>
      <c r="W54">
        <v>40.5</v>
      </c>
      <c r="X54">
        <f>[14]cc!AB11</f>
        <v>25</v>
      </c>
      <c r="Y54">
        <f>[24]cc!AC11</f>
        <v>20</v>
      </c>
      <c r="Z54" s="6">
        <f>[15]cc!J34</f>
        <v>50.5</v>
      </c>
      <c r="AA54" s="22">
        <f>SUM(O54:INDEX(O54:Z54,$B$2))</f>
        <v>190</v>
      </c>
      <c r="AB54" s="22">
        <f>SUM(O54:Q54)</f>
        <v>73</v>
      </c>
      <c r="AC54" s="22">
        <f>SUM(R54:T54)</f>
        <v>83</v>
      </c>
      <c r="AD54" s="22">
        <f>SUM(U54:W54)</f>
        <v>104.5</v>
      </c>
      <c r="AE54" s="22">
        <f>SUM(X54:Z54)</f>
        <v>95.5</v>
      </c>
      <c r="AF54" s="22">
        <f>SUM(C54                                                                                : INDEX(C54:N54,$B$2))</f>
        <v>181</v>
      </c>
      <c r="AG54" s="22">
        <f t="shared" ref="AG54:AG60" si="148">SUM(C54:E54)</f>
        <v>71</v>
      </c>
      <c r="AH54" s="22">
        <f t="shared" ref="AH54:AH60" si="149">SUM(F54:H54)</f>
        <v>64</v>
      </c>
      <c r="AI54" s="22">
        <f t="shared" ref="AI54:AI60" si="150">SUM(I54:K54)</f>
        <v>121</v>
      </c>
      <c r="AJ54" s="22">
        <f t="shared" ref="AJ54:AJ60" si="151">SUM(L54:N54)</f>
        <v>188</v>
      </c>
      <c r="AK54" s="31">
        <f>AA54/AF54-1</f>
        <v>4.9723756906077332E-2</v>
      </c>
      <c r="AL54" s="31">
        <f t="shared" ref="AL54:AN62" si="152">AB54/AG54-1</f>
        <v>2.8169014084507005E-2</v>
      </c>
      <c r="AM54" s="31">
        <f t="shared" si="152"/>
        <v>0.296875</v>
      </c>
      <c r="AN54" s="31">
        <f t="shared" si="152"/>
        <v>-0.13636363636363635</v>
      </c>
      <c r="AO54" s="31">
        <f>AE54/SUM(L54:INDEX(L54:N54,MOD($B$2,3)))-1</f>
        <v>1.8088235294117645</v>
      </c>
      <c r="AP54" s="113">
        <f>[16]cc!J34</f>
        <v>51.5</v>
      </c>
      <c r="AQ54" s="113">
        <f>[17]cc!J34</f>
        <v>92.5</v>
      </c>
      <c r="AR54" s="113">
        <f>[18]cc!J34</f>
        <v>102.5</v>
      </c>
      <c r="AS54" s="113">
        <f>[19]cc!J34</f>
        <v>105</v>
      </c>
      <c r="AT54" s="113">
        <f>[20]cc!J34</f>
        <v>114</v>
      </c>
      <c r="AU54" s="113">
        <f>[21]cc!J34</f>
        <v>86</v>
      </c>
      <c r="AV54" s="113">
        <f>[22]cc!J34</f>
        <v>82</v>
      </c>
      <c r="AW54" s="113"/>
      <c r="AX54" s="113"/>
      <c r="AY54" s="113"/>
      <c r="AZ54" s="113"/>
      <c r="BA54" s="113"/>
      <c r="BB54" s="110">
        <f>SUM(AP54:INDEX(AP54:AR54,IF($B$2&lt;3,$B$2,3)))</f>
        <v>246.5</v>
      </c>
      <c r="BC54" s="110">
        <f>SUM(AS54:INDEX(AS54:AU54,IF(AND($B$2&gt;3,B52&lt;7),$B$2-3,0)))</f>
        <v>305</v>
      </c>
      <c r="BD54" s="110">
        <f>SUM(AV54:INDEX(AV54:AX54,IF(AND($B$2&gt;6,$B$2&lt;10),$B$2-6,0)))</f>
        <v>82</v>
      </c>
      <c r="BE54" s="110">
        <f>SUM(AY54:INDEX(AY54:BA54,IF($B$2&gt;9,$B$2-9,0)))</f>
        <v>0</v>
      </c>
      <c r="BF54" s="110">
        <f>SUM($AP54:INDEX(AP54:BA54,$B$2))</f>
        <v>633.5</v>
      </c>
      <c r="BG54" s="122">
        <f t="shared" ref="BG54:BG62" si="153">AP54/O54</f>
        <v>3.0294117647058822</v>
      </c>
      <c r="BH54" s="111">
        <f t="shared" ref="BH54:BH62" si="154">AQ54/P54</f>
        <v>7.708333333333333</v>
      </c>
      <c r="BI54" s="111">
        <f t="shared" ref="BI54:BI62" si="155">AR54/Q54</f>
        <v>2.3295454545454546</v>
      </c>
      <c r="BJ54" s="111">
        <f t="shared" ref="BJ54:BJ62" si="156">AS54/R54</f>
        <v>4.2</v>
      </c>
      <c r="BK54" s="111">
        <f t="shared" ref="BK54:BK62" si="157">AT54/S54</f>
        <v>4.75</v>
      </c>
      <c r="BL54" s="111">
        <f t="shared" ref="BL54:BL62" si="158">AU54/T54</f>
        <v>2.5294117647058822</v>
      </c>
      <c r="BM54" s="111">
        <f t="shared" ref="BM54:BM62" si="159">AV54/U54</f>
        <v>2.4117647058823528</v>
      </c>
      <c r="BN54" s="111">
        <f t="shared" ref="BN54:BN62" si="160">AW54/V54</f>
        <v>0</v>
      </c>
      <c r="BO54" s="111">
        <f t="shared" ref="BO54:BO62" si="161">AX54/W54</f>
        <v>0</v>
      </c>
      <c r="BP54" s="111">
        <f t="shared" ref="BP54:BP62" si="162">AY54/X54</f>
        <v>0</v>
      </c>
      <c r="BQ54" s="111">
        <f t="shared" ref="BQ54:BQ62" si="163">AZ54/Y54</f>
        <v>0</v>
      </c>
      <c r="BR54" s="111">
        <f t="shared" ref="BR54:BR62" si="164">BA54/Z54</f>
        <v>0</v>
      </c>
      <c r="BS54" s="111">
        <f>BB54/SUM(O54:INDEX(O54:Q54,IF($B$2&lt;3,$B$2,3)))</f>
        <v>3.3767123287671232</v>
      </c>
      <c r="BT54" s="111">
        <f>BC54/SUM(R54:INDEX(R54:T54,IF($B$2&lt;7,$B$2-3,3)))</f>
        <v>3.6746987951807228</v>
      </c>
      <c r="BU54" s="111">
        <f>BD54/SUM(U54:INDEX(U54:W54,IF($B$2&lt;7,$B$2-3,IF($B$2&lt;9,$B$2-6,3))))</f>
        <v>2.4117647058823528</v>
      </c>
      <c r="BV54" s="111">
        <f t="shared" ref="BV54:BV62" si="165">BE54/AE54</f>
        <v>0</v>
      </c>
      <c r="BW54" s="111">
        <f t="shared" ref="BW54:BW62" si="166">BF54/AA54</f>
        <v>3.3342105263157893</v>
      </c>
    </row>
    <row r="55" spans="1:75" x14ac:dyDescent="0.25">
      <c r="A55" s="20" t="str">
        <f t="shared" ref="A55:A62" si="167">$B$53&amp;"_by_rookie_mdrt:"&amp;B55</f>
        <v># Case_by_rookie_mdrt:Rookie in month</v>
      </c>
      <c r="B55" t="s">
        <v>5</v>
      </c>
      <c r="C55">
        <v>101</v>
      </c>
      <c r="D55">
        <v>61</v>
      </c>
      <c r="E55">
        <v>102</v>
      </c>
      <c r="F55">
        <v>132</v>
      </c>
      <c r="G55">
        <v>106.5</v>
      </c>
      <c r="H55">
        <v>133</v>
      </c>
      <c r="I55">
        <v>214</v>
      </c>
      <c r="J55">
        <v>125</v>
      </c>
      <c r="K55">
        <v>285</v>
      </c>
      <c r="L55">
        <v>173</v>
      </c>
      <c r="M55">
        <v>431</v>
      </c>
      <c r="N55">
        <v>247</v>
      </c>
      <c r="O55">
        <v>63</v>
      </c>
      <c r="P55">
        <v>47</v>
      </c>
      <c r="Q55">
        <v>307</v>
      </c>
      <c r="R55">
        <v>235</v>
      </c>
      <c r="S55">
        <v>304</v>
      </c>
      <c r="T55">
        <v>755</v>
      </c>
      <c r="U55">
        <v>383</v>
      </c>
      <c r="V55">
        <v>440</v>
      </c>
      <c r="W55">
        <v>691.5</v>
      </c>
      <c r="X55">
        <f>[14]cc!AB12</f>
        <v>497.5</v>
      </c>
      <c r="Y55">
        <f>[24]cc!AC12</f>
        <v>533</v>
      </c>
      <c r="Z55" s="6">
        <f>[15]cc!J35</f>
        <v>1110</v>
      </c>
      <c r="AA55" s="22">
        <f>SUM(O55:INDEX(O55:Z55,$B$2))</f>
        <v>2094</v>
      </c>
      <c r="AB55" s="22">
        <f t="shared" ref="AB55:AB60" si="168">SUM(O55:Q55)</f>
        <v>417</v>
      </c>
      <c r="AC55" s="22">
        <f t="shared" ref="AC55:AC60" si="169">SUM(R55:T55)</f>
        <v>1294</v>
      </c>
      <c r="AD55" s="22">
        <f t="shared" ref="AD55:AD60" si="170">SUM(U55:W55)</f>
        <v>1514.5</v>
      </c>
      <c r="AE55" s="22">
        <f t="shared" ref="AE55:AE60" si="171">SUM(X55:Z55)</f>
        <v>2140.5</v>
      </c>
      <c r="AF55" s="22">
        <f>SUM(C55                                                                                : INDEX(C55:N55,$B$2))</f>
        <v>849.5</v>
      </c>
      <c r="AG55" s="22">
        <f t="shared" si="148"/>
        <v>264</v>
      </c>
      <c r="AH55" s="22">
        <f t="shared" si="149"/>
        <v>371.5</v>
      </c>
      <c r="AI55" s="22">
        <f t="shared" si="150"/>
        <v>624</v>
      </c>
      <c r="AJ55" s="22">
        <f t="shared" si="151"/>
        <v>851</v>
      </c>
      <c r="AK55" s="31">
        <f t="shared" ref="AK55:AK62" si="172">AA55/AF55-1</f>
        <v>1.4649793996468512</v>
      </c>
      <c r="AL55" s="31">
        <f t="shared" si="152"/>
        <v>0.57954545454545459</v>
      </c>
      <c r="AM55" s="31">
        <f t="shared" si="152"/>
        <v>2.4831763122476449</v>
      </c>
      <c r="AN55" s="31">
        <f t="shared" si="152"/>
        <v>1.4270833333333335</v>
      </c>
      <c r="AO55" s="31">
        <f>AE55/SUM(L55:INDEX(L55:N55,MOD($B$2,3)))-1</f>
        <v>11.372832369942197</v>
      </c>
      <c r="AP55" s="113">
        <f>[16]cc!J35</f>
        <v>195</v>
      </c>
      <c r="AQ55" s="113">
        <f>[17]cc!J35</f>
        <v>268</v>
      </c>
      <c r="AR55" s="113">
        <f>[18]cc!J35</f>
        <v>726</v>
      </c>
      <c r="AS55" s="113">
        <f>[19]cc!J35</f>
        <v>470</v>
      </c>
      <c r="AT55" s="113">
        <f>[20]cc!J35</f>
        <v>458</v>
      </c>
      <c r="AU55" s="113">
        <f>[21]cc!J35</f>
        <v>1053</v>
      </c>
      <c r="AV55" s="113">
        <f>[22]cc!J35</f>
        <v>568</v>
      </c>
      <c r="AW55" s="113"/>
      <c r="AX55" s="113"/>
      <c r="AY55" s="113"/>
      <c r="AZ55" s="113"/>
      <c r="BA55" s="113"/>
      <c r="BB55" s="110">
        <f>SUM(AP55:INDEX(AP55:AR55,IF($B$2&lt;3,$B$2,3)))</f>
        <v>1189</v>
      </c>
      <c r="BC55" s="110">
        <f>SUM(AS55:INDEX(AS55:AU55,IF(AND($B$2&gt;3,B53&lt;7),$B$2-3,0)))</f>
        <v>1981</v>
      </c>
      <c r="BD55" s="110">
        <f>SUM(AV55:INDEX(AV55:AX55,IF(AND($B$2&gt;6,$B$2&lt;10),$B$2-6,0)))</f>
        <v>568</v>
      </c>
      <c r="BE55" s="110">
        <f>SUM(AY55:INDEX(AY55:BA55,IF($B$2&gt;9,$B$2-9,0)))</f>
        <v>0</v>
      </c>
      <c r="BF55" s="110">
        <f>SUM($AP55:INDEX(AP55:BA55,$B$2))</f>
        <v>3738</v>
      </c>
      <c r="BG55" s="122">
        <f t="shared" si="153"/>
        <v>3.0952380952380953</v>
      </c>
      <c r="BH55" s="111">
        <f t="shared" si="154"/>
        <v>5.7021276595744679</v>
      </c>
      <c r="BI55" s="111">
        <f t="shared" si="155"/>
        <v>2.3648208469055376</v>
      </c>
      <c r="BJ55" s="111">
        <f t="shared" si="156"/>
        <v>2</v>
      </c>
      <c r="BK55" s="111">
        <f t="shared" si="157"/>
        <v>1.506578947368421</v>
      </c>
      <c r="BL55" s="111">
        <f t="shared" si="158"/>
        <v>1.3947019867549668</v>
      </c>
      <c r="BM55" s="111">
        <f t="shared" si="159"/>
        <v>1.4830287206266319</v>
      </c>
      <c r="BN55" s="111">
        <f t="shared" si="160"/>
        <v>0</v>
      </c>
      <c r="BO55" s="111">
        <f t="shared" si="161"/>
        <v>0</v>
      </c>
      <c r="BP55" s="111">
        <f t="shared" si="162"/>
        <v>0</v>
      </c>
      <c r="BQ55" s="111">
        <f t="shared" si="163"/>
        <v>0</v>
      </c>
      <c r="BR55" s="111">
        <f t="shared" si="164"/>
        <v>0</v>
      </c>
      <c r="BS55" s="111">
        <f>BB55/SUM(O55:INDEX(O55:Q55,IF($B$2&lt;3,$B$2,3)))</f>
        <v>2.8513189448441247</v>
      </c>
      <c r="BT55" s="111">
        <f>BC55/SUM(R55:INDEX(R55:T55,IF($B$2&lt;7,$B$2-3,3)))</f>
        <v>1.5309119010819165</v>
      </c>
      <c r="BU55" s="111">
        <f>BD55/SUM(U55:INDEX(U55:W55,IF($B$2&lt;7,$B$2-3,IF($B$2&lt;9,$B$2-6,3))))</f>
        <v>1.4830287206266319</v>
      </c>
      <c r="BV55" s="111">
        <f t="shared" si="165"/>
        <v>0</v>
      </c>
      <c r="BW55" s="111">
        <f t="shared" si="166"/>
        <v>1.7851002865329513</v>
      </c>
    </row>
    <row r="56" spans="1:75" x14ac:dyDescent="0.25">
      <c r="A56" s="20" t="str">
        <f t="shared" si="167"/>
        <v># Case_by_rookie_mdrt:Rookie last month</v>
      </c>
      <c r="B56" t="s">
        <v>6</v>
      </c>
      <c r="C56">
        <v>67</v>
      </c>
      <c r="D56">
        <v>76</v>
      </c>
      <c r="E56">
        <v>80</v>
      </c>
      <c r="F56">
        <v>83</v>
      </c>
      <c r="G56">
        <v>117.5</v>
      </c>
      <c r="H56">
        <v>101</v>
      </c>
      <c r="I56">
        <v>132</v>
      </c>
      <c r="J56">
        <v>102</v>
      </c>
      <c r="K56">
        <v>188</v>
      </c>
      <c r="L56">
        <v>193</v>
      </c>
      <c r="M56">
        <v>132</v>
      </c>
      <c r="N56">
        <v>358</v>
      </c>
      <c r="O56">
        <v>73</v>
      </c>
      <c r="P56">
        <v>61</v>
      </c>
      <c r="Q56">
        <v>39</v>
      </c>
      <c r="R56">
        <v>100</v>
      </c>
      <c r="S56">
        <v>156</v>
      </c>
      <c r="T56">
        <v>301</v>
      </c>
      <c r="U56">
        <v>266</v>
      </c>
      <c r="V56">
        <v>242</v>
      </c>
      <c r="W56">
        <v>408</v>
      </c>
      <c r="X56">
        <f>[14]cc!AB13</f>
        <v>269.5</v>
      </c>
      <c r="Y56">
        <f>[24]cc!AC13</f>
        <v>305.5</v>
      </c>
      <c r="Z56" s="6">
        <f>[15]cc!J36</f>
        <v>488.5</v>
      </c>
      <c r="AA56" s="22">
        <f>SUM(O56:INDEX(O56:Z56,$B$2))</f>
        <v>996</v>
      </c>
      <c r="AB56" s="22">
        <f t="shared" si="168"/>
        <v>173</v>
      </c>
      <c r="AC56" s="22">
        <f t="shared" si="169"/>
        <v>557</v>
      </c>
      <c r="AD56" s="22">
        <f t="shared" si="170"/>
        <v>916</v>
      </c>
      <c r="AE56" s="22">
        <f t="shared" si="171"/>
        <v>1063.5</v>
      </c>
      <c r="AF56" s="22">
        <f>SUM(C56                                                                                : INDEX(C56:N56,$B$2))</f>
        <v>656.5</v>
      </c>
      <c r="AG56" s="22">
        <f t="shared" si="148"/>
        <v>223</v>
      </c>
      <c r="AH56" s="22">
        <f t="shared" si="149"/>
        <v>301.5</v>
      </c>
      <c r="AI56" s="22">
        <f t="shared" si="150"/>
        <v>422</v>
      </c>
      <c r="AJ56" s="22">
        <f t="shared" si="151"/>
        <v>683</v>
      </c>
      <c r="AK56" s="31">
        <f t="shared" si="172"/>
        <v>0.51713632901751705</v>
      </c>
      <c r="AL56" s="31">
        <f t="shared" si="152"/>
        <v>-0.22421524663677128</v>
      </c>
      <c r="AM56" s="31">
        <f t="shared" si="152"/>
        <v>0.84742951907131014</v>
      </c>
      <c r="AN56" s="31">
        <f t="shared" si="152"/>
        <v>1.1706161137440758</v>
      </c>
      <c r="AO56" s="31">
        <f>AE56/SUM(L56:INDEX(L56:N56,MOD($B$2,3)))-1</f>
        <v>4.5103626943005182</v>
      </c>
      <c r="AP56" s="113">
        <f>[16]cc!J36</f>
        <v>189</v>
      </c>
      <c r="AQ56" s="113">
        <f>[17]cc!J36</f>
        <v>116</v>
      </c>
      <c r="AR56" s="113">
        <f>[18]cc!J36</f>
        <v>281</v>
      </c>
      <c r="AS56" s="113">
        <f>[19]cc!J36</f>
        <v>313</v>
      </c>
      <c r="AT56" s="113">
        <f>[20]cc!J36</f>
        <v>199</v>
      </c>
      <c r="AU56" s="113">
        <f>[21]cc!J36</f>
        <v>154.5</v>
      </c>
      <c r="AV56" s="113">
        <f>[22]cc!J36</f>
        <v>228</v>
      </c>
      <c r="AW56" s="113"/>
      <c r="AX56" s="113"/>
      <c r="AY56" s="113"/>
      <c r="AZ56" s="113"/>
      <c r="BA56" s="113"/>
      <c r="BB56" s="110">
        <f>SUM(AP56:INDEX(AP56:AR56,IF($B$2&lt;3,$B$2,3)))</f>
        <v>586</v>
      </c>
      <c r="BC56" s="110">
        <f>SUM(AS56:INDEX(AS56:AU56,IF(AND($B$2&gt;3,B54&lt;7),$B$2-3,0)))</f>
        <v>666.5</v>
      </c>
      <c r="BD56" s="110">
        <f>SUM(AV56:INDEX(AV56:AX56,IF(AND($B$2&gt;6,$B$2&lt;10),$B$2-6,0)))</f>
        <v>228</v>
      </c>
      <c r="BE56" s="110">
        <f>SUM(AY56:INDEX(AY56:BA56,IF($B$2&gt;9,$B$2-9,0)))</f>
        <v>0</v>
      </c>
      <c r="BF56" s="110">
        <f>SUM($AP56:INDEX(AP56:BA56,$B$2))</f>
        <v>1480.5</v>
      </c>
      <c r="BG56" s="122">
        <f t="shared" si="153"/>
        <v>2.5890410958904111</v>
      </c>
      <c r="BH56" s="111">
        <f t="shared" si="154"/>
        <v>1.901639344262295</v>
      </c>
      <c r="BI56" s="111">
        <f t="shared" si="155"/>
        <v>7.2051282051282053</v>
      </c>
      <c r="BJ56" s="111">
        <f t="shared" si="156"/>
        <v>3.13</v>
      </c>
      <c r="BK56" s="111">
        <f t="shared" si="157"/>
        <v>1.2756410256410255</v>
      </c>
      <c r="BL56" s="111">
        <f t="shared" si="158"/>
        <v>0.51328903654485047</v>
      </c>
      <c r="BM56" s="111">
        <f t="shared" si="159"/>
        <v>0.8571428571428571</v>
      </c>
      <c r="BN56" s="111">
        <f t="shared" si="160"/>
        <v>0</v>
      </c>
      <c r="BO56" s="111">
        <f t="shared" si="161"/>
        <v>0</v>
      </c>
      <c r="BP56" s="111">
        <f t="shared" si="162"/>
        <v>0</v>
      </c>
      <c r="BQ56" s="111">
        <f t="shared" si="163"/>
        <v>0</v>
      </c>
      <c r="BR56" s="111">
        <f t="shared" si="164"/>
        <v>0</v>
      </c>
      <c r="BS56" s="111">
        <f>BB56/SUM(O56:INDEX(O56:Q56,IF($B$2&lt;3,$B$2,3)))</f>
        <v>3.3872832369942198</v>
      </c>
      <c r="BT56" s="111">
        <f>BC56/SUM(R56:INDEX(R56:T56,IF($B$2&lt;7,$B$2-3,3)))</f>
        <v>1.196588868940754</v>
      </c>
      <c r="BU56" s="111">
        <f>BD56/SUM(U56:INDEX(U56:W56,IF($B$2&lt;7,$B$2-3,IF($B$2&lt;9,$B$2-6,3))))</f>
        <v>0.8571428571428571</v>
      </c>
      <c r="BV56" s="111">
        <f t="shared" si="165"/>
        <v>0</v>
      </c>
      <c r="BW56" s="111">
        <f t="shared" si="166"/>
        <v>1.4864457831325302</v>
      </c>
    </row>
    <row r="57" spans="1:75" x14ac:dyDescent="0.25">
      <c r="A57" s="20" t="str">
        <f t="shared" si="167"/>
        <v># Case_by_rookie_mdrt:2-3 months</v>
      </c>
      <c r="B57" t="s">
        <v>7</v>
      </c>
      <c r="C57">
        <v>80</v>
      </c>
      <c r="D57">
        <v>65</v>
      </c>
      <c r="E57">
        <v>116</v>
      </c>
      <c r="F57">
        <v>75</v>
      </c>
      <c r="G57">
        <v>79</v>
      </c>
      <c r="H57">
        <v>157</v>
      </c>
      <c r="I57">
        <v>162</v>
      </c>
      <c r="J57">
        <v>94</v>
      </c>
      <c r="K57">
        <v>245</v>
      </c>
      <c r="L57">
        <v>177</v>
      </c>
      <c r="M57">
        <v>311</v>
      </c>
      <c r="N57">
        <v>250.5</v>
      </c>
      <c r="O57">
        <v>110</v>
      </c>
      <c r="P57">
        <v>150</v>
      </c>
      <c r="Q57">
        <v>174</v>
      </c>
      <c r="R57">
        <v>78</v>
      </c>
      <c r="S57">
        <v>129</v>
      </c>
      <c r="T57">
        <v>229</v>
      </c>
      <c r="U57">
        <v>177</v>
      </c>
      <c r="V57">
        <v>325</v>
      </c>
      <c r="W57">
        <v>477</v>
      </c>
      <c r="X57">
        <f>[14]cc!AB14</f>
        <v>268</v>
      </c>
      <c r="Y57">
        <f>[24]cc!AC14</f>
        <v>294</v>
      </c>
      <c r="Z57" s="6">
        <f>[15]cc!J37</f>
        <v>554.5</v>
      </c>
      <c r="AA57" s="22">
        <f>SUM(O57:INDEX(O57:Z57,$B$2))</f>
        <v>1047</v>
      </c>
      <c r="AB57" s="22">
        <f t="shared" si="168"/>
        <v>434</v>
      </c>
      <c r="AC57" s="22">
        <f t="shared" si="169"/>
        <v>436</v>
      </c>
      <c r="AD57" s="22">
        <f t="shared" si="170"/>
        <v>979</v>
      </c>
      <c r="AE57" s="22">
        <f t="shared" si="171"/>
        <v>1116.5</v>
      </c>
      <c r="AF57" s="22">
        <f>SUM(C57                                                                                : INDEX(C57:N57,$B$2))</f>
        <v>734</v>
      </c>
      <c r="AG57" s="22">
        <f t="shared" si="148"/>
        <v>261</v>
      </c>
      <c r="AH57" s="22">
        <f t="shared" si="149"/>
        <v>311</v>
      </c>
      <c r="AI57" s="22">
        <f t="shared" si="150"/>
        <v>501</v>
      </c>
      <c r="AJ57" s="22">
        <f t="shared" si="151"/>
        <v>738.5</v>
      </c>
      <c r="AK57" s="31">
        <f t="shared" si="172"/>
        <v>0.42643051771117158</v>
      </c>
      <c r="AL57" s="31">
        <f t="shared" si="152"/>
        <v>0.66283524904214564</v>
      </c>
      <c r="AM57" s="31">
        <f t="shared" si="152"/>
        <v>0.40192926045016075</v>
      </c>
      <c r="AN57" s="31">
        <f t="shared" si="152"/>
        <v>0.95409181636726537</v>
      </c>
      <c r="AO57" s="31">
        <f>AE57/SUM(L57:INDEX(L57:N57,MOD($B$2,3)))-1</f>
        <v>5.3079096045197742</v>
      </c>
      <c r="AP57" s="113">
        <f>[16]cc!J37</f>
        <v>239.5</v>
      </c>
      <c r="AQ57" s="113">
        <f>[17]cc!J37</f>
        <v>417</v>
      </c>
      <c r="AR57" s="113">
        <f>[18]cc!J37</f>
        <v>326</v>
      </c>
      <c r="AS57" s="113">
        <f>[19]cc!J37</f>
        <v>232</v>
      </c>
      <c r="AT57" s="113">
        <f>[20]cc!J37</f>
        <v>248</v>
      </c>
      <c r="AU57" s="113">
        <f>[21]cc!J37</f>
        <v>205.5</v>
      </c>
      <c r="AV57" s="113">
        <f>[22]cc!J37</f>
        <v>203.5</v>
      </c>
      <c r="AW57" s="113"/>
      <c r="AX57" s="113"/>
      <c r="AY57" s="113"/>
      <c r="AZ57" s="113"/>
      <c r="BA57" s="113"/>
      <c r="BB57" s="110">
        <f>SUM(AP57:INDEX(AP57:AR57,IF($B$2&lt;3,$B$2,3)))</f>
        <v>982.5</v>
      </c>
      <c r="BC57" s="110">
        <f>SUM(AS57:INDEX(AS57:AU57,IF(AND($B$2&gt;3,B55&lt;7),$B$2-3,0)))</f>
        <v>685.5</v>
      </c>
      <c r="BD57" s="110">
        <f>SUM(AV57:INDEX(AV57:AX57,IF(AND($B$2&gt;6,$B$2&lt;10),$B$2-6,0)))</f>
        <v>203.5</v>
      </c>
      <c r="BE57" s="110">
        <f>SUM(AY57:INDEX(AY57:BA57,IF($B$2&gt;9,$B$2-9,0)))</f>
        <v>0</v>
      </c>
      <c r="BF57" s="110">
        <f>SUM($AP57:INDEX(AP57:BA57,$B$2))</f>
        <v>1871.5</v>
      </c>
      <c r="BG57" s="122">
        <f t="shared" si="153"/>
        <v>2.1772727272727272</v>
      </c>
      <c r="BH57" s="111">
        <f t="shared" si="154"/>
        <v>2.78</v>
      </c>
      <c r="BI57" s="111">
        <f t="shared" si="155"/>
        <v>1.8735632183908046</v>
      </c>
      <c r="BJ57" s="111">
        <f t="shared" si="156"/>
        <v>2.9743589743589745</v>
      </c>
      <c r="BK57" s="111">
        <f t="shared" si="157"/>
        <v>1.9224806201550388</v>
      </c>
      <c r="BL57" s="111">
        <f t="shared" si="158"/>
        <v>0.8973799126637555</v>
      </c>
      <c r="BM57" s="111">
        <f t="shared" si="159"/>
        <v>1.1497175141242937</v>
      </c>
      <c r="BN57" s="111">
        <f t="shared" si="160"/>
        <v>0</v>
      </c>
      <c r="BO57" s="111">
        <f t="shared" si="161"/>
        <v>0</v>
      </c>
      <c r="BP57" s="111">
        <f t="shared" si="162"/>
        <v>0</v>
      </c>
      <c r="BQ57" s="111">
        <f t="shared" si="163"/>
        <v>0</v>
      </c>
      <c r="BR57" s="111">
        <f t="shared" si="164"/>
        <v>0</v>
      </c>
      <c r="BS57" s="111">
        <f>BB57/SUM(O57:INDEX(O57:Q57,IF($B$2&lt;3,$B$2,3)))</f>
        <v>2.2638248847926268</v>
      </c>
      <c r="BT57" s="111">
        <f>BC57/SUM(R57:INDEX(R57:T57,IF($B$2&lt;7,$B$2-3,3)))</f>
        <v>1.5722477064220184</v>
      </c>
      <c r="BU57" s="111">
        <f>BD57/SUM(U57:INDEX(U57:W57,IF($B$2&lt;7,$B$2-3,IF($B$2&lt;9,$B$2-6,3))))</f>
        <v>1.1497175141242937</v>
      </c>
      <c r="BV57" s="111">
        <f t="shared" si="165"/>
        <v>0</v>
      </c>
      <c r="BW57" s="111">
        <f t="shared" si="166"/>
        <v>1.7874880611270296</v>
      </c>
    </row>
    <row r="58" spans="1:75" x14ac:dyDescent="0.25">
      <c r="A58" s="20" t="str">
        <f t="shared" si="167"/>
        <v># Case_by_rookie_mdrt:4 - 6 mths</v>
      </c>
      <c r="B58" t="s">
        <v>8</v>
      </c>
      <c r="C58">
        <v>37</v>
      </c>
      <c r="D58">
        <v>34</v>
      </c>
      <c r="E58">
        <v>77</v>
      </c>
      <c r="F58">
        <v>103</v>
      </c>
      <c r="G58">
        <v>112</v>
      </c>
      <c r="H58">
        <v>85</v>
      </c>
      <c r="I58">
        <v>80</v>
      </c>
      <c r="J58">
        <v>62</v>
      </c>
      <c r="K58">
        <v>144</v>
      </c>
      <c r="L58">
        <v>106.5</v>
      </c>
      <c r="M58">
        <v>206</v>
      </c>
      <c r="N58">
        <v>213</v>
      </c>
      <c r="O58">
        <v>101</v>
      </c>
      <c r="P58">
        <v>98</v>
      </c>
      <c r="Q58">
        <v>249</v>
      </c>
      <c r="R58">
        <v>105</v>
      </c>
      <c r="S58">
        <v>105</v>
      </c>
      <c r="T58">
        <v>89</v>
      </c>
      <c r="U58">
        <v>70</v>
      </c>
      <c r="V58">
        <v>98</v>
      </c>
      <c r="W58">
        <v>151.5</v>
      </c>
      <c r="X58">
        <f>[14]cc!AB15</f>
        <v>177</v>
      </c>
      <c r="Y58">
        <f>[24]cc!AC15</f>
        <v>200</v>
      </c>
      <c r="Z58" s="6">
        <f>[15]cc!J38</f>
        <v>414</v>
      </c>
      <c r="AA58" s="22">
        <f>SUM(O58:INDEX(O58:Z58,$B$2))</f>
        <v>817</v>
      </c>
      <c r="AB58" s="22">
        <f t="shared" si="168"/>
        <v>448</v>
      </c>
      <c r="AC58" s="22">
        <f t="shared" si="169"/>
        <v>299</v>
      </c>
      <c r="AD58" s="22">
        <f t="shared" si="170"/>
        <v>319.5</v>
      </c>
      <c r="AE58" s="22">
        <f t="shared" si="171"/>
        <v>791</v>
      </c>
      <c r="AF58" s="22">
        <f>SUM(C58                                                                                : INDEX(C58:N58,$B$2))</f>
        <v>528</v>
      </c>
      <c r="AG58" s="22">
        <f t="shared" si="148"/>
        <v>148</v>
      </c>
      <c r="AH58" s="22">
        <f t="shared" si="149"/>
        <v>300</v>
      </c>
      <c r="AI58" s="22">
        <f t="shared" si="150"/>
        <v>286</v>
      </c>
      <c r="AJ58" s="22">
        <f t="shared" si="151"/>
        <v>525.5</v>
      </c>
      <c r="AK58" s="31">
        <f t="shared" si="172"/>
        <v>0.54734848484848486</v>
      </c>
      <c r="AL58" s="31">
        <f t="shared" si="152"/>
        <v>2.0270270270270272</v>
      </c>
      <c r="AM58" s="31">
        <f t="shared" si="152"/>
        <v>-3.3333333333332993E-3</v>
      </c>
      <c r="AN58" s="31">
        <f t="shared" si="152"/>
        <v>0.11713286713286708</v>
      </c>
      <c r="AO58" s="31">
        <f>AE58/SUM(L58:INDEX(L58:N58,MOD($B$2,3)))-1</f>
        <v>6.427230046948357</v>
      </c>
      <c r="AP58" s="113">
        <f>[16]cc!J38</f>
        <v>124.5</v>
      </c>
      <c r="AQ58" s="113">
        <f>[17]cc!J38</f>
        <v>238</v>
      </c>
      <c r="AR58" s="113">
        <f>[18]cc!J38</f>
        <v>352.5</v>
      </c>
      <c r="AS58" s="113">
        <f>[19]cc!J38</f>
        <v>302</v>
      </c>
      <c r="AT58" s="113">
        <f>[20]cc!J38</f>
        <v>191</v>
      </c>
      <c r="AU58" s="113">
        <f>[21]cc!J38</f>
        <v>130</v>
      </c>
      <c r="AV58" s="113">
        <f>[22]cc!J38</f>
        <v>138</v>
      </c>
      <c r="AW58" s="113"/>
      <c r="AX58" s="113"/>
      <c r="AY58" s="113"/>
      <c r="AZ58" s="113"/>
      <c r="BA58" s="113"/>
      <c r="BB58" s="110">
        <f>SUM(AP58:INDEX(AP58:AR58,IF($B$2&lt;3,$B$2,3)))</f>
        <v>715</v>
      </c>
      <c r="BC58" s="110">
        <f>SUM(AS58:INDEX(AS58:AU58,IF(AND($B$2&gt;3,B56&lt;7),$B$2-3,0)))</f>
        <v>623</v>
      </c>
      <c r="BD58" s="110">
        <f>SUM(AV58:INDEX(AV58:AX58,IF(AND($B$2&gt;6,$B$2&lt;10),$B$2-6,0)))</f>
        <v>138</v>
      </c>
      <c r="BE58" s="110">
        <f>SUM(AY58:INDEX(AY58:BA58,IF($B$2&gt;9,$B$2-9,0)))</f>
        <v>0</v>
      </c>
      <c r="BF58" s="110">
        <f>SUM($AP58:INDEX(AP58:BA58,$B$2))</f>
        <v>1476</v>
      </c>
      <c r="BG58" s="122">
        <f t="shared" si="153"/>
        <v>1.2326732673267327</v>
      </c>
      <c r="BH58" s="111">
        <f t="shared" si="154"/>
        <v>2.4285714285714284</v>
      </c>
      <c r="BI58" s="111">
        <f t="shared" si="155"/>
        <v>1.4156626506024097</v>
      </c>
      <c r="BJ58" s="111">
        <f t="shared" si="156"/>
        <v>2.8761904761904762</v>
      </c>
      <c r="BK58" s="111">
        <f t="shared" si="157"/>
        <v>1.819047619047619</v>
      </c>
      <c r="BL58" s="111">
        <f t="shared" si="158"/>
        <v>1.4606741573033708</v>
      </c>
      <c r="BM58" s="111">
        <f t="shared" si="159"/>
        <v>1.9714285714285715</v>
      </c>
      <c r="BN58" s="111">
        <f t="shared" si="160"/>
        <v>0</v>
      </c>
      <c r="BO58" s="111">
        <f t="shared" si="161"/>
        <v>0</v>
      </c>
      <c r="BP58" s="111">
        <f t="shared" si="162"/>
        <v>0</v>
      </c>
      <c r="BQ58" s="111">
        <f t="shared" si="163"/>
        <v>0</v>
      </c>
      <c r="BR58" s="111">
        <f t="shared" si="164"/>
        <v>0</v>
      </c>
      <c r="BS58" s="111">
        <f>BB58/SUM(O58:INDEX(O58:Q58,IF($B$2&lt;3,$B$2,3)))</f>
        <v>1.5959821428571428</v>
      </c>
      <c r="BT58" s="111">
        <f>BC58/SUM(R58:INDEX(R58:T58,IF($B$2&lt;7,$B$2-3,3)))</f>
        <v>2.0836120401337794</v>
      </c>
      <c r="BU58" s="111">
        <f>BD58/SUM(U58:INDEX(U58:W58,IF($B$2&lt;7,$B$2-3,IF($B$2&lt;9,$B$2-6,3))))</f>
        <v>1.9714285714285715</v>
      </c>
      <c r="BV58" s="111">
        <f t="shared" si="165"/>
        <v>0</v>
      </c>
      <c r="BW58" s="111">
        <f t="shared" si="166"/>
        <v>1.806609547123623</v>
      </c>
    </row>
    <row r="59" spans="1:75" x14ac:dyDescent="0.25">
      <c r="A59" s="20" t="str">
        <f t="shared" si="167"/>
        <v># Case_by_rookie_mdrt:7-12mth</v>
      </c>
      <c r="B59" t="s">
        <v>1</v>
      </c>
      <c r="C59">
        <v>33</v>
      </c>
      <c r="D59">
        <v>31</v>
      </c>
      <c r="E59">
        <v>66</v>
      </c>
      <c r="F59">
        <v>77</v>
      </c>
      <c r="G59">
        <v>70</v>
      </c>
      <c r="H59">
        <v>61</v>
      </c>
      <c r="I59">
        <v>76</v>
      </c>
      <c r="J59">
        <v>58</v>
      </c>
      <c r="K59">
        <v>132</v>
      </c>
      <c r="L59">
        <v>111</v>
      </c>
      <c r="M59">
        <v>177</v>
      </c>
      <c r="N59">
        <v>169</v>
      </c>
      <c r="O59">
        <v>56</v>
      </c>
      <c r="P59">
        <v>83</v>
      </c>
      <c r="Q59">
        <v>175</v>
      </c>
      <c r="R59">
        <v>110</v>
      </c>
      <c r="S59">
        <v>171</v>
      </c>
      <c r="T59">
        <v>235</v>
      </c>
      <c r="U59">
        <v>98</v>
      </c>
      <c r="V59">
        <v>75</v>
      </c>
      <c r="W59">
        <v>120</v>
      </c>
      <c r="X59">
        <f>[14]cc!AB16</f>
        <v>68</v>
      </c>
      <c r="Y59">
        <f>[24]cc!AC16</f>
        <v>114</v>
      </c>
      <c r="Z59" s="6">
        <f>[15]cc!J39</f>
        <v>276</v>
      </c>
      <c r="AA59" s="22">
        <f>SUM(O59:INDEX(O59:Z59,$B$2))</f>
        <v>928</v>
      </c>
      <c r="AB59" s="22">
        <f t="shared" si="168"/>
        <v>314</v>
      </c>
      <c r="AC59" s="22">
        <f t="shared" si="169"/>
        <v>516</v>
      </c>
      <c r="AD59" s="22">
        <f t="shared" si="170"/>
        <v>293</v>
      </c>
      <c r="AE59" s="22">
        <f t="shared" si="171"/>
        <v>458</v>
      </c>
      <c r="AF59" s="22">
        <f>SUM(C59                                                                                : INDEX(C59:N59,$B$2))</f>
        <v>414</v>
      </c>
      <c r="AG59" s="22">
        <f t="shared" si="148"/>
        <v>130</v>
      </c>
      <c r="AH59" s="22">
        <f t="shared" si="149"/>
        <v>208</v>
      </c>
      <c r="AI59" s="22">
        <f t="shared" si="150"/>
        <v>266</v>
      </c>
      <c r="AJ59" s="22">
        <f t="shared" si="151"/>
        <v>457</v>
      </c>
      <c r="AK59" s="31">
        <f t="shared" si="172"/>
        <v>1.2415458937198069</v>
      </c>
      <c r="AL59" s="31">
        <f t="shared" si="152"/>
        <v>1.4153846153846152</v>
      </c>
      <c r="AM59" s="31">
        <f t="shared" si="152"/>
        <v>1.4807692307692308</v>
      </c>
      <c r="AN59" s="31">
        <f t="shared" si="152"/>
        <v>0.10150375939849621</v>
      </c>
      <c r="AO59" s="31">
        <f>AE59/SUM(L59:INDEX(L59:N59,MOD($B$2,3)))-1</f>
        <v>3.1261261261261257</v>
      </c>
      <c r="AP59" s="113">
        <f>[16]cc!J39</f>
        <v>41</v>
      </c>
      <c r="AQ59" s="113">
        <f>[17]cc!J39</f>
        <v>88</v>
      </c>
      <c r="AR59" s="113">
        <f>[18]cc!J39</f>
        <v>148.5</v>
      </c>
      <c r="AS59" s="113">
        <f>[19]cc!J39</f>
        <v>163</v>
      </c>
      <c r="AT59" s="113">
        <f>[20]cc!J39</f>
        <v>112</v>
      </c>
      <c r="AU59" s="113">
        <f>[21]cc!J39</f>
        <v>122</v>
      </c>
      <c r="AV59" s="113">
        <f>[22]cc!J39</f>
        <v>138</v>
      </c>
      <c r="AW59" s="113"/>
      <c r="AX59" s="113"/>
      <c r="AY59" s="113"/>
      <c r="AZ59" s="113"/>
      <c r="BA59" s="113"/>
      <c r="BB59" s="110">
        <f>SUM(AP59:INDEX(AP59:AR59,IF($B$2&lt;3,$B$2,3)))</f>
        <v>277.5</v>
      </c>
      <c r="BC59" s="110">
        <f>SUM(AS59:INDEX(AS59:AU59,IF(AND($B$2&gt;3,B57&lt;7),$B$2-3,0)))</f>
        <v>397</v>
      </c>
      <c r="BD59" s="110">
        <f>SUM(AV59:INDEX(AV59:AX59,IF(AND($B$2&gt;6,$B$2&lt;10),$B$2-6,0)))</f>
        <v>138</v>
      </c>
      <c r="BE59" s="110">
        <f>SUM(AY59:INDEX(AY59:BA59,IF($B$2&gt;9,$B$2-9,0)))</f>
        <v>0</v>
      </c>
      <c r="BF59" s="110">
        <f>SUM($AP59:INDEX(AP59:BA59,$B$2))</f>
        <v>812.5</v>
      </c>
      <c r="BG59" s="122">
        <f t="shared" si="153"/>
        <v>0.7321428571428571</v>
      </c>
      <c r="BH59" s="111">
        <f t="shared" si="154"/>
        <v>1.0602409638554218</v>
      </c>
      <c r="BI59" s="111">
        <f t="shared" si="155"/>
        <v>0.84857142857142853</v>
      </c>
      <c r="BJ59" s="111">
        <f t="shared" si="156"/>
        <v>1.4818181818181819</v>
      </c>
      <c r="BK59" s="111">
        <f t="shared" si="157"/>
        <v>0.65497076023391809</v>
      </c>
      <c r="BL59" s="111">
        <f t="shared" si="158"/>
        <v>0.51914893617021274</v>
      </c>
      <c r="BM59" s="111">
        <f t="shared" si="159"/>
        <v>1.4081632653061225</v>
      </c>
      <c r="BN59" s="111">
        <f t="shared" si="160"/>
        <v>0</v>
      </c>
      <c r="BO59" s="111">
        <f t="shared" si="161"/>
        <v>0</v>
      </c>
      <c r="BP59" s="111">
        <f t="shared" si="162"/>
        <v>0</v>
      </c>
      <c r="BQ59" s="111">
        <f t="shared" si="163"/>
        <v>0</v>
      </c>
      <c r="BR59" s="111">
        <f t="shared" si="164"/>
        <v>0</v>
      </c>
      <c r="BS59" s="111">
        <f>BB59/SUM(O59:INDEX(O59:Q59,IF($B$2&lt;3,$B$2,3)))</f>
        <v>0.88375796178343946</v>
      </c>
      <c r="BT59" s="111">
        <f>BC59/SUM(R59:INDEX(R59:T59,IF($B$2&lt;7,$B$2-3,3)))</f>
        <v>0.76937984496124034</v>
      </c>
      <c r="BU59" s="111">
        <f>BD59/SUM(U59:INDEX(U59:W59,IF($B$2&lt;7,$B$2-3,IF($B$2&lt;9,$B$2-6,3))))</f>
        <v>1.4081632653061225</v>
      </c>
      <c r="BV59" s="111">
        <f t="shared" si="165"/>
        <v>0</v>
      </c>
      <c r="BW59" s="111">
        <f t="shared" si="166"/>
        <v>0.87553879310344829</v>
      </c>
    </row>
    <row r="60" spans="1:75" x14ac:dyDescent="0.25">
      <c r="A60" s="20" t="str">
        <f t="shared" si="167"/>
        <v># Case_by_rookie_mdrt:13+mth</v>
      </c>
      <c r="B60" t="s">
        <v>2</v>
      </c>
      <c r="C60">
        <v>2</v>
      </c>
      <c r="D60">
        <v>7</v>
      </c>
      <c r="E60">
        <v>4</v>
      </c>
      <c r="F60">
        <v>3</v>
      </c>
      <c r="G60">
        <v>15</v>
      </c>
      <c r="H60">
        <v>15</v>
      </c>
      <c r="I60">
        <v>20</v>
      </c>
      <c r="J60">
        <v>19</v>
      </c>
      <c r="K60">
        <v>60</v>
      </c>
      <c r="L60">
        <v>22.5</v>
      </c>
      <c r="M60">
        <v>124</v>
      </c>
      <c r="N60">
        <v>91.5</v>
      </c>
      <c r="O60">
        <v>48</v>
      </c>
      <c r="P60">
        <v>32</v>
      </c>
      <c r="Q60">
        <v>91</v>
      </c>
      <c r="R60">
        <v>43</v>
      </c>
      <c r="S60">
        <v>68</v>
      </c>
      <c r="T60">
        <v>117</v>
      </c>
      <c r="U60">
        <v>58</v>
      </c>
      <c r="V60">
        <v>111</v>
      </c>
      <c r="W60">
        <v>143.5</v>
      </c>
      <c r="X60">
        <f>[14]cc!AB17</f>
        <v>149</v>
      </c>
      <c r="Y60">
        <f>[24]cc!AC17</f>
        <v>169.5</v>
      </c>
      <c r="Z60" s="6">
        <f>[15]cc!J40</f>
        <v>315.5</v>
      </c>
      <c r="AA60" s="22">
        <f>SUM(O60:INDEX(O60:Z60,$B$2))</f>
        <v>457</v>
      </c>
      <c r="AB60" s="22">
        <f t="shared" si="168"/>
        <v>171</v>
      </c>
      <c r="AC60" s="22">
        <f t="shared" si="169"/>
        <v>228</v>
      </c>
      <c r="AD60" s="22">
        <f t="shared" si="170"/>
        <v>312.5</v>
      </c>
      <c r="AE60" s="22">
        <f t="shared" si="171"/>
        <v>634</v>
      </c>
      <c r="AF60" s="22">
        <f>SUM(C60                                                                                : INDEX(C60:N60,$B$2))</f>
        <v>66</v>
      </c>
      <c r="AG60" s="22">
        <f t="shared" si="148"/>
        <v>13</v>
      </c>
      <c r="AH60" s="22">
        <f t="shared" si="149"/>
        <v>33</v>
      </c>
      <c r="AI60" s="22">
        <f t="shared" si="150"/>
        <v>99</v>
      </c>
      <c r="AJ60" s="22">
        <f t="shared" si="151"/>
        <v>238</v>
      </c>
      <c r="AK60" s="31">
        <f t="shared" si="172"/>
        <v>5.9242424242424239</v>
      </c>
      <c r="AL60" s="31">
        <f t="shared" si="152"/>
        <v>12.153846153846153</v>
      </c>
      <c r="AM60" s="31">
        <f t="shared" si="152"/>
        <v>5.9090909090909092</v>
      </c>
      <c r="AN60" s="31">
        <f t="shared" si="152"/>
        <v>2.1565656565656566</v>
      </c>
      <c r="AO60" s="31">
        <f>AE60/SUM(L60:INDEX(L60:N60,MOD($B$2,3)))-1</f>
        <v>27.177777777777777</v>
      </c>
      <c r="AP60" s="113">
        <f>[16]cc!J40</f>
        <v>71.5</v>
      </c>
      <c r="AQ60" s="113">
        <f>[17]cc!J40</f>
        <v>104.5</v>
      </c>
      <c r="AR60" s="113">
        <f>[18]cc!J40</f>
        <v>94.5</v>
      </c>
      <c r="AS60" s="113">
        <f>[19]cc!J40</f>
        <v>131</v>
      </c>
      <c r="AT60" s="113">
        <f>[20]cc!J40</f>
        <v>114</v>
      </c>
      <c r="AU60" s="113">
        <f>[21]cc!J40</f>
        <v>101</v>
      </c>
      <c r="AV60" s="113">
        <f>[22]cc!J40</f>
        <v>90.5</v>
      </c>
      <c r="AW60" s="113"/>
      <c r="AX60" s="113"/>
      <c r="AY60" s="113"/>
      <c r="AZ60" s="113"/>
      <c r="BA60" s="113"/>
      <c r="BB60" s="110">
        <f>SUM(AP60:INDEX(AP60:AR60,IF($B$2&lt;3,$B$2,3)))</f>
        <v>270.5</v>
      </c>
      <c r="BC60" s="110">
        <f>SUM(AS60:INDEX(AS60:AU60,IF(AND($B$2&gt;3,B58&lt;7),$B$2-3,0)))</f>
        <v>346</v>
      </c>
      <c r="BD60" s="110">
        <f>SUM(AV60:INDEX(AV60:AX60,IF(AND($B$2&gt;6,$B$2&lt;10),$B$2-6,0)))</f>
        <v>90.5</v>
      </c>
      <c r="BE60" s="110">
        <f>SUM(AY60:INDEX(AY60:BA60,IF($B$2&gt;9,$B$2-9,0)))</f>
        <v>0</v>
      </c>
      <c r="BF60" s="110">
        <f>SUM($AP60:INDEX(AP60:BA60,$B$2))</f>
        <v>707</v>
      </c>
      <c r="BG60" s="122">
        <f t="shared" si="153"/>
        <v>1.4895833333333333</v>
      </c>
      <c r="BH60" s="111">
        <f t="shared" si="154"/>
        <v>3.265625</v>
      </c>
      <c r="BI60" s="111">
        <f t="shared" si="155"/>
        <v>1.0384615384615385</v>
      </c>
      <c r="BJ60" s="111">
        <f t="shared" si="156"/>
        <v>3.0465116279069768</v>
      </c>
      <c r="BK60" s="111">
        <f t="shared" si="157"/>
        <v>1.6764705882352942</v>
      </c>
      <c r="BL60" s="111">
        <f t="shared" si="158"/>
        <v>0.86324786324786329</v>
      </c>
      <c r="BM60" s="111">
        <f t="shared" si="159"/>
        <v>1.5603448275862069</v>
      </c>
      <c r="BN60" s="111">
        <f t="shared" si="160"/>
        <v>0</v>
      </c>
      <c r="BO60" s="111">
        <f t="shared" si="161"/>
        <v>0</v>
      </c>
      <c r="BP60" s="111">
        <f t="shared" si="162"/>
        <v>0</v>
      </c>
      <c r="BQ60" s="111">
        <f t="shared" si="163"/>
        <v>0</v>
      </c>
      <c r="BR60" s="111">
        <f t="shared" si="164"/>
        <v>0</v>
      </c>
      <c r="BS60" s="111">
        <f>BB60/SUM(O60:INDEX(O60:Q60,IF($B$2&lt;3,$B$2,3)))</f>
        <v>1.5818713450292399</v>
      </c>
      <c r="BT60" s="111">
        <f>BC60/SUM(R60:INDEX(R60:T60,IF($B$2&lt;7,$B$2-3,3)))</f>
        <v>1.5175438596491229</v>
      </c>
      <c r="BU60" s="111">
        <f>BD60/SUM(U60:INDEX(U60:W60,IF($B$2&lt;7,$B$2-3,IF($B$2&lt;9,$B$2-6,3))))</f>
        <v>1.5603448275862069</v>
      </c>
      <c r="BV60" s="111">
        <f t="shared" si="165"/>
        <v>0</v>
      </c>
      <c r="BW60" s="111">
        <f t="shared" si="166"/>
        <v>1.5470459518599562</v>
      </c>
    </row>
    <row r="61" spans="1:75" x14ac:dyDescent="0.25">
      <c r="A61" s="20" t="str">
        <f t="shared" si="167"/>
        <v># Case_by_rookie_mdrt:SA</v>
      </c>
      <c r="B61" s="135" t="s">
        <v>136</v>
      </c>
      <c r="Z61" s="6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31"/>
      <c r="AL61" s="31"/>
      <c r="AM61" s="31"/>
      <c r="AN61" s="31"/>
      <c r="AO61" s="31"/>
      <c r="AP61" s="113"/>
      <c r="AQ61" s="113">
        <f>[17]cc!J41</f>
        <v>81</v>
      </c>
      <c r="AR61" s="113">
        <f>[18]cc!J41</f>
        <v>64</v>
      </c>
      <c r="AS61" s="113">
        <f>[19]cc!J41</f>
        <v>159</v>
      </c>
      <c r="AT61" s="113">
        <f>[20]cc!J41</f>
        <v>57</v>
      </c>
      <c r="AU61" s="113">
        <f>[21]cc!J41</f>
        <v>47</v>
      </c>
      <c r="AV61" s="113">
        <f>[22]cc!J41</f>
        <v>49</v>
      </c>
      <c r="AW61" s="113"/>
      <c r="AX61" s="113"/>
      <c r="AY61" s="113"/>
      <c r="AZ61" s="113"/>
      <c r="BA61" s="113"/>
      <c r="BB61" s="110">
        <f>SUM(AP61:INDEX(AP61:AR61,IF($B$2&lt;3,$B$2,3)))</f>
        <v>145</v>
      </c>
      <c r="BC61" s="110">
        <f>SUM(AS61:INDEX(AS61:AU61,IF(AND($B$2&gt;3,B59&lt;7),$B$2-3,0)))</f>
        <v>263</v>
      </c>
      <c r="BD61" s="110">
        <f>SUM(AV61:INDEX(AV61:AX61,IF(AND($B$2&gt;6,$B$2&lt;10),$B$2-6,0)))</f>
        <v>49</v>
      </c>
      <c r="BE61" s="110"/>
      <c r="BF61" s="110">
        <f>SUM($AP61:INDEX(AP61:BA61,$B$2))</f>
        <v>457</v>
      </c>
      <c r="BG61" s="122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</row>
    <row r="62" spans="1:75" s="19" customFormat="1" x14ac:dyDescent="0.25">
      <c r="A62" s="20" t="str">
        <f t="shared" si="167"/>
        <v># Case_by_rookie_mdrt:Total</v>
      </c>
      <c r="B62" s="1" t="s">
        <v>186</v>
      </c>
      <c r="C62" s="7">
        <f t="shared" ref="C62:S62" si="173">SUM(C54:C60)</f>
        <v>342</v>
      </c>
      <c r="D62" s="7">
        <f t="shared" si="173"/>
        <v>282</v>
      </c>
      <c r="E62" s="7">
        <f t="shared" si="173"/>
        <v>486</v>
      </c>
      <c r="F62" s="7">
        <f t="shared" si="173"/>
        <v>492</v>
      </c>
      <c r="G62" s="7">
        <f t="shared" si="173"/>
        <v>519</v>
      </c>
      <c r="H62" s="7">
        <f t="shared" si="173"/>
        <v>578</v>
      </c>
      <c r="I62" s="7">
        <f t="shared" si="173"/>
        <v>730</v>
      </c>
      <c r="J62" s="7">
        <f t="shared" si="173"/>
        <v>483</v>
      </c>
      <c r="K62" s="7">
        <f t="shared" si="173"/>
        <v>1106</v>
      </c>
      <c r="L62" s="7">
        <f t="shared" si="173"/>
        <v>817</v>
      </c>
      <c r="M62" s="7">
        <f t="shared" si="173"/>
        <v>1435</v>
      </c>
      <c r="N62" s="7">
        <f t="shared" si="173"/>
        <v>1429</v>
      </c>
      <c r="O62" s="7">
        <f t="shared" si="173"/>
        <v>468</v>
      </c>
      <c r="P62" s="7">
        <f t="shared" si="173"/>
        <v>483</v>
      </c>
      <c r="Q62" s="7">
        <f t="shared" si="173"/>
        <v>1079</v>
      </c>
      <c r="R62" s="7">
        <f t="shared" si="173"/>
        <v>696</v>
      </c>
      <c r="S62" s="7">
        <f t="shared" si="173"/>
        <v>957</v>
      </c>
      <c r="T62" s="7">
        <f>SUM(T54:T60)</f>
        <v>1760</v>
      </c>
      <c r="U62" s="7">
        <f>SUM(U54:U60)</f>
        <v>1086</v>
      </c>
      <c r="V62" s="7">
        <f t="shared" ref="V62:Z62" si="174">SUM(V54:V60)</f>
        <v>1321</v>
      </c>
      <c r="W62" s="7">
        <f t="shared" si="174"/>
        <v>2032</v>
      </c>
      <c r="X62" s="7">
        <f t="shared" si="174"/>
        <v>1454</v>
      </c>
      <c r="Y62" s="7">
        <f t="shared" si="174"/>
        <v>1636</v>
      </c>
      <c r="Z62" s="7">
        <f t="shared" si="174"/>
        <v>3209</v>
      </c>
      <c r="AA62" s="1">
        <f>SUM(O62:INDEX(O62:Z62,$B$2))</f>
        <v>6529</v>
      </c>
      <c r="AB62" s="1">
        <f t="shared" ref="AB62:AE62" si="175">SUM(AB54:AB60)</f>
        <v>2030</v>
      </c>
      <c r="AC62" s="1">
        <f t="shared" si="175"/>
        <v>3413</v>
      </c>
      <c r="AD62" s="1">
        <f t="shared" si="175"/>
        <v>4439</v>
      </c>
      <c r="AE62" s="1">
        <f t="shared" si="175"/>
        <v>6299</v>
      </c>
      <c r="AF62" s="7">
        <f t="shared" ref="AF62:AJ62" si="176">SUM(AF54:AF60)</f>
        <v>3429</v>
      </c>
      <c r="AG62" s="7">
        <f t="shared" si="176"/>
        <v>1110</v>
      </c>
      <c r="AH62" s="7">
        <f t="shared" si="176"/>
        <v>1589</v>
      </c>
      <c r="AI62" s="7">
        <f t="shared" si="176"/>
        <v>2319</v>
      </c>
      <c r="AJ62" s="7">
        <f t="shared" si="176"/>
        <v>3681</v>
      </c>
      <c r="AK62" s="32">
        <f t="shared" si="172"/>
        <v>0.90405365995917175</v>
      </c>
      <c r="AL62" s="32">
        <f t="shared" si="152"/>
        <v>0.8288288288288288</v>
      </c>
      <c r="AM62" s="32">
        <f t="shared" si="152"/>
        <v>1.1478917558212713</v>
      </c>
      <c r="AN62" s="32">
        <f t="shared" si="152"/>
        <v>0.91418714963346259</v>
      </c>
      <c r="AO62" s="31">
        <f>AE62/SUM(L62:INDEX(L62:N62,MOD($B$2,3)))-1</f>
        <v>6.7099143206854341</v>
      </c>
      <c r="AP62" s="114">
        <f t="shared" ref="AP62" si="177">SUM(AP54:AP60)</f>
        <v>912</v>
      </c>
      <c r="AQ62" s="114">
        <f t="shared" ref="AQ62:AV62" si="178">SUM(AQ54:AQ61)</f>
        <v>1405</v>
      </c>
      <c r="AR62" s="114">
        <f t="shared" si="178"/>
        <v>2095</v>
      </c>
      <c r="AS62" s="114">
        <f t="shared" si="178"/>
        <v>1875</v>
      </c>
      <c r="AT62" s="114">
        <f t="shared" si="178"/>
        <v>1493</v>
      </c>
      <c r="AU62" s="114">
        <f t="shared" si="178"/>
        <v>1899</v>
      </c>
      <c r="AV62" s="114">
        <f t="shared" si="178"/>
        <v>1497</v>
      </c>
      <c r="AW62" s="114"/>
      <c r="AX62" s="114"/>
      <c r="AY62" s="114"/>
      <c r="AZ62" s="114"/>
      <c r="BA62" s="114"/>
      <c r="BB62" s="116">
        <f>SUM(AP62:INDEX(AP62:AR62,IF($B$2&lt;3,$B$2,3)))</f>
        <v>4412</v>
      </c>
      <c r="BC62" s="116">
        <f>SUM(AS62:INDEX(AS62:AU62,IF(AND($B$2&gt;3,B59&lt;7),$B$2-3,0)))</f>
        <v>5267</v>
      </c>
      <c r="BD62" s="116">
        <f>SUM(AV62:INDEX(AV62:AX62,IF(AND($B$2&gt;6,$B$2&lt;10),$B$2-6,0)))</f>
        <v>1497</v>
      </c>
      <c r="BE62" s="116">
        <f>SUM(AY62:INDEX(AY62:BA62,IF($B$2&gt;9,$B$2-9,0)))</f>
        <v>0</v>
      </c>
      <c r="BF62" s="116">
        <f>SUM($AP62:INDEX(AP62:BA62,$B$2))</f>
        <v>11176</v>
      </c>
      <c r="BG62" s="123">
        <f t="shared" si="153"/>
        <v>1.9487179487179487</v>
      </c>
      <c r="BH62" s="118">
        <f t="shared" si="154"/>
        <v>2.9089026915113871</v>
      </c>
      <c r="BI62" s="118">
        <f t="shared" si="155"/>
        <v>1.9416126042632067</v>
      </c>
      <c r="BJ62" s="118">
        <f t="shared" si="156"/>
        <v>2.6939655172413794</v>
      </c>
      <c r="BK62" s="118">
        <f t="shared" si="157"/>
        <v>1.5600835945663531</v>
      </c>
      <c r="BL62" s="118">
        <f t="shared" si="158"/>
        <v>1.0789772727272726</v>
      </c>
      <c r="BM62" s="118">
        <f t="shared" si="159"/>
        <v>1.3784530386740332</v>
      </c>
      <c r="BN62" s="118">
        <f t="shared" si="160"/>
        <v>0</v>
      </c>
      <c r="BO62" s="118">
        <f t="shared" si="161"/>
        <v>0</v>
      </c>
      <c r="BP62" s="118">
        <f t="shared" si="162"/>
        <v>0</v>
      </c>
      <c r="BQ62" s="118">
        <f t="shared" si="163"/>
        <v>0</v>
      </c>
      <c r="BR62" s="118">
        <f t="shared" si="164"/>
        <v>0</v>
      </c>
      <c r="BS62" s="118">
        <f>BB62/SUM(O62:INDEX(O62:Q62,IF($B$2&lt;3,$B$2,3)))</f>
        <v>2.1733990147783251</v>
      </c>
      <c r="BT62" s="118">
        <f>BC62/SUM(R62:INDEX(R62:T62,IF($B$2&lt;7,$B$2-3,3)))</f>
        <v>1.5432171110460007</v>
      </c>
      <c r="BU62" s="111">
        <f>BD62/SUM(U62:INDEX(U62:W62,IF($B$2&lt;7,$B$2-3,IF($B$2&lt;9,$B$2-6,3))))</f>
        <v>1.3784530386740332</v>
      </c>
      <c r="BV62" s="118">
        <f t="shared" si="165"/>
        <v>0</v>
      </c>
      <c r="BW62" s="118">
        <f t="shared" si="166"/>
        <v>1.71174758768571</v>
      </c>
    </row>
    <row r="63" spans="1:75" x14ac:dyDescent="0.25">
      <c r="A63" s="20" t="s">
        <v>227</v>
      </c>
      <c r="B63" t="s">
        <v>187</v>
      </c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10">
        <f t="shared" ref="AP63:AU63" si="179">AP62-AP61</f>
        <v>912</v>
      </c>
      <c r="AQ63" s="110">
        <f t="shared" si="179"/>
        <v>1324</v>
      </c>
      <c r="AR63" s="110">
        <f t="shared" si="179"/>
        <v>2031</v>
      </c>
      <c r="AS63" s="110">
        <f t="shared" si="179"/>
        <v>1716</v>
      </c>
      <c r="AT63" s="110">
        <f t="shared" si="179"/>
        <v>1436</v>
      </c>
      <c r="AU63" s="110">
        <f t="shared" si="179"/>
        <v>1852</v>
      </c>
      <c r="AV63" s="110">
        <f>AV62-AV61</f>
        <v>1448</v>
      </c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24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</row>
    <row r="64" spans="1:75" x14ac:dyDescent="0.25">
      <c r="B64" t="s">
        <v>187</v>
      </c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24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</row>
    <row r="65" spans="1:75" s="19" customFormat="1" x14ac:dyDescent="0.25">
      <c r="B65" s="2" t="s">
        <v>13</v>
      </c>
      <c r="C65" s="3">
        <f t="shared" ref="C65:Z65" si="180">C17</f>
        <v>42005</v>
      </c>
      <c r="D65" s="3">
        <f t="shared" si="180"/>
        <v>42036</v>
      </c>
      <c r="E65" s="3">
        <f t="shared" si="180"/>
        <v>42064</v>
      </c>
      <c r="F65" s="3">
        <f t="shared" si="180"/>
        <v>42095</v>
      </c>
      <c r="G65" s="3">
        <f t="shared" si="180"/>
        <v>42125</v>
      </c>
      <c r="H65" s="3">
        <f t="shared" si="180"/>
        <v>42156</v>
      </c>
      <c r="I65" s="3">
        <f t="shared" si="180"/>
        <v>42186</v>
      </c>
      <c r="J65" s="3">
        <f t="shared" si="180"/>
        <v>42217</v>
      </c>
      <c r="K65" s="3">
        <f t="shared" si="180"/>
        <v>42248</v>
      </c>
      <c r="L65" s="3">
        <f t="shared" si="180"/>
        <v>42278</v>
      </c>
      <c r="M65" s="3">
        <f t="shared" si="180"/>
        <v>42309</v>
      </c>
      <c r="N65" s="3">
        <f t="shared" si="180"/>
        <v>42339</v>
      </c>
      <c r="O65" s="3">
        <f t="shared" si="180"/>
        <v>42370</v>
      </c>
      <c r="P65" s="3">
        <f t="shared" si="180"/>
        <v>42401</v>
      </c>
      <c r="Q65" s="3">
        <f t="shared" si="180"/>
        <v>42430</v>
      </c>
      <c r="R65" s="3">
        <f t="shared" si="180"/>
        <v>42461</v>
      </c>
      <c r="S65" s="3">
        <f t="shared" si="180"/>
        <v>42491</v>
      </c>
      <c r="T65" s="3">
        <f t="shared" si="180"/>
        <v>42522</v>
      </c>
      <c r="U65" s="3">
        <f t="shared" si="180"/>
        <v>42552</v>
      </c>
      <c r="V65" s="3">
        <f t="shared" si="180"/>
        <v>42583</v>
      </c>
      <c r="W65" s="3">
        <f t="shared" si="180"/>
        <v>42614</v>
      </c>
      <c r="X65" s="3">
        <f t="shared" si="180"/>
        <v>42644</v>
      </c>
      <c r="Y65" s="3">
        <f t="shared" si="180"/>
        <v>42675</v>
      </c>
      <c r="Z65" s="3">
        <f t="shared" si="180"/>
        <v>42705</v>
      </c>
      <c r="AA65" s="29" t="str">
        <f>AA53</f>
        <v>YTD 7/16</v>
      </c>
      <c r="AB65" s="29" t="s">
        <v>19</v>
      </c>
      <c r="AC65" s="29" t="s">
        <v>20</v>
      </c>
      <c r="AD65" s="29" t="s">
        <v>21</v>
      </c>
      <c r="AE65" s="29" t="s">
        <v>22</v>
      </c>
      <c r="AF65" s="26" t="str">
        <f t="shared" ref="AF65:AJ65" si="181">AF41</f>
        <v>YTD 7/15</v>
      </c>
      <c r="AG65" s="26" t="str">
        <f t="shared" si="181"/>
        <v>Q1 '15</v>
      </c>
      <c r="AH65" s="26" t="str">
        <f t="shared" si="181"/>
        <v>Q2 '15</v>
      </c>
      <c r="AI65" s="26" t="str">
        <f t="shared" si="181"/>
        <v>Q3 '15</v>
      </c>
      <c r="AJ65" s="26" t="str">
        <f t="shared" si="181"/>
        <v>Q4 '15</v>
      </c>
      <c r="AK65" s="30" t="s">
        <v>27</v>
      </c>
      <c r="AL65" s="30" t="s">
        <v>29</v>
      </c>
      <c r="AM65" s="30" t="s">
        <v>30</v>
      </c>
      <c r="AN65" s="30" t="s">
        <v>31</v>
      </c>
      <c r="AO65" s="30" t="s">
        <v>32</v>
      </c>
      <c r="AP65" s="108">
        <v>42736</v>
      </c>
      <c r="AQ65" s="108">
        <v>42767</v>
      </c>
      <c r="AR65" s="108">
        <v>42795</v>
      </c>
      <c r="AS65" s="108">
        <v>42826</v>
      </c>
      <c r="AT65" s="108">
        <v>42856</v>
      </c>
      <c r="AU65" s="108">
        <v>42887</v>
      </c>
      <c r="AV65" s="108">
        <v>42917</v>
      </c>
      <c r="AW65" s="108">
        <v>42948</v>
      </c>
      <c r="AX65" s="108">
        <v>42979</v>
      </c>
      <c r="AY65" s="108">
        <v>43009</v>
      </c>
      <c r="AZ65" s="108">
        <v>43040</v>
      </c>
      <c r="BA65" s="108">
        <v>43070</v>
      </c>
      <c r="BB65" s="29" t="s">
        <v>123</v>
      </c>
      <c r="BC65" s="29" t="s">
        <v>124</v>
      </c>
      <c r="BD65" s="29" t="s">
        <v>125</v>
      </c>
      <c r="BE65" s="29" t="s">
        <v>126</v>
      </c>
      <c r="BF65" s="29" t="str">
        <f>$BF$3</f>
        <v>YTD 7/17</v>
      </c>
      <c r="BG65" s="121">
        <v>42736</v>
      </c>
      <c r="BH65" s="108">
        <v>42767</v>
      </c>
      <c r="BI65" s="108">
        <v>42795</v>
      </c>
      <c r="BJ65" s="108">
        <v>42826</v>
      </c>
      <c r="BK65" s="108">
        <v>42856</v>
      </c>
      <c r="BL65" s="108">
        <v>42887</v>
      </c>
      <c r="BM65" s="108">
        <v>42917</v>
      </c>
      <c r="BN65" s="108">
        <v>42948</v>
      </c>
      <c r="BO65" s="108">
        <v>42979</v>
      </c>
      <c r="BP65" s="108">
        <v>43009</v>
      </c>
      <c r="BQ65" s="108">
        <v>43040</v>
      </c>
      <c r="BR65" s="108">
        <v>43070</v>
      </c>
      <c r="BS65" s="29" t="s">
        <v>127</v>
      </c>
      <c r="BT65" s="29" t="s">
        <v>128</v>
      </c>
      <c r="BU65" s="29" t="s">
        <v>96</v>
      </c>
      <c r="BV65" s="29" t="s">
        <v>129</v>
      </c>
      <c r="BW65" s="112" t="s">
        <v>130</v>
      </c>
    </row>
    <row r="66" spans="1:75" x14ac:dyDescent="0.25">
      <c r="A66" s="20" t="str">
        <f>$B$65&amp;"_by_rookie_mdrt:"&amp;B66</f>
        <v># Case/Active_by_rookie_mdrt:MDRT</v>
      </c>
      <c r="B66" t="s">
        <v>4</v>
      </c>
      <c r="C66" s="12">
        <f t="shared" ref="C66:AJ66" si="182">IFERROR(C54/C30,"")</f>
        <v>2</v>
      </c>
      <c r="D66" s="12">
        <f t="shared" si="182"/>
        <v>1.6</v>
      </c>
      <c r="E66" s="12">
        <f t="shared" si="182"/>
        <v>3.7272727272727271</v>
      </c>
      <c r="F66" s="12">
        <f t="shared" si="182"/>
        <v>1.7272727272727273</v>
      </c>
      <c r="G66" s="12">
        <f t="shared" si="182"/>
        <v>1.1875</v>
      </c>
      <c r="H66" s="12">
        <f t="shared" si="182"/>
        <v>2</v>
      </c>
      <c r="I66" s="12">
        <f t="shared" si="182"/>
        <v>3.2857142857142856</v>
      </c>
      <c r="J66" s="12">
        <f t="shared" si="182"/>
        <v>1.7692307692307692</v>
      </c>
      <c r="K66" s="12">
        <f t="shared" si="182"/>
        <v>3.0588235294117645</v>
      </c>
      <c r="L66" s="12">
        <f t="shared" si="182"/>
        <v>1.7894736842105263</v>
      </c>
      <c r="M66" s="12">
        <f t="shared" si="182"/>
        <v>4.5</v>
      </c>
      <c r="N66" s="12">
        <f t="shared" si="182"/>
        <v>6.666666666666667</v>
      </c>
      <c r="O66" s="12">
        <f t="shared" si="182"/>
        <v>1.4166666666666667</v>
      </c>
      <c r="P66" s="12">
        <f t="shared" si="182"/>
        <v>1.5</v>
      </c>
      <c r="Q66" s="12">
        <f t="shared" si="182"/>
        <v>2.4444444444444446</v>
      </c>
      <c r="R66" s="12">
        <f t="shared" si="182"/>
        <v>1.9230769230769231</v>
      </c>
      <c r="S66" s="12">
        <f t="shared" si="182"/>
        <v>1.8461538461538463</v>
      </c>
      <c r="T66" s="12">
        <f t="shared" si="182"/>
        <v>2.2666666666666666</v>
      </c>
      <c r="U66" s="12">
        <f t="shared" si="182"/>
        <v>2.2666666666666666</v>
      </c>
      <c r="V66" s="12">
        <f t="shared" si="182"/>
        <v>2.5</v>
      </c>
      <c r="W66" s="12">
        <f t="shared" si="182"/>
        <v>3.1153846153846154</v>
      </c>
      <c r="X66" s="12">
        <f t="shared" si="182"/>
        <v>2.2727272727272729</v>
      </c>
      <c r="Y66" s="12">
        <f t="shared" si="182"/>
        <v>1.8181818181818181</v>
      </c>
      <c r="Z66" s="12">
        <f t="shared" si="182"/>
        <v>3.8846153846153846</v>
      </c>
      <c r="AA66" s="21">
        <f t="shared" si="182"/>
        <v>2.021276595744681</v>
      </c>
      <c r="AB66" s="21">
        <f t="shared" si="182"/>
        <v>1.9210526315789473</v>
      </c>
      <c r="AC66" s="21">
        <f t="shared" si="182"/>
        <v>2.024390243902439</v>
      </c>
      <c r="AD66" s="21">
        <f t="shared" si="182"/>
        <v>2.6124999999999998</v>
      </c>
      <c r="AE66" s="21">
        <f t="shared" si="182"/>
        <v>2.7285714285714286</v>
      </c>
      <c r="AF66" s="21">
        <f t="shared" si="182"/>
        <v>2.2345679012345681</v>
      </c>
      <c r="AG66" s="21">
        <f t="shared" si="182"/>
        <v>2.6296296296296298</v>
      </c>
      <c r="AH66" s="21">
        <f t="shared" si="182"/>
        <v>1.6</v>
      </c>
      <c r="AI66" s="21">
        <f t="shared" si="182"/>
        <v>2.75</v>
      </c>
      <c r="AJ66" s="21">
        <f t="shared" si="182"/>
        <v>4.0869565217391308</v>
      </c>
      <c r="AK66" s="31">
        <f>AA66/AF66-1</f>
        <v>-9.5450805219231216E-2</v>
      </c>
      <c r="AL66" s="31">
        <f t="shared" ref="AL66:AM74" si="183">AB66/AG66-1</f>
        <v>-0.26945885841363981</v>
      </c>
      <c r="AM66" s="31">
        <f t="shared" si="183"/>
        <v>0.26524390243902429</v>
      </c>
      <c r="AN66" s="31">
        <f t="shared" ref="AN66:AN74" si="184">AD66/AI66-1</f>
        <v>-5.0000000000000044E-2</v>
      </c>
      <c r="AO66" s="31">
        <f t="shared" ref="AO66:AO74" si="185">AE66/AJ66-1</f>
        <v>-0.33237082066869306</v>
      </c>
      <c r="AP66" s="10">
        <f t="shared" ref="AP66:AQ73" si="186">IFERROR(AP54/AP30,"")</f>
        <v>1.9807692307692308</v>
      </c>
      <c r="AQ66" s="10">
        <f t="shared" si="186"/>
        <v>2.6428571428571428</v>
      </c>
      <c r="AR66" s="10">
        <f t="shared" ref="AR66:AS66" si="187">IFERROR(AR54/AR30,"")</f>
        <v>3.106060606060606</v>
      </c>
      <c r="AS66" s="10">
        <f t="shared" si="187"/>
        <v>2.9166666666666665</v>
      </c>
      <c r="AT66" s="10">
        <f t="shared" ref="AT66:AV66" si="188">IFERROR(AT54/AT30,"")</f>
        <v>3.6774193548387095</v>
      </c>
      <c r="AU66" s="10">
        <f t="shared" si="188"/>
        <v>2.774193548387097</v>
      </c>
      <c r="AV66" s="10">
        <f t="shared" si="188"/>
        <v>3.7272727272727271</v>
      </c>
      <c r="AW66" s="18"/>
      <c r="AX66" s="18"/>
      <c r="AY66" s="18"/>
      <c r="AZ66" s="18"/>
      <c r="BA66" s="18"/>
      <c r="BB66" s="10">
        <f t="shared" ref="BB66:BF73" si="189">IFERROR(BB54/BB30,"")</f>
        <v>2.6223404255319149</v>
      </c>
      <c r="BC66" s="10">
        <f t="shared" si="189"/>
        <v>3.1122448979591835</v>
      </c>
      <c r="BD66" s="10">
        <f t="shared" si="189"/>
        <v>3.7272727272727271</v>
      </c>
      <c r="BE66" s="10" t="str">
        <f t="shared" si="189"/>
        <v/>
      </c>
      <c r="BF66" s="10">
        <f t="shared" si="189"/>
        <v>2.9602803738317758</v>
      </c>
      <c r="BG66" s="122">
        <f t="shared" ref="BG66:BR74" si="190">AP66/O66</f>
        <v>1.3981900452488687</v>
      </c>
      <c r="BH66" s="111">
        <f t="shared" si="190"/>
        <v>1.7619047619047619</v>
      </c>
      <c r="BI66" s="111">
        <f t="shared" si="190"/>
        <v>1.2706611570247932</v>
      </c>
      <c r="BJ66" s="111">
        <f t="shared" si="190"/>
        <v>1.5166666666666666</v>
      </c>
      <c r="BK66" s="111">
        <f t="shared" si="190"/>
        <v>1.9919354838709675</v>
      </c>
      <c r="BL66" s="111">
        <f t="shared" si="190"/>
        <v>1.2239089184060723</v>
      </c>
      <c r="BM66" s="111">
        <f t="shared" si="190"/>
        <v>1.6443850267379678</v>
      </c>
      <c r="BN66" s="111">
        <f t="shared" si="190"/>
        <v>0</v>
      </c>
      <c r="BO66" s="111">
        <f t="shared" si="190"/>
        <v>0</v>
      </c>
      <c r="BP66" s="111">
        <f t="shared" si="190"/>
        <v>0</v>
      </c>
      <c r="BQ66" s="111">
        <f t="shared" si="190"/>
        <v>0</v>
      </c>
      <c r="BR66" s="111">
        <f t="shared" si="190"/>
        <v>0</v>
      </c>
      <c r="BS66" s="111">
        <f>BB66/(SUM(O54:INDEX(O54:Q54,IF($B$2&lt;3,$B$2,3)))/SUM(O30:INDEX(O30:Q30,IF($B$2&lt;3,$B$2,3))))</f>
        <v>1.365053920139901</v>
      </c>
      <c r="BT66" s="111">
        <f>BC66/(SUM(R54:INDEX(R54:T54,$C$2))/SUM(R30:INDEX(R30:T30,$C$2)))</f>
        <v>1.6183673469387754</v>
      </c>
      <c r="BU66" s="111">
        <f>BD66/SUM(U66:INDEX(U66:W66,IF($B$2&lt;7,$B$2-3,IF($B$2&lt;9,$B$2-6,3))))</f>
        <v>1.6443850267379678</v>
      </c>
      <c r="BV66" s="18"/>
      <c r="BW66" s="31">
        <f>BF66/AA66</f>
        <v>1.4645597638957206</v>
      </c>
    </row>
    <row r="67" spans="1:75" x14ac:dyDescent="0.25">
      <c r="A67" s="20" t="str">
        <f t="shared" ref="A67:A74" si="191">$B$65&amp;"_by_rookie_mdrt:"&amp;B67</f>
        <v># Case/Active_by_rookie_mdrt:Rookie in month</v>
      </c>
      <c r="B67" t="s">
        <v>5</v>
      </c>
      <c r="C67" s="12">
        <f t="shared" ref="C67:AJ67" si="192">IFERROR(C55/C31,"")</f>
        <v>1.3116883116883118</v>
      </c>
      <c r="D67" s="12">
        <f t="shared" si="192"/>
        <v>1.1730769230769231</v>
      </c>
      <c r="E67" s="12">
        <f t="shared" si="192"/>
        <v>1.2911392405063291</v>
      </c>
      <c r="F67" s="12">
        <f t="shared" si="192"/>
        <v>1.4666666666666666</v>
      </c>
      <c r="G67" s="12">
        <f t="shared" si="192"/>
        <v>1.2383720930232558</v>
      </c>
      <c r="H67" s="12">
        <f t="shared" si="192"/>
        <v>1.3571428571428572</v>
      </c>
      <c r="I67" s="12">
        <f t="shared" si="192"/>
        <v>1.4557823129251701</v>
      </c>
      <c r="J67" s="12">
        <f t="shared" si="192"/>
        <v>1.2626262626262625</v>
      </c>
      <c r="K67" s="12">
        <f t="shared" si="192"/>
        <v>1.5</v>
      </c>
      <c r="L67" s="12">
        <f t="shared" si="192"/>
        <v>1.3206106870229009</v>
      </c>
      <c r="M67" s="12">
        <f t="shared" si="192"/>
        <v>1.68359375</v>
      </c>
      <c r="N67" s="12">
        <f t="shared" si="192"/>
        <v>1.5341614906832297</v>
      </c>
      <c r="O67" s="12">
        <f t="shared" si="192"/>
        <v>1.3695652173913044</v>
      </c>
      <c r="P67" s="12">
        <f t="shared" si="192"/>
        <v>1.175</v>
      </c>
      <c r="Q67" s="12">
        <f t="shared" si="192"/>
        <v>1.641711229946524</v>
      </c>
      <c r="R67" s="12">
        <f t="shared" si="192"/>
        <v>1.3428571428571427</v>
      </c>
      <c r="S67" s="12">
        <f t="shared" si="192"/>
        <v>1.3511111111111112</v>
      </c>
      <c r="T67" s="12">
        <f t="shared" si="192"/>
        <v>1.6413043478260869</v>
      </c>
      <c r="U67" s="12">
        <f t="shared" si="192"/>
        <v>1.3678571428571429</v>
      </c>
      <c r="V67" s="12">
        <f t="shared" si="192"/>
        <v>1.3173652694610778</v>
      </c>
      <c r="W67" s="12">
        <f t="shared" si="192"/>
        <v>1.6194379391100702</v>
      </c>
      <c r="X67" s="12">
        <f t="shared" si="192"/>
        <v>1.4420289855072463</v>
      </c>
      <c r="Y67" s="12">
        <f t="shared" si="192"/>
        <v>1.9035714285714285</v>
      </c>
      <c r="Z67" s="12">
        <f t="shared" si="192"/>
        <v>1.85</v>
      </c>
      <c r="AA67" s="21">
        <f t="shared" si="192"/>
        <v>1.4819532908704882</v>
      </c>
      <c r="AB67" s="21">
        <f t="shared" si="192"/>
        <v>1.5274725274725274</v>
      </c>
      <c r="AC67" s="21">
        <f t="shared" si="192"/>
        <v>1.5046511627906978</v>
      </c>
      <c r="AD67" s="21">
        <f t="shared" si="192"/>
        <v>1.4548511047070125</v>
      </c>
      <c r="AE67" s="21">
        <f t="shared" si="192"/>
        <v>1.7473469387755103</v>
      </c>
      <c r="AF67" s="21">
        <f t="shared" si="192"/>
        <v>1.3505564387917328</v>
      </c>
      <c r="AG67" s="21">
        <f t="shared" si="192"/>
        <v>1.2692307692307692</v>
      </c>
      <c r="AH67" s="21">
        <f t="shared" si="192"/>
        <v>1.3558394160583942</v>
      </c>
      <c r="AI67" s="21">
        <f t="shared" si="192"/>
        <v>1.4311926605504588</v>
      </c>
      <c r="AJ67" s="21">
        <f t="shared" si="192"/>
        <v>1.552919708029197</v>
      </c>
      <c r="AK67" s="31">
        <f t="shared" ref="AK67:AK74" si="193">AA67/AF67-1</f>
        <v>9.7290900479737763E-2</v>
      </c>
      <c r="AL67" s="31">
        <f t="shared" si="183"/>
        <v>0.20346320346320335</v>
      </c>
      <c r="AM67" s="31">
        <f t="shared" si="183"/>
        <v>0.10975617390215664</v>
      </c>
      <c r="AN67" s="31">
        <f t="shared" si="184"/>
        <v>1.6530579570925408E-2</v>
      </c>
      <c r="AO67" s="31">
        <f t="shared" si="185"/>
        <v>0.12520108395884799</v>
      </c>
      <c r="AP67" s="10">
        <f t="shared" si="186"/>
        <v>1.7256637168141593</v>
      </c>
      <c r="AQ67" s="10">
        <f t="shared" si="186"/>
        <v>1.3201970443349753</v>
      </c>
      <c r="AR67" s="10">
        <f t="shared" ref="AR67:AS67" si="194">IFERROR(AR55/AR31,"")</f>
        <v>1.6205357142857142</v>
      </c>
      <c r="AS67" s="10">
        <f t="shared" si="194"/>
        <v>1.4826498422712935</v>
      </c>
      <c r="AT67" s="10">
        <f t="shared" ref="AT67:AV67" si="195">IFERROR(AT55/AT31,"")</f>
        <v>1.6654545454545455</v>
      </c>
      <c r="AU67" s="10">
        <f t="shared" si="195"/>
        <v>1.4915014164305949</v>
      </c>
      <c r="AV67" s="10">
        <f t="shared" si="195"/>
        <v>1.5777777777777777</v>
      </c>
      <c r="AW67" s="18"/>
      <c r="AX67" s="18"/>
      <c r="AY67" s="18"/>
      <c r="AZ67" s="18"/>
      <c r="BA67" s="18"/>
      <c r="BB67" s="10">
        <f t="shared" si="189"/>
        <v>1.5562827225130891</v>
      </c>
      <c r="BC67" s="10">
        <f t="shared" si="189"/>
        <v>1.5261941448382126</v>
      </c>
      <c r="BD67" s="10">
        <f t="shared" si="189"/>
        <v>1.5777777777777777</v>
      </c>
      <c r="BE67" s="10" t="str">
        <f t="shared" si="189"/>
        <v/>
      </c>
      <c r="BF67" s="10">
        <f t="shared" si="189"/>
        <v>1.5433526011560694</v>
      </c>
      <c r="BG67" s="122">
        <f t="shared" si="190"/>
        <v>1.260008428150021</v>
      </c>
      <c r="BH67" s="111">
        <f t="shared" si="190"/>
        <v>1.1235719526255108</v>
      </c>
      <c r="BI67" s="111">
        <f t="shared" si="190"/>
        <v>0.98710155886458817</v>
      </c>
      <c r="BJ67" s="111">
        <f t="shared" si="190"/>
        <v>1.10410094637224</v>
      </c>
      <c r="BK67" s="111">
        <f t="shared" si="190"/>
        <v>1.2326555023923444</v>
      </c>
      <c r="BL67" s="111">
        <f t="shared" si="190"/>
        <v>0.90872933981201809</v>
      </c>
      <c r="BM67" s="111">
        <f t="shared" si="190"/>
        <v>1.1534667827096026</v>
      </c>
      <c r="BN67" s="111">
        <f t="shared" si="190"/>
        <v>0</v>
      </c>
      <c r="BO67" s="111">
        <f t="shared" si="190"/>
        <v>0</v>
      </c>
      <c r="BP67" s="111">
        <f t="shared" si="190"/>
        <v>0</v>
      </c>
      <c r="BQ67" s="111">
        <f t="shared" si="190"/>
        <v>0</v>
      </c>
      <c r="BR67" s="111">
        <f t="shared" si="190"/>
        <v>0</v>
      </c>
      <c r="BS67" s="111">
        <f>BB67/(SUM(O55:INDEX(O55:Q55,IF($B$2&lt;3,$B$2,3)))/SUM(O31:INDEX(O31:Q31,IF($B$2&lt;3,$B$2,3))))</f>
        <v>1.0188613507100079</v>
      </c>
      <c r="BT67" s="111">
        <f>BC67/(SUM(R55:INDEX(R55:T55,$C$2))/SUM(R31:INDEX(R31:T31,$C$2)))</f>
        <v>1.1365275546667541</v>
      </c>
      <c r="BU67" s="111">
        <f>BD67/SUM(U67:INDEX(U67:W67,IF($B$2&lt;7,$B$2-3,IF($B$2&lt;9,$B$2-6,3))))</f>
        <v>1.1534667827096026</v>
      </c>
      <c r="BV67" s="18"/>
      <c r="BW67" s="31">
        <f t="shared" ref="BW67:BW74" si="196">BF67/AA67</f>
        <v>1.0414313397485799</v>
      </c>
    </row>
    <row r="68" spans="1:75" x14ac:dyDescent="0.25">
      <c r="A68" s="20" t="str">
        <f t="shared" si="191"/>
        <v># Case/Active_by_rookie_mdrt:Rookie last month</v>
      </c>
      <c r="B68" t="s">
        <v>6</v>
      </c>
      <c r="C68" s="12">
        <f t="shared" ref="C68:AJ68" si="197">IFERROR(C56/C32,"")</f>
        <v>1.4565217391304348</v>
      </c>
      <c r="D68" s="12">
        <f t="shared" si="197"/>
        <v>1.1875</v>
      </c>
      <c r="E68" s="12">
        <f t="shared" si="197"/>
        <v>1.6</v>
      </c>
      <c r="F68" s="12">
        <f t="shared" si="197"/>
        <v>1.2205882352941178</v>
      </c>
      <c r="G68" s="12">
        <f t="shared" si="197"/>
        <v>1.4329268292682926</v>
      </c>
      <c r="H68" s="12">
        <f t="shared" si="197"/>
        <v>1.2948717948717949</v>
      </c>
      <c r="I68" s="12">
        <f t="shared" si="197"/>
        <v>1.4831460674157304</v>
      </c>
      <c r="J68" s="12">
        <f t="shared" si="197"/>
        <v>1.2289156626506024</v>
      </c>
      <c r="K68" s="12">
        <f t="shared" si="197"/>
        <v>1.6936936936936937</v>
      </c>
      <c r="L68" s="12">
        <f t="shared" si="197"/>
        <v>1.3785714285714286</v>
      </c>
      <c r="M68" s="12">
        <f t="shared" si="197"/>
        <v>1.8082191780821917</v>
      </c>
      <c r="N68" s="12">
        <f t="shared" si="197"/>
        <v>1.8358974358974358</v>
      </c>
      <c r="O68" s="12">
        <f t="shared" si="197"/>
        <v>1.0895522388059702</v>
      </c>
      <c r="P68" s="12">
        <f t="shared" si="197"/>
        <v>1.4523809523809523</v>
      </c>
      <c r="Q68" s="12">
        <f t="shared" si="197"/>
        <v>1.56</v>
      </c>
      <c r="R68" s="12">
        <f t="shared" si="197"/>
        <v>1.2195121951219512</v>
      </c>
      <c r="S68" s="12">
        <f t="shared" si="197"/>
        <v>1.5145631067961165</v>
      </c>
      <c r="T68" s="12">
        <f t="shared" si="197"/>
        <v>1.8353658536585367</v>
      </c>
      <c r="U68" s="12">
        <f t="shared" si="197"/>
        <v>1.2372093023255815</v>
      </c>
      <c r="V68" s="12">
        <f t="shared" si="197"/>
        <v>1.5316455696202531</v>
      </c>
      <c r="W68" s="12">
        <f t="shared" si="197"/>
        <v>1.7071129707112971</v>
      </c>
      <c r="X68" s="12">
        <f t="shared" si="197"/>
        <v>1.3341584158415842</v>
      </c>
      <c r="Y68" s="12">
        <f t="shared" si="197"/>
        <v>1.4758454106280192</v>
      </c>
      <c r="Z68" s="12">
        <f t="shared" si="197"/>
        <v>1.8025830258302582</v>
      </c>
      <c r="AA68" s="21">
        <f t="shared" si="197"/>
        <v>1.4269340974212035</v>
      </c>
      <c r="AB68" s="21">
        <f t="shared" si="197"/>
        <v>1.291044776119403</v>
      </c>
      <c r="AC68" s="21">
        <f t="shared" si="197"/>
        <v>1.5959885386819483</v>
      </c>
      <c r="AD68" s="21">
        <f t="shared" si="197"/>
        <v>1.4967320261437909</v>
      </c>
      <c r="AE68" s="21">
        <f t="shared" si="197"/>
        <v>1.5639705882352941</v>
      </c>
      <c r="AF68" s="21">
        <f t="shared" si="197"/>
        <v>1.3763102725366876</v>
      </c>
      <c r="AG68" s="21">
        <f t="shared" si="197"/>
        <v>1.39375</v>
      </c>
      <c r="AH68" s="21">
        <f t="shared" si="197"/>
        <v>1.3223684210526316</v>
      </c>
      <c r="AI68" s="21">
        <f t="shared" si="197"/>
        <v>1.4911660777385158</v>
      </c>
      <c r="AJ68" s="21">
        <f t="shared" si="197"/>
        <v>1.6740196078431373</v>
      </c>
      <c r="AK68" s="31">
        <f t="shared" si="193"/>
        <v>3.6782276420280313E-2</v>
      </c>
      <c r="AL68" s="31">
        <f t="shared" si="183"/>
        <v>-7.3689846730473185E-2</v>
      </c>
      <c r="AM68" s="31">
        <f t="shared" si="183"/>
        <v>0.20691670586893607</v>
      </c>
      <c r="AN68" s="31">
        <f t="shared" si="184"/>
        <v>3.7326146888456702E-3</v>
      </c>
      <c r="AO68" s="31">
        <f t="shared" si="185"/>
        <v>-6.5739385065885836E-2</v>
      </c>
      <c r="AP68" s="10">
        <f t="shared" si="186"/>
        <v>1.1595092024539877</v>
      </c>
      <c r="AQ68" s="10">
        <f t="shared" si="186"/>
        <v>1.6338028169014085</v>
      </c>
      <c r="AR68" s="10">
        <f t="shared" ref="AR68:AS68" si="198">IFERROR(AR56/AR32,"")</f>
        <v>1.5698324022346368</v>
      </c>
      <c r="AS68" s="10">
        <f t="shared" si="198"/>
        <v>1.5808080808080809</v>
      </c>
      <c r="AT68" s="10">
        <f t="shared" ref="AT68:AV68" si="199">IFERROR(AT56/AT32,"")</f>
        <v>1.4525547445255473</v>
      </c>
      <c r="AU68" s="10">
        <f t="shared" si="199"/>
        <v>1.4305555555555556</v>
      </c>
      <c r="AV68" s="10">
        <f t="shared" si="199"/>
        <v>1.2666666666666666</v>
      </c>
      <c r="AW68" s="18"/>
      <c r="AX68" s="18"/>
      <c r="AY68" s="18"/>
      <c r="AZ68" s="18"/>
      <c r="BA68" s="18"/>
      <c r="BB68" s="10">
        <f t="shared" si="189"/>
        <v>1.4188861985472154</v>
      </c>
      <c r="BC68" s="10">
        <f t="shared" si="189"/>
        <v>1.5045146726862302</v>
      </c>
      <c r="BD68" s="10">
        <f t="shared" si="189"/>
        <v>1.2666666666666666</v>
      </c>
      <c r="BE68" s="10" t="str">
        <f t="shared" si="189"/>
        <v/>
      </c>
      <c r="BF68" s="10">
        <f t="shared" si="189"/>
        <v>1.4290540540540539</v>
      </c>
      <c r="BG68" s="122">
        <f t="shared" si="190"/>
        <v>1.0642070762248927</v>
      </c>
      <c r="BH68" s="111">
        <f t="shared" si="190"/>
        <v>1.1249134149157238</v>
      </c>
      <c r="BI68" s="111">
        <f t="shared" si="190"/>
        <v>1.0063028219452801</v>
      </c>
      <c r="BJ68" s="111">
        <f t="shared" si="190"/>
        <v>1.2962626262626264</v>
      </c>
      <c r="BK68" s="111">
        <f t="shared" si="190"/>
        <v>0.95905858132135502</v>
      </c>
      <c r="BL68" s="111">
        <f t="shared" si="190"/>
        <v>0.77943890734588406</v>
      </c>
      <c r="BM68" s="111">
        <f t="shared" si="190"/>
        <v>1.0238095238095237</v>
      </c>
      <c r="BN68" s="111">
        <f t="shared" si="190"/>
        <v>0</v>
      </c>
      <c r="BO68" s="111">
        <f t="shared" si="190"/>
        <v>0</v>
      </c>
      <c r="BP68" s="111">
        <f t="shared" si="190"/>
        <v>0</v>
      </c>
      <c r="BQ68" s="111">
        <f t="shared" si="190"/>
        <v>0</v>
      </c>
      <c r="BR68" s="111">
        <f t="shared" si="190"/>
        <v>0</v>
      </c>
      <c r="BS68" s="111">
        <f>BB68/(SUM(O56:INDEX(O56:Q56,IF($B$2&lt;3,$B$2,3)))/SUM(O32:INDEX(O32:Q32,IF($B$2&lt;3,$B$2,3))))</f>
        <v>1.0990216797995773</v>
      </c>
      <c r="BT68" s="111">
        <f>BC68/(SUM(R56:INDEX(R56:T56,$C$2))/SUM(R32:INDEX(R32:T32,$C$2)))</f>
        <v>1.2337020316027087</v>
      </c>
      <c r="BU68" s="111">
        <f>BD68/SUM(U68:INDEX(U68:W68,IF($B$2&lt;7,$B$2-3,IF($B$2&lt;9,$B$2-6,3))))</f>
        <v>1.0238095238095237</v>
      </c>
      <c r="BV68" s="18"/>
      <c r="BW68" s="31">
        <f t="shared" si="196"/>
        <v>1.0014856724194072</v>
      </c>
    </row>
    <row r="69" spans="1:75" x14ac:dyDescent="0.25">
      <c r="A69" s="20" t="str">
        <f t="shared" si="191"/>
        <v># Case/Active_by_rookie_mdrt:2-3 months</v>
      </c>
      <c r="B69" t="s">
        <v>7</v>
      </c>
      <c r="C69" s="12">
        <f t="shared" ref="C69:AJ69" si="200">IFERROR(C57/C33,"")</f>
        <v>1.25</v>
      </c>
      <c r="D69" s="12">
        <f t="shared" si="200"/>
        <v>1.2037037037037037</v>
      </c>
      <c r="E69" s="12">
        <f t="shared" si="200"/>
        <v>1.3809523809523809</v>
      </c>
      <c r="F69" s="12">
        <f t="shared" si="200"/>
        <v>1.2931034482758621</v>
      </c>
      <c r="G69" s="12">
        <f t="shared" si="200"/>
        <v>1.234375</v>
      </c>
      <c r="H69" s="12">
        <f t="shared" si="200"/>
        <v>1.319327731092437</v>
      </c>
      <c r="I69" s="12">
        <f t="shared" si="200"/>
        <v>1.4594594594594594</v>
      </c>
      <c r="J69" s="12">
        <f t="shared" si="200"/>
        <v>1.0930232558139534</v>
      </c>
      <c r="K69" s="12">
        <f t="shared" si="200"/>
        <v>1.53125</v>
      </c>
      <c r="L69" s="12">
        <f t="shared" si="200"/>
        <v>1.3208955223880596</v>
      </c>
      <c r="M69" s="12">
        <f t="shared" si="200"/>
        <v>1.9559748427672956</v>
      </c>
      <c r="N69" s="12">
        <f t="shared" si="200"/>
        <v>1.4822485207100591</v>
      </c>
      <c r="O69" s="12">
        <f t="shared" si="200"/>
        <v>1.134020618556701</v>
      </c>
      <c r="P69" s="12">
        <f t="shared" si="200"/>
        <v>1.2396694214876034</v>
      </c>
      <c r="Q69" s="12">
        <f t="shared" si="200"/>
        <v>1.8125</v>
      </c>
      <c r="R69" s="12">
        <f t="shared" si="200"/>
        <v>2.1081081081081079</v>
      </c>
      <c r="S69" s="12">
        <f t="shared" si="200"/>
        <v>1.8428571428571427</v>
      </c>
      <c r="T69" s="12">
        <f t="shared" si="200"/>
        <v>1.5165562913907285</v>
      </c>
      <c r="U69" s="12">
        <f t="shared" si="200"/>
        <v>1.3615384615384616</v>
      </c>
      <c r="V69" s="12">
        <f t="shared" si="200"/>
        <v>1.4069264069264069</v>
      </c>
      <c r="W69" s="12">
        <f t="shared" si="200"/>
        <v>1.7601476014760147</v>
      </c>
      <c r="X69" s="12">
        <f t="shared" si="200"/>
        <v>1.4972067039106145</v>
      </c>
      <c r="Y69" s="12">
        <f t="shared" si="200"/>
        <v>1.3611111111111112</v>
      </c>
      <c r="Z69" s="12">
        <f t="shared" si="200"/>
        <v>1.6905487804878048</v>
      </c>
      <c r="AA69" s="21">
        <f t="shared" si="200"/>
        <v>1.4914529914529915</v>
      </c>
      <c r="AB69" s="21">
        <f t="shared" si="200"/>
        <v>1.3821656050955413</v>
      </c>
      <c r="AC69" s="21">
        <f t="shared" si="200"/>
        <v>1.6899224806201549</v>
      </c>
      <c r="AD69" s="21">
        <f t="shared" si="200"/>
        <v>1.5490506329113924</v>
      </c>
      <c r="AE69" s="21">
        <f t="shared" si="200"/>
        <v>1.5442600276625174</v>
      </c>
      <c r="AF69" s="21">
        <f t="shared" si="200"/>
        <v>1.3249097472924187</v>
      </c>
      <c r="AG69" s="21">
        <f t="shared" si="200"/>
        <v>1.2920792079207921</v>
      </c>
      <c r="AH69" s="21">
        <f t="shared" si="200"/>
        <v>1.2904564315352698</v>
      </c>
      <c r="AI69" s="21">
        <f t="shared" si="200"/>
        <v>1.403361344537815</v>
      </c>
      <c r="AJ69" s="21">
        <f t="shared" si="200"/>
        <v>1.5984848484848484</v>
      </c>
      <c r="AK69" s="31">
        <f t="shared" si="193"/>
        <v>0.12570157665525516</v>
      </c>
      <c r="AL69" s="31">
        <f t="shared" si="183"/>
        <v>6.97220391927178E-2</v>
      </c>
      <c r="AM69" s="31">
        <f t="shared" si="183"/>
        <v>0.30955407662204926</v>
      </c>
      <c r="AN69" s="31">
        <f t="shared" si="184"/>
        <v>0.10381452285302828</v>
      </c>
      <c r="AO69" s="31">
        <f t="shared" si="185"/>
        <v>-3.3922636722974908E-2</v>
      </c>
      <c r="AP69" s="10">
        <f t="shared" si="186"/>
        <v>1.5551948051948052</v>
      </c>
      <c r="AQ69" s="10">
        <f t="shared" si="186"/>
        <v>1.3946488294314381</v>
      </c>
      <c r="AR69" s="10">
        <f t="shared" ref="AR69:AS69" si="201">IFERROR(AR57/AR33,"")</f>
        <v>1.6804123711340206</v>
      </c>
      <c r="AS69" s="10">
        <f t="shared" si="201"/>
        <v>1.5570469798657718</v>
      </c>
      <c r="AT69" s="10">
        <f t="shared" ref="AT69:AV69" si="202">IFERROR(AT57/AT33,"")</f>
        <v>1.4939759036144578</v>
      </c>
      <c r="AU69" s="10">
        <f t="shared" si="202"/>
        <v>1.4784172661870503</v>
      </c>
      <c r="AV69" s="10">
        <f t="shared" si="202"/>
        <v>1.7695652173913043</v>
      </c>
      <c r="AW69" s="18"/>
      <c r="AX69" s="18"/>
      <c r="AY69" s="18"/>
      <c r="AZ69" s="18"/>
      <c r="BA69" s="18"/>
      <c r="BB69" s="10">
        <f t="shared" si="189"/>
        <v>1.51854714064915</v>
      </c>
      <c r="BC69" s="10">
        <f t="shared" si="189"/>
        <v>1.5099118942731278</v>
      </c>
      <c r="BD69" s="10">
        <f t="shared" si="189"/>
        <v>1.7695652173913043</v>
      </c>
      <c r="BE69" s="10" t="str">
        <f t="shared" si="189"/>
        <v/>
      </c>
      <c r="BF69" s="10">
        <f t="shared" si="189"/>
        <v>1.5390625</v>
      </c>
      <c r="BG69" s="122">
        <f t="shared" si="190"/>
        <v>1.3713990554899647</v>
      </c>
      <c r="BH69" s="111">
        <f t="shared" si="190"/>
        <v>1.1250167224080267</v>
      </c>
      <c r="BI69" s="111">
        <f t="shared" si="190"/>
        <v>0.9271240668325631</v>
      </c>
      <c r="BJ69" s="111">
        <f t="shared" si="190"/>
        <v>0.73859920839786619</v>
      </c>
      <c r="BK69" s="111">
        <f t="shared" si="190"/>
        <v>0.81068459886055855</v>
      </c>
      <c r="BL69" s="111">
        <f t="shared" si="190"/>
        <v>0.97485155980019478</v>
      </c>
      <c r="BM69" s="111">
        <f t="shared" si="190"/>
        <v>1.299680668140506</v>
      </c>
      <c r="BN69" s="111">
        <f t="shared" si="190"/>
        <v>0</v>
      </c>
      <c r="BO69" s="111">
        <f t="shared" si="190"/>
        <v>0</v>
      </c>
      <c r="BP69" s="111">
        <f t="shared" si="190"/>
        <v>0</v>
      </c>
      <c r="BQ69" s="111">
        <f t="shared" si="190"/>
        <v>0</v>
      </c>
      <c r="BR69" s="111">
        <f t="shared" si="190"/>
        <v>0</v>
      </c>
      <c r="BS69" s="111">
        <f>BB69/(SUM(O57:INDEX(O57:Q57,IF($B$2&lt;3,$B$2,3)))/SUM(O33:INDEX(O33:Q33,IF($B$2&lt;3,$B$2,3))))</f>
        <v>1.0986723552162054</v>
      </c>
      <c r="BT69" s="111">
        <f>BC69/(SUM(R57:INDEX(R57:T57,$C$2))/SUM(R33:INDEX(R33:T33,$C$2)))</f>
        <v>0.71624025753981713</v>
      </c>
      <c r="BU69" s="111">
        <f>BD69/SUM(U69:INDEX(U69:W69,IF($B$2&lt;7,$B$2-3,IF($B$2&lt;9,$B$2-6,3))))</f>
        <v>1.299680668140506</v>
      </c>
      <c r="BV69" s="18"/>
      <c r="BW69" s="31">
        <f t="shared" si="196"/>
        <v>1.0319215616045845</v>
      </c>
    </row>
    <row r="70" spans="1:75" x14ac:dyDescent="0.25">
      <c r="A70" s="20" t="str">
        <f t="shared" si="191"/>
        <v># Case/Active_by_rookie_mdrt:4 - 6 mths</v>
      </c>
      <c r="B70" t="s">
        <v>8</v>
      </c>
      <c r="C70" s="12">
        <f t="shared" ref="C70:AJ70" si="203">IFERROR(C58/C34,"")</f>
        <v>1.2333333333333334</v>
      </c>
      <c r="D70" s="12">
        <f t="shared" si="203"/>
        <v>1.1333333333333333</v>
      </c>
      <c r="E70" s="12">
        <f t="shared" si="203"/>
        <v>1.1666666666666667</v>
      </c>
      <c r="F70" s="12">
        <f t="shared" si="203"/>
        <v>1.6612903225806452</v>
      </c>
      <c r="G70" s="12">
        <f t="shared" si="203"/>
        <v>1.3176470588235294</v>
      </c>
      <c r="H70" s="12">
        <f t="shared" si="203"/>
        <v>1.1643835616438356</v>
      </c>
      <c r="I70" s="12">
        <f t="shared" si="203"/>
        <v>1.3114754098360655</v>
      </c>
      <c r="J70" s="12">
        <f t="shared" si="203"/>
        <v>1.0877192982456141</v>
      </c>
      <c r="K70" s="12">
        <f t="shared" si="203"/>
        <v>1.1707317073170731</v>
      </c>
      <c r="L70" s="12">
        <f t="shared" si="203"/>
        <v>1.1451612903225807</v>
      </c>
      <c r="M70" s="12">
        <f t="shared" si="203"/>
        <v>1.9074074074074074</v>
      </c>
      <c r="N70" s="12">
        <f t="shared" si="203"/>
        <v>1.9722222222222223</v>
      </c>
      <c r="O70" s="12">
        <f t="shared" si="203"/>
        <v>1.1477272727272727</v>
      </c>
      <c r="P70" s="12">
        <f t="shared" si="203"/>
        <v>1.1395348837209303</v>
      </c>
      <c r="Q70" s="12">
        <f t="shared" si="203"/>
        <v>1.4476744186046511</v>
      </c>
      <c r="R70" s="12">
        <f t="shared" si="203"/>
        <v>0.97222222222222221</v>
      </c>
      <c r="S70" s="12">
        <f t="shared" si="203"/>
        <v>1.2650602409638554</v>
      </c>
      <c r="T70" s="12">
        <f t="shared" si="203"/>
        <v>1.390625</v>
      </c>
      <c r="U70" s="12">
        <f t="shared" si="203"/>
        <v>1.3461538461538463</v>
      </c>
      <c r="V70" s="12">
        <f t="shared" si="203"/>
        <v>1.3066666666666666</v>
      </c>
      <c r="W70" s="12">
        <f t="shared" si="203"/>
        <v>1.5459183673469388</v>
      </c>
      <c r="X70" s="12">
        <f t="shared" si="203"/>
        <v>1.5391304347826087</v>
      </c>
      <c r="Y70" s="12">
        <f t="shared" si="203"/>
        <v>1.8518518518518519</v>
      </c>
      <c r="Z70" s="12">
        <f t="shared" si="203"/>
        <v>1.8</v>
      </c>
      <c r="AA70" s="21">
        <f t="shared" si="203"/>
        <v>1.2511485451761102</v>
      </c>
      <c r="AB70" s="21">
        <f t="shared" si="203"/>
        <v>1.2947976878612717</v>
      </c>
      <c r="AC70" s="21">
        <f t="shared" si="203"/>
        <v>1.1725490196078432</v>
      </c>
      <c r="AD70" s="21">
        <f t="shared" si="203"/>
        <v>1.42</v>
      </c>
      <c r="AE70" s="21">
        <f t="shared" si="203"/>
        <v>1.7461368653421634</v>
      </c>
      <c r="AF70" s="21">
        <f t="shared" si="203"/>
        <v>1.2972972972972974</v>
      </c>
      <c r="AG70" s="21">
        <f t="shared" si="203"/>
        <v>1.1746031746031746</v>
      </c>
      <c r="AH70" s="21">
        <f t="shared" si="203"/>
        <v>1.3636363636363635</v>
      </c>
      <c r="AI70" s="21">
        <f t="shared" si="203"/>
        <v>1.1867219917012448</v>
      </c>
      <c r="AJ70" s="21">
        <f t="shared" si="203"/>
        <v>1.7006472491909386</v>
      </c>
      <c r="AK70" s="31">
        <f t="shared" si="193"/>
        <v>-3.5572996426748493E-2</v>
      </c>
      <c r="AL70" s="31">
        <f t="shared" si="183"/>
        <v>0.10232776128729881</v>
      </c>
      <c r="AM70" s="31">
        <f t="shared" si="183"/>
        <v>-0.14013071895424822</v>
      </c>
      <c r="AN70" s="31">
        <f t="shared" si="184"/>
        <v>0.19657342657342647</v>
      </c>
      <c r="AO70" s="31">
        <f t="shared" si="185"/>
        <v>2.6748413683593597E-2</v>
      </c>
      <c r="AP70" s="10">
        <f t="shared" si="186"/>
        <v>1.1857142857142857</v>
      </c>
      <c r="AQ70" s="10">
        <f t="shared" si="186"/>
        <v>1.4166666666666667</v>
      </c>
      <c r="AR70" s="10">
        <f t="shared" ref="AR70:AS70" si="204">IFERROR(AR58/AR34,"")</f>
        <v>1.6471962616822431</v>
      </c>
      <c r="AS70" s="10">
        <f t="shared" si="204"/>
        <v>1.495049504950495</v>
      </c>
      <c r="AT70" s="10">
        <f t="shared" ref="AT70:AV70" si="205">IFERROR(AT58/AT34,"")</f>
        <v>1.7685185185185186</v>
      </c>
      <c r="AU70" s="10">
        <f t="shared" si="205"/>
        <v>1.4606741573033708</v>
      </c>
      <c r="AV70" s="10">
        <f t="shared" si="205"/>
        <v>1.8648648648648649</v>
      </c>
      <c r="AW70" s="18"/>
      <c r="AX70" s="18"/>
      <c r="AY70" s="18"/>
      <c r="AZ70" s="18"/>
      <c r="BA70" s="18"/>
      <c r="BB70" s="10">
        <f t="shared" si="189"/>
        <v>1.4681724845995894</v>
      </c>
      <c r="BC70" s="10">
        <f t="shared" si="189"/>
        <v>1.5614035087719298</v>
      </c>
      <c r="BD70" s="10">
        <f t="shared" si="189"/>
        <v>1.8648648648648649</v>
      </c>
      <c r="BE70" s="10" t="str">
        <f t="shared" si="189"/>
        <v/>
      </c>
      <c r="BF70" s="10">
        <f t="shared" si="189"/>
        <v>1.5375000000000001</v>
      </c>
      <c r="BG70" s="122">
        <f t="shared" si="190"/>
        <v>1.0330975954738331</v>
      </c>
      <c r="BH70" s="111">
        <f t="shared" si="190"/>
        <v>1.2431972789115646</v>
      </c>
      <c r="BI70" s="111">
        <f t="shared" si="190"/>
        <v>1.1378223173066098</v>
      </c>
      <c r="BJ70" s="111">
        <f t="shared" si="190"/>
        <v>1.5377652050919377</v>
      </c>
      <c r="BK70" s="111">
        <f t="shared" si="190"/>
        <v>1.3979717813051147</v>
      </c>
      <c r="BL70" s="111">
        <f t="shared" si="190"/>
        <v>1.0503724277237723</v>
      </c>
      <c r="BM70" s="111">
        <f t="shared" si="190"/>
        <v>1.3853281853281854</v>
      </c>
      <c r="BN70" s="111">
        <f t="shared" si="190"/>
        <v>0</v>
      </c>
      <c r="BO70" s="111">
        <f t="shared" si="190"/>
        <v>0</v>
      </c>
      <c r="BP70" s="111">
        <f t="shared" si="190"/>
        <v>0</v>
      </c>
      <c r="BQ70" s="111">
        <f t="shared" si="190"/>
        <v>0</v>
      </c>
      <c r="BR70" s="111">
        <f t="shared" si="190"/>
        <v>0</v>
      </c>
      <c r="BS70" s="111">
        <f>BB70/(SUM(O58:INDEX(O58:Q58,IF($B$2&lt;3,$B$2,3)))/SUM(O34:INDEX(O34:Q34,IF($B$2&lt;3,$B$2,3))))</f>
        <v>1.1339010706952186</v>
      </c>
      <c r="BT70" s="111">
        <f>BC70/(SUM(R58:INDEX(R58:T58,$C$2))/SUM(R34:INDEX(R34:T34,$C$2)))</f>
        <v>1.606015037593985</v>
      </c>
      <c r="BU70" s="111">
        <f>BD70/SUM(U70:INDEX(U70:W70,IF($B$2&lt;7,$B$2-3,IF($B$2&lt;9,$B$2-6,3))))</f>
        <v>1.3853281853281854</v>
      </c>
      <c r="BV70" s="18"/>
      <c r="BW70" s="31">
        <f t="shared" si="196"/>
        <v>1.2288708690330479</v>
      </c>
    </row>
    <row r="71" spans="1:75" x14ac:dyDescent="0.25">
      <c r="A71" s="20" t="str">
        <f t="shared" si="191"/>
        <v># Case/Active_by_rookie_mdrt:7-12mth</v>
      </c>
      <c r="B71" t="s">
        <v>1</v>
      </c>
      <c r="C71" s="12">
        <f t="shared" ref="C71:AJ71" si="206">IFERROR(C59/C35,"")</f>
        <v>1.03125</v>
      </c>
      <c r="D71" s="12">
        <f t="shared" si="206"/>
        <v>1.1481481481481481</v>
      </c>
      <c r="E71" s="12">
        <f t="shared" si="206"/>
        <v>1.5714285714285714</v>
      </c>
      <c r="F71" s="12">
        <f t="shared" si="206"/>
        <v>1.4807692307692308</v>
      </c>
      <c r="G71" s="12">
        <f t="shared" si="206"/>
        <v>1.044776119402985</v>
      </c>
      <c r="H71" s="12">
        <f t="shared" si="206"/>
        <v>1.0338983050847457</v>
      </c>
      <c r="I71" s="12">
        <f t="shared" si="206"/>
        <v>1.2666666666666666</v>
      </c>
      <c r="J71" s="12">
        <f t="shared" si="206"/>
        <v>1.1372549019607843</v>
      </c>
      <c r="K71" s="12">
        <f t="shared" si="206"/>
        <v>1.1785714285714286</v>
      </c>
      <c r="L71" s="12">
        <f t="shared" si="206"/>
        <v>1.1935483870967742</v>
      </c>
      <c r="M71" s="12">
        <f t="shared" si="206"/>
        <v>1.903225806451613</v>
      </c>
      <c r="N71" s="12">
        <f t="shared" si="206"/>
        <v>1.5363636363636364</v>
      </c>
      <c r="O71" s="12">
        <f t="shared" si="206"/>
        <v>1.037037037037037</v>
      </c>
      <c r="P71" s="12">
        <f t="shared" si="206"/>
        <v>1.2575757575757576</v>
      </c>
      <c r="Q71" s="12">
        <f t="shared" si="206"/>
        <v>1.6203703703703705</v>
      </c>
      <c r="R71" s="12">
        <f t="shared" si="206"/>
        <v>1.02803738317757</v>
      </c>
      <c r="S71" s="12">
        <f t="shared" si="206"/>
        <v>1.4615384615384615</v>
      </c>
      <c r="T71" s="12">
        <f t="shared" si="206"/>
        <v>1.6549295774647887</v>
      </c>
      <c r="U71" s="12">
        <f t="shared" si="206"/>
        <v>1.1395348837209303</v>
      </c>
      <c r="V71" s="12">
        <f t="shared" si="206"/>
        <v>1.1904761904761905</v>
      </c>
      <c r="W71" s="12">
        <f t="shared" si="206"/>
        <v>1.5584415584415585</v>
      </c>
      <c r="X71" s="12">
        <f t="shared" si="206"/>
        <v>1.446808510638298</v>
      </c>
      <c r="Y71" s="12">
        <f t="shared" si="206"/>
        <v>1.8095238095238095</v>
      </c>
      <c r="Z71" s="12">
        <f t="shared" si="206"/>
        <v>2.0294117647058822</v>
      </c>
      <c r="AA71" s="21">
        <f t="shared" si="206"/>
        <v>1.3647058823529412</v>
      </c>
      <c r="AB71" s="21">
        <f t="shared" si="206"/>
        <v>1.3771929824561404</v>
      </c>
      <c r="AC71" s="21">
        <f t="shared" si="206"/>
        <v>1.4098360655737705</v>
      </c>
      <c r="AD71" s="21">
        <f t="shared" si="206"/>
        <v>1.2964601769911503</v>
      </c>
      <c r="AE71" s="21">
        <f t="shared" si="206"/>
        <v>1.8617886178861789</v>
      </c>
      <c r="AF71" s="21">
        <f t="shared" si="206"/>
        <v>1.2212389380530972</v>
      </c>
      <c r="AG71" s="21">
        <f t="shared" si="206"/>
        <v>1.2871287128712872</v>
      </c>
      <c r="AH71" s="21">
        <f t="shared" si="206"/>
        <v>1.1685393258426966</v>
      </c>
      <c r="AI71" s="21">
        <f t="shared" si="206"/>
        <v>1.1928251121076232</v>
      </c>
      <c r="AJ71" s="21">
        <f t="shared" si="206"/>
        <v>1.5439189189189189</v>
      </c>
      <c r="AK71" s="31">
        <f t="shared" si="193"/>
        <v>0.11747655583972727</v>
      </c>
      <c r="AL71" s="31">
        <f t="shared" si="183"/>
        <v>6.9973009446693712E-2</v>
      </c>
      <c r="AM71" s="31">
        <f t="shared" si="183"/>
        <v>0.20649432534678436</v>
      </c>
      <c r="AN71" s="31">
        <f t="shared" si="184"/>
        <v>8.6882028079047213E-2</v>
      </c>
      <c r="AO71" s="31">
        <f t="shared" si="185"/>
        <v>0.20588496913415533</v>
      </c>
      <c r="AP71" s="10">
        <f t="shared" si="186"/>
        <v>0.91111111111111109</v>
      </c>
      <c r="AQ71" s="10">
        <f t="shared" si="186"/>
        <v>1.2054794520547945</v>
      </c>
      <c r="AR71" s="10">
        <f t="shared" ref="AR71:AS71" si="207">IFERROR(AR59/AR35,"")</f>
        <v>1.3378378378378379</v>
      </c>
      <c r="AS71" s="10">
        <f t="shared" si="207"/>
        <v>1.3360655737704918</v>
      </c>
      <c r="AT71" s="10">
        <f t="shared" ref="AT71:AV71" si="208">IFERROR(AT59/AT35,"")</f>
        <v>1.3333333333333333</v>
      </c>
      <c r="AU71" s="10">
        <f t="shared" si="208"/>
        <v>1.3118279569892473</v>
      </c>
      <c r="AV71" s="10">
        <f t="shared" si="208"/>
        <v>1.7250000000000001</v>
      </c>
      <c r="AW71" s="18"/>
      <c r="AX71" s="18"/>
      <c r="AY71" s="18"/>
      <c r="AZ71" s="18"/>
      <c r="BA71" s="18"/>
      <c r="BB71" s="10">
        <f t="shared" si="189"/>
        <v>1.2117903930131004</v>
      </c>
      <c r="BC71" s="10">
        <f t="shared" si="189"/>
        <v>1.3277591973244147</v>
      </c>
      <c r="BD71" s="10">
        <f t="shared" si="189"/>
        <v>1.7250000000000001</v>
      </c>
      <c r="BE71" s="10" t="str">
        <f t="shared" si="189"/>
        <v/>
      </c>
      <c r="BF71" s="10">
        <f t="shared" si="189"/>
        <v>1.3363486842105263</v>
      </c>
      <c r="BG71" s="122">
        <f t="shared" si="190"/>
        <v>0.87857142857142856</v>
      </c>
      <c r="BH71" s="111">
        <f t="shared" si="190"/>
        <v>0.95857402211586062</v>
      </c>
      <c r="BI71" s="111">
        <f t="shared" si="190"/>
        <v>0.82563706563706563</v>
      </c>
      <c r="BJ71" s="111">
        <f t="shared" si="190"/>
        <v>1.2996274217585695</v>
      </c>
      <c r="BK71" s="111">
        <f t="shared" si="190"/>
        <v>0.91228070175438591</v>
      </c>
      <c r="BL71" s="111">
        <f t="shared" si="190"/>
        <v>0.79267902081903452</v>
      </c>
      <c r="BM71" s="111">
        <f t="shared" si="190"/>
        <v>1.5137755102040817</v>
      </c>
      <c r="BN71" s="111">
        <f t="shared" si="190"/>
        <v>0</v>
      </c>
      <c r="BO71" s="111">
        <f t="shared" si="190"/>
        <v>0</v>
      </c>
      <c r="BP71" s="111">
        <f t="shared" si="190"/>
        <v>0</v>
      </c>
      <c r="BQ71" s="111">
        <f t="shared" si="190"/>
        <v>0</v>
      </c>
      <c r="BR71" s="111">
        <f t="shared" si="190"/>
        <v>0</v>
      </c>
      <c r="BS71" s="111">
        <f>BB71/(SUM(O59:INDEX(O59:Q59,IF($B$2&lt;3,$B$2,3)))/SUM(O35:INDEX(O35:Q35,IF($B$2&lt;3,$B$2,3))))</f>
        <v>0.87989875671014928</v>
      </c>
      <c r="BT71" s="111">
        <f>BC71/(SUM(R59:INDEX(R59:T59,$C$2))/SUM(R35:INDEX(R35:T35,$C$2)))</f>
        <v>1.2915475828519307</v>
      </c>
      <c r="BU71" s="111">
        <f>BD71/SUM(U71:INDEX(U71:W71,IF($B$2&lt;7,$B$2-3,IF($B$2&lt;9,$B$2-6,3))))</f>
        <v>1.5137755102040817</v>
      </c>
      <c r="BV71" s="18"/>
      <c r="BW71" s="31">
        <f t="shared" si="196"/>
        <v>0.97922101860254085</v>
      </c>
    </row>
    <row r="72" spans="1:75" x14ac:dyDescent="0.25">
      <c r="A72" s="20" t="str">
        <f t="shared" si="191"/>
        <v># Case/Active_by_rookie_mdrt:13+mth</v>
      </c>
      <c r="B72" t="s">
        <v>2</v>
      </c>
      <c r="C72" s="12">
        <f t="shared" ref="C72:AJ72" si="209">IFERROR(C60/C36,"")</f>
        <v>1</v>
      </c>
      <c r="D72" s="12">
        <f t="shared" si="209"/>
        <v>1.1666666666666667</v>
      </c>
      <c r="E72" s="12">
        <f t="shared" si="209"/>
        <v>1</v>
      </c>
      <c r="F72" s="12">
        <f t="shared" si="209"/>
        <v>1</v>
      </c>
      <c r="G72" s="12">
        <f t="shared" si="209"/>
        <v>1</v>
      </c>
      <c r="H72" s="12">
        <f t="shared" si="209"/>
        <v>1.1538461538461537</v>
      </c>
      <c r="I72" s="12">
        <f t="shared" si="209"/>
        <v>1</v>
      </c>
      <c r="J72" s="12">
        <f t="shared" si="209"/>
        <v>0.86363636363636365</v>
      </c>
      <c r="K72" s="12">
        <f t="shared" si="209"/>
        <v>1.1538461538461537</v>
      </c>
      <c r="L72" s="12">
        <f t="shared" si="209"/>
        <v>0.86538461538461542</v>
      </c>
      <c r="M72" s="12">
        <f t="shared" si="209"/>
        <v>2.2962962962962963</v>
      </c>
      <c r="N72" s="12">
        <f t="shared" si="209"/>
        <v>1.83</v>
      </c>
      <c r="O72" s="12">
        <f t="shared" si="209"/>
        <v>1.6</v>
      </c>
      <c r="P72" s="12">
        <f t="shared" si="209"/>
        <v>1.3333333333333333</v>
      </c>
      <c r="Q72" s="12">
        <f t="shared" si="209"/>
        <v>1.8571428571428572</v>
      </c>
      <c r="R72" s="12">
        <f t="shared" si="209"/>
        <v>1.3870967741935485</v>
      </c>
      <c r="S72" s="12">
        <f t="shared" si="209"/>
        <v>1.3076923076923077</v>
      </c>
      <c r="T72" s="12">
        <f t="shared" si="209"/>
        <v>1.6956521739130435</v>
      </c>
      <c r="U72" s="12">
        <f t="shared" si="209"/>
        <v>1.0943396226415094</v>
      </c>
      <c r="V72" s="12">
        <f t="shared" si="209"/>
        <v>1.3373493975903614</v>
      </c>
      <c r="W72" s="12">
        <f t="shared" si="209"/>
        <v>1.8397435897435896</v>
      </c>
      <c r="X72" s="12">
        <f t="shared" si="209"/>
        <v>1.6373626373626373</v>
      </c>
      <c r="Y72" s="12">
        <f t="shared" si="209"/>
        <v>2.1187499999999999</v>
      </c>
      <c r="Z72" s="12">
        <f t="shared" si="209"/>
        <v>2.6291666666666669</v>
      </c>
      <c r="AA72" s="21">
        <f t="shared" si="209"/>
        <v>1.4837662337662338</v>
      </c>
      <c r="AB72" s="21">
        <f t="shared" si="209"/>
        <v>1.6601941747572815</v>
      </c>
      <c r="AC72" s="21">
        <f t="shared" si="209"/>
        <v>1.5</v>
      </c>
      <c r="AD72" s="21">
        <f t="shared" si="209"/>
        <v>1.4602803738317758</v>
      </c>
      <c r="AE72" s="21">
        <f t="shared" si="209"/>
        <v>2.1786941580756012</v>
      </c>
      <c r="AF72" s="21">
        <f t="shared" si="209"/>
        <v>1.0476190476190477</v>
      </c>
      <c r="AG72" s="21">
        <f t="shared" si="209"/>
        <v>1.0833333333333333</v>
      </c>
      <c r="AH72" s="21">
        <f t="shared" si="209"/>
        <v>1.064516129032258</v>
      </c>
      <c r="AI72" s="21">
        <f t="shared" si="209"/>
        <v>1.053191489361702</v>
      </c>
      <c r="AJ72" s="21">
        <f t="shared" si="209"/>
        <v>1.8307692307692307</v>
      </c>
      <c r="AK72" s="31">
        <f t="shared" si="193"/>
        <v>0.41632231404958686</v>
      </c>
      <c r="AL72" s="31">
        <f t="shared" si="183"/>
        <v>0.53248693054518292</v>
      </c>
      <c r="AM72" s="31">
        <f t="shared" si="183"/>
        <v>0.40909090909090917</v>
      </c>
      <c r="AN72" s="31">
        <f t="shared" si="184"/>
        <v>0.38652883979986807</v>
      </c>
      <c r="AO72" s="31">
        <f t="shared" si="185"/>
        <v>0.19004302752028646</v>
      </c>
      <c r="AP72" s="10">
        <f t="shared" si="186"/>
        <v>1.3</v>
      </c>
      <c r="AQ72" s="10">
        <f t="shared" si="186"/>
        <v>1.471830985915493</v>
      </c>
      <c r="AR72" s="10">
        <f t="shared" ref="AR72:AS72" si="210">IFERROR(AR60/AR36,"")</f>
        <v>1.4104477611940298</v>
      </c>
      <c r="AS72" s="10">
        <f t="shared" si="210"/>
        <v>1.7702702702702702</v>
      </c>
      <c r="AT72" s="10">
        <f t="shared" ref="AT72:AV72" si="211">IFERROR(AT60/AT36,"")</f>
        <v>1.8095238095238095</v>
      </c>
      <c r="AU72" s="10">
        <f t="shared" si="211"/>
        <v>1.6833333333333333</v>
      </c>
      <c r="AV72" s="10">
        <f t="shared" si="211"/>
        <v>1.5083333333333333</v>
      </c>
      <c r="AW72" s="18"/>
      <c r="AX72" s="18"/>
      <c r="AY72" s="18"/>
      <c r="AZ72" s="18"/>
      <c r="BA72" s="18"/>
      <c r="BB72" s="10">
        <f t="shared" si="189"/>
        <v>1.4015544041450778</v>
      </c>
      <c r="BC72" s="10">
        <f t="shared" si="189"/>
        <v>1.7563451776649746</v>
      </c>
      <c r="BD72" s="10">
        <f t="shared" si="189"/>
        <v>1.5083333333333333</v>
      </c>
      <c r="BE72" s="10" t="str">
        <f t="shared" si="189"/>
        <v/>
      </c>
      <c r="BF72" s="10">
        <f t="shared" si="189"/>
        <v>1.5711111111111111</v>
      </c>
      <c r="BG72" s="122">
        <f t="shared" si="190"/>
        <v>0.8125</v>
      </c>
      <c r="BH72" s="111">
        <f t="shared" si="190"/>
        <v>1.1038732394366197</v>
      </c>
      <c r="BI72" s="111">
        <f t="shared" si="190"/>
        <v>0.75947187141216987</v>
      </c>
      <c r="BJ72" s="111">
        <f t="shared" si="190"/>
        <v>1.2762413576367062</v>
      </c>
      <c r="BK72" s="111">
        <f t="shared" si="190"/>
        <v>1.3837535014005602</v>
      </c>
      <c r="BL72" s="111">
        <f t="shared" si="190"/>
        <v>0.99273504273504276</v>
      </c>
      <c r="BM72" s="111">
        <f t="shared" si="190"/>
        <v>1.3783045977011494</v>
      </c>
      <c r="BN72" s="111">
        <f t="shared" si="190"/>
        <v>0</v>
      </c>
      <c r="BO72" s="111">
        <f t="shared" si="190"/>
        <v>0</v>
      </c>
      <c r="BP72" s="111">
        <f t="shared" si="190"/>
        <v>0</v>
      </c>
      <c r="BQ72" s="111">
        <f t="shared" si="190"/>
        <v>0</v>
      </c>
      <c r="BR72" s="111">
        <f t="shared" si="190"/>
        <v>0</v>
      </c>
      <c r="BS72" s="111">
        <f>BB72/(SUM(O60:INDEX(O60:Q60,IF($B$2&lt;3,$B$2,3)))/SUM(O36:INDEX(O36:Q36,IF($B$2&lt;3,$B$2,3))))</f>
        <v>0.84421113232130418</v>
      </c>
      <c r="BT72" s="111">
        <f>BC72/(SUM(R60:INDEX(R60:T60,$C$2))/SUM(R36:INDEX(R36:T36,$C$2)))</f>
        <v>1.2662023373863769</v>
      </c>
      <c r="BU72" s="111">
        <f>BD72/SUM(U72:INDEX(U72:W72,IF($B$2&lt;7,$B$2-3,IF($B$2&lt;9,$B$2-6,3))))</f>
        <v>1.3783045977011494</v>
      </c>
      <c r="BV72" s="18"/>
      <c r="BW72" s="31">
        <f t="shared" si="196"/>
        <v>1.0588670070508144</v>
      </c>
    </row>
    <row r="73" spans="1:75" x14ac:dyDescent="0.25">
      <c r="A73" s="20" t="str">
        <f t="shared" si="191"/>
        <v># Case/Active_by_rookie_mdrt:SA</v>
      </c>
      <c r="B73" s="135" t="s">
        <v>136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31"/>
      <c r="AL73" s="31"/>
      <c r="AM73" s="31"/>
      <c r="AN73" s="31"/>
      <c r="AO73" s="31"/>
      <c r="AP73" s="10" t="str">
        <f t="shared" si="186"/>
        <v/>
      </c>
      <c r="AQ73" s="10">
        <f>IFERROR(AQ61/AQ37,"")</f>
        <v>1.208955223880597</v>
      </c>
      <c r="AR73" s="10">
        <f>IFERROR(AR61/AR37,"")</f>
        <v>1.4222222222222223</v>
      </c>
      <c r="AS73" s="10">
        <f>IFERROR(AS61/AS37,"")</f>
        <v>1.3826086956521739</v>
      </c>
      <c r="AT73" s="10">
        <f>IFERROR(AT61/AT37,"")</f>
        <v>1.2954545454545454</v>
      </c>
      <c r="AU73" s="10">
        <f>IFERROR(AU61/AU37,"")</f>
        <v>1.1190476190476191</v>
      </c>
      <c r="AV73" s="10">
        <f t="shared" ref="AV73" si="212">IFERROR(AV61/AV37,"")</f>
        <v>1.53125</v>
      </c>
      <c r="AW73" s="18"/>
      <c r="AX73" s="18"/>
      <c r="AY73" s="18"/>
      <c r="AZ73" s="18"/>
      <c r="BA73" s="18"/>
      <c r="BB73" s="10">
        <f t="shared" si="189"/>
        <v>1.2946428571428572</v>
      </c>
      <c r="BC73" s="10">
        <f t="shared" si="189"/>
        <v>1.308457711442786</v>
      </c>
      <c r="BD73" s="10">
        <f t="shared" si="189"/>
        <v>1.53125</v>
      </c>
      <c r="BE73" s="10"/>
      <c r="BF73" s="10">
        <f>IFERROR(BF61/BF37,"")</f>
        <v>1.3246376811594203</v>
      </c>
      <c r="BG73" s="122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V73" s="18"/>
      <c r="BW73" s="31"/>
    </row>
    <row r="74" spans="1:75" s="19" customFormat="1" x14ac:dyDescent="0.25">
      <c r="A74" s="20" t="str">
        <f t="shared" si="191"/>
        <v># Case/Active_by_rookie_mdrt:Total</v>
      </c>
      <c r="B74" s="1" t="s">
        <v>186</v>
      </c>
      <c r="C74" s="13">
        <f t="shared" ref="C74:Z74" si="213">IFERROR(C62/C38,"")</f>
        <v>1.3053435114503817</v>
      </c>
      <c r="D74" s="13">
        <f t="shared" si="213"/>
        <v>1.1848739495798319</v>
      </c>
      <c r="E74" s="13">
        <f t="shared" si="213"/>
        <v>1.4464285714285714</v>
      </c>
      <c r="F74" s="13">
        <f t="shared" si="213"/>
        <v>1.430232558139535</v>
      </c>
      <c r="G74" s="13">
        <f t="shared" si="213"/>
        <v>1.2506024096385542</v>
      </c>
      <c r="H74" s="13">
        <f t="shared" si="213"/>
        <v>1.2759381898454747</v>
      </c>
      <c r="I74" s="13">
        <f t="shared" si="213"/>
        <v>1.454183266932271</v>
      </c>
      <c r="J74" s="13">
        <f t="shared" si="213"/>
        <v>1.1751824817518248</v>
      </c>
      <c r="K74" s="13">
        <f t="shared" si="213"/>
        <v>1.4457516339869281</v>
      </c>
      <c r="L74" s="13">
        <f t="shared" si="213"/>
        <v>1.2845911949685536</v>
      </c>
      <c r="M74" s="13">
        <f t="shared" si="213"/>
        <v>1.9006622516556291</v>
      </c>
      <c r="N74" s="13">
        <f t="shared" si="213"/>
        <v>1.7685643564356435</v>
      </c>
      <c r="O74" s="13">
        <f t="shared" si="213"/>
        <v>1.1878172588832487</v>
      </c>
      <c r="P74" s="13">
        <f t="shared" si="213"/>
        <v>1.248062015503876</v>
      </c>
      <c r="Q74" s="13">
        <f t="shared" si="213"/>
        <v>1.6473282442748092</v>
      </c>
      <c r="R74" s="13">
        <f t="shared" si="213"/>
        <v>1.2585895117540686</v>
      </c>
      <c r="S74" s="13">
        <f t="shared" si="213"/>
        <v>1.4434389140271493</v>
      </c>
      <c r="T74" s="13">
        <f t="shared" si="213"/>
        <v>1.6525821596244132</v>
      </c>
      <c r="U74" s="13">
        <f t="shared" si="213"/>
        <v>1.3068592057761732</v>
      </c>
      <c r="V74" s="13">
        <f t="shared" si="213"/>
        <v>1.3817991631799162</v>
      </c>
      <c r="W74" s="13">
        <f t="shared" si="213"/>
        <v>1.6891105569409808</v>
      </c>
      <c r="X74" s="13">
        <f t="shared" si="213"/>
        <v>1.4686868686868686</v>
      </c>
      <c r="Y74" s="13">
        <f t="shared" si="213"/>
        <v>1.6953367875647669</v>
      </c>
      <c r="Z74" s="13">
        <f t="shared" si="213"/>
        <v>1.8898704358068317</v>
      </c>
      <c r="AA74" s="23">
        <f t="shared" ref="AA74:AE74" si="214">IFERROR(AA62/AA38,"")</f>
        <v>1.4355760773966579</v>
      </c>
      <c r="AB74" s="23">
        <f t="shared" si="214"/>
        <v>1.4136490250696379</v>
      </c>
      <c r="AC74" s="23">
        <f t="shared" si="214"/>
        <v>1.4962735642262166</v>
      </c>
      <c r="AD74" s="23">
        <f t="shared" si="214"/>
        <v>1.4846153846153847</v>
      </c>
      <c r="AE74" s="23">
        <f t="shared" si="214"/>
        <v>1.724336162058582</v>
      </c>
      <c r="AF74" s="23">
        <f t="shared" ref="AF74:AJ74" si="215">IFERROR(AF62/AF38,"")</f>
        <v>1.3447058823529412</v>
      </c>
      <c r="AG74" s="23">
        <f t="shared" si="215"/>
        <v>1.3277511961722488</v>
      </c>
      <c r="AH74" s="23">
        <f t="shared" si="215"/>
        <v>1.311056105610561</v>
      </c>
      <c r="AI74" s="23">
        <f t="shared" si="215"/>
        <v>1.3820023837902264</v>
      </c>
      <c r="AJ74" s="23">
        <f t="shared" si="215"/>
        <v>1.6739427012278307</v>
      </c>
      <c r="AK74" s="32">
        <f t="shared" si="193"/>
        <v>6.7576260531198029E-2</v>
      </c>
      <c r="AL74" s="32">
        <f t="shared" si="183"/>
        <v>6.4694220683078507E-2</v>
      </c>
      <c r="AM74" s="32">
        <f t="shared" si="183"/>
        <v>0.14127348007688778</v>
      </c>
      <c r="AN74" s="32">
        <f t="shared" si="184"/>
        <v>7.424951073075281E-2</v>
      </c>
      <c r="AO74" s="32">
        <f t="shared" si="185"/>
        <v>3.0104651009731587E-2</v>
      </c>
      <c r="AP74" s="11">
        <f t="shared" ref="AP74:AQ74" si="216">IFERROR(AP62/AP38,"")</f>
        <v>1.3797276853252647</v>
      </c>
      <c r="AQ74" s="11">
        <f t="shared" si="216"/>
        <v>1.5271739130434783</v>
      </c>
      <c r="AR74" s="11">
        <f t="shared" ref="AR74:AS74" si="217">IFERROR(AR62/AR38,"")</f>
        <v>1.6813804173354736</v>
      </c>
      <c r="AS74" s="11">
        <f t="shared" si="217"/>
        <v>1.7076502732240437</v>
      </c>
      <c r="AT74" s="11">
        <f t="shared" ref="AT74:AV74" si="218">IFERROR(AT62/AT38,"")</f>
        <v>1.7280092592592593</v>
      </c>
      <c r="AU74" s="11">
        <f t="shared" si="218"/>
        <v>1.5489396411092986</v>
      </c>
      <c r="AV74" s="10">
        <f t="shared" si="218"/>
        <v>1.6801346801346801</v>
      </c>
      <c r="AW74" s="17"/>
      <c r="AX74" s="17"/>
      <c r="AY74" s="17"/>
      <c r="AZ74" s="17"/>
      <c r="BA74" s="17"/>
      <c r="BB74" s="11">
        <f t="shared" ref="BB74:BF74" si="219">IFERROR(BB62/BB38,"")</f>
        <v>1.5606650159179343</v>
      </c>
      <c r="BC74" s="11">
        <f t="shared" si="219"/>
        <v>1.6521329987452948</v>
      </c>
      <c r="BD74" s="11">
        <f t="shared" si="219"/>
        <v>1.6801346801346801</v>
      </c>
      <c r="BE74" s="11" t="str">
        <f t="shared" si="219"/>
        <v/>
      </c>
      <c r="BF74" s="11">
        <f t="shared" si="219"/>
        <v>1.6183029249927599</v>
      </c>
      <c r="BG74" s="123">
        <f t="shared" si="190"/>
        <v>1.1615656154234066</v>
      </c>
      <c r="BH74" s="118">
        <f t="shared" si="190"/>
        <v>1.2236362408857684</v>
      </c>
      <c r="BI74" s="118">
        <f t="shared" si="190"/>
        <v>1.0206711523213488</v>
      </c>
      <c r="BJ74" s="118">
        <f t="shared" si="190"/>
        <v>1.3567968406507129</v>
      </c>
      <c r="BK74" s="118">
        <f t="shared" si="190"/>
        <v>1.197147480552653</v>
      </c>
      <c r="BL74" s="118">
        <f t="shared" si="190"/>
        <v>0.93728449873943342</v>
      </c>
      <c r="BM74" s="118">
        <f t="shared" si="190"/>
        <v>1.2856279182246033</v>
      </c>
      <c r="BN74" s="118">
        <f t="shared" si="190"/>
        <v>0</v>
      </c>
      <c r="BO74" s="118">
        <f t="shared" si="190"/>
        <v>0</v>
      </c>
      <c r="BP74" s="118">
        <f t="shared" si="190"/>
        <v>0</v>
      </c>
      <c r="BQ74" s="118">
        <f t="shared" si="190"/>
        <v>0</v>
      </c>
      <c r="BR74" s="118">
        <f t="shared" si="190"/>
        <v>0</v>
      </c>
      <c r="BS74" s="118">
        <f>BB74/(SUM(O62:INDEX(O62:Q62,IF($B$2&lt;3,$B$2,3)))/SUM(O38:INDEX(O38:Q38,IF($B$2&lt;3,$B$2,3))))</f>
        <v>1.1039975186493367</v>
      </c>
      <c r="BT74" s="111">
        <f>BC74/(SUM(R62:INDEX(R62:T62,$C$2))/SUM(R38:INDEX(R38:T38,$C$2)))</f>
        <v>1.312686132623776</v>
      </c>
      <c r="BU74" s="111">
        <f>BD74/SUM(U74:INDEX(U74:W74,IF($B$2&lt;7,$B$2-3,IF($B$2&lt;9,$B$2-6,3))))</f>
        <v>1.2856279182246033</v>
      </c>
      <c r="BV74" s="17"/>
      <c r="BW74" s="32">
        <f t="shared" si="196"/>
        <v>1.1272846841579218</v>
      </c>
    </row>
    <row r="75" spans="1:75" x14ac:dyDescent="0.25">
      <c r="B75" t="s">
        <v>187</v>
      </c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24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</row>
    <row r="76" spans="1:75" x14ac:dyDescent="0.25">
      <c r="B76" t="s">
        <v>187</v>
      </c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24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</row>
    <row r="77" spans="1:75" s="19" customFormat="1" x14ac:dyDescent="0.25">
      <c r="B77" s="2" t="s">
        <v>14</v>
      </c>
      <c r="C77" s="3">
        <f t="shared" ref="C77:Z77" si="220">C17</f>
        <v>42005</v>
      </c>
      <c r="D77" s="3">
        <f t="shared" si="220"/>
        <v>42036</v>
      </c>
      <c r="E77" s="3">
        <f t="shared" si="220"/>
        <v>42064</v>
      </c>
      <c r="F77" s="3">
        <f t="shared" si="220"/>
        <v>42095</v>
      </c>
      <c r="G77" s="3">
        <f t="shared" si="220"/>
        <v>42125</v>
      </c>
      <c r="H77" s="3">
        <f t="shared" si="220"/>
        <v>42156</v>
      </c>
      <c r="I77" s="3">
        <f t="shared" si="220"/>
        <v>42186</v>
      </c>
      <c r="J77" s="3">
        <f t="shared" si="220"/>
        <v>42217</v>
      </c>
      <c r="K77" s="3">
        <f t="shared" si="220"/>
        <v>42248</v>
      </c>
      <c r="L77" s="3">
        <f t="shared" si="220"/>
        <v>42278</v>
      </c>
      <c r="M77" s="3">
        <f t="shared" si="220"/>
        <v>42309</v>
      </c>
      <c r="N77" s="3">
        <f t="shared" si="220"/>
        <v>42339</v>
      </c>
      <c r="O77" s="3">
        <f t="shared" si="220"/>
        <v>42370</v>
      </c>
      <c r="P77" s="3">
        <f t="shared" si="220"/>
        <v>42401</v>
      </c>
      <c r="Q77" s="3">
        <f t="shared" si="220"/>
        <v>42430</v>
      </c>
      <c r="R77" s="3">
        <f t="shared" si="220"/>
        <v>42461</v>
      </c>
      <c r="S77" s="3">
        <f t="shared" si="220"/>
        <v>42491</v>
      </c>
      <c r="T77" s="3">
        <f t="shared" si="220"/>
        <v>42522</v>
      </c>
      <c r="U77" s="3">
        <f t="shared" si="220"/>
        <v>42552</v>
      </c>
      <c r="V77" s="3">
        <f t="shared" si="220"/>
        <v>42583</v>
      </c>
      <c r="W77" s="3">
        <f t="shared" si="220"/>
        <v>42614</v>
      </c>
      <c r="X77" s="3">
        <f t="shared" si="220"/>
        <v>42644</v>
      </c>
      <c r="Y77" s="3">
        <f t="shared" si="220"/>
        <v>42675</v>
      </c>
      <c r="Z77" s="3">
        <f t="shared" si="220"/>
        <v>42705</v>
      </c>
      <c r="AA77" s="29" t="str">
        <f>AA65</f>
        <v>YTD 7/16</v>
      </c>
      <c r="AB77" s="29" t="s">
        <v>19</v>
      </c>
      <c r="AC77" s="29" t="s">
        <v>20</v>
      </c>
      <c r="AD77" s="29" t="s">
        <v>21</v>
      </c>
      <c r="AE77" s="29" t="s">
        <v>22</v>
      </c>
      <c r="AF77" s="26" t="str">
        <f t="shared" ref="AF77:AJ77" si="221">AF53</f>
        <v>YTD 7/15</v>
      </c>
      <c r="AG77" s="26" t="str">
        <f t="shared" si="221"/>
        <v>Q1 '15</v>
      </c>
      <c r="AH77" s="26" t="str">
        <f t="shared" si="221"/>
        <v>Q2 '15</v>
      </c>
      <c r="AI77" s="26" t="str">
        <f t="shared" si="221"/>
        <v>Q3 '15</v>
      </c>
      <c r="AJ77" s="26" t="str">
        <f t="shared" si="221"/>
        <v>Q4 '15</v>
      </c>
      <c r="AK77" s="30" t="s">
        <v>27</v>
      </c>
      <c r="AL77" s="30" t="s">
        <v>29</v>
      </c>
      <c r="AM77" s="30" t="s">
        <v>30</v>
      </c>
      <c r="AN77" s="30" t="s">
        <v>31</v>
      </c>
      <c r="AO77" s="30" t="s">
        <v>32</v>
      </c>
      <c r="AP77" s="108">
        <v>42736</v>
      </c>
      <c r="AQ77" s="108">
        <v>42767</v>
      </c>
      <c r="AR77" s="108">
        <v>42795</v>
      </c>
      <c r="AS77" s="108">
        <v>42826</v>
      </c>
      <c r="AT77" s="108">
        <v>42856</v>
      </c>
      <c r="AU77" s="108">
        <v>42887</v>
      </c>
      <c r="AV77" s="108">
        <v>42917</v>
      </c>
      <c r="AW77" s="108">
        <v>42948</v>
      </c>
      <c r="AX77" s="108">
        <v>42979</v>
      </c>
      <c r="AY77" s="108">
        <v>43009</v>
      </c>
      <c r="AZ77" s="108">
        <v>43040</v>
      </c>
      <c r="BA77" s="108">
        <v>43070</v>
      </c>
      <c r="BB77" s="29" t="s">
        <v>123</v>
      </c>
      <c r="BC77" s="29" t="s">
        <v>124</v>
      </c>
      <c r="BD77" s="29" t="s">
        <v>125</v>
      </c>
      <c r="BE77" s="29" t="s">
        <v>126</v>
      </c>
      <c r="BF77" s="29" t="str">
        <f>$BF$3</f>
        <v>YTD 7/17</v>
      </c>
      <c r="BG77" s="121">
        <v>42736</v>
      </c>
      <c r="BH77" s="108">
        <v>42767</v>
      </c>
      <c r="BI77" s="108">
        <v>42795</v>
      </c>
      <c r="BJ77" s="108">
        <v>42826</v>
      </c>
      <c r="BK77" s="108">
        <v>42856</v>
      </c>
      <c r="BL77" s="108">
        <v>42887</v>
      </c>
      <c r="BM77" s="108">
        <v>42917</v>
      </c>
      <c r="BN77" s="108">
        <v>42948</v>
      </c>
      <c r="BO77" s="108">
        <v>42979</v>
      </c>
      <c r="BP77" s="108">
        <v>43009</v>
      </c>
      <c r="BQ77" s="108">
        <v>43040</v>
      </c>
      <c r="BR77" s="108">
        <v>43070</v>
      </c>
      <c r="BS77" s="29" t="s">
        <v>127</v>
      </c>
      <c r="BT77" s="29" t="s">
        <v>128</v>
      </c>
      <c r="BU77" s="29" t="s">
        <v>96</v>
      </c>
      <c r="BV77" s="29" t="s">
        <v>129</v>
      </c>
      <c r="BW77" s="112" t="s">
        <v>130</v>
      </c>
    </row>
    <row r="78" spans="1:75" x14ac:dyDescent="0.25">
      <c r="A78" s="20" t="str">
        <f>$B$77&amp;"_by_rookie_mdrt:"&amp;B78</f>
        <v>CaseSize_by_rookie_mdrt:MDRT</v>
      </c>
      <c r="B78" t="s">
        <v>4</v>
      </c>
      <c r="C78" s="4">
        <f t="shared" ref="C78:AJ78" si="222">IFERROR(C4/C54,"")</f>
        <v>26.30713636363636</v>
      </c>
      <c r="D78" s="4">
        <f t="shared" si="222"/>
        <v>28.190874999999998</v>
      </c>
      <c r="E78" s="4">
        <f t="shared" si="222"/>
        <v>47.249829268292679</v>
      </c>
      <c r="F78" s="4">
        <f t="shared" si="222"/>
        <v>44.29642105263158</v>
      </c>
      <c r="G78" s="4">
        <f t="shared" si="222"/>
        <v>31.103526315789473</v>
      </c>
      <c r="H78" s="4">
        <f t="shared" si="222"/>
        <v>19.682884615384616</v>
      </c>
      <c r="I78" s="4">
        <f t="shared" si="222"/>
        <v>58.362652173913041</v>
      </c>
      <c r="J78" s="4">
        <f t="shared" si="222"/>
        <v>22.092565217391304</v>
      </c>
      <c r="K78" s="4">
        <f t="shared" si="222"/>
        <v>25.36646153846154</v>
      </c>
      <c r="L78" s="4">
        <f t="shared" si="222"/>
        <v>21.27864705882353</v>
      </c>
      <c r="M78" s="4">
        <f t="shared" si="222"/>
        <v>24.353574074074075</v>
      </c>
      <c r="N78" s="4">
        <f t="shared" si="222"/>
        <v>31.791135000000001</v>
      </c>
      <c r="O78" s="4">
        <f t="shared" si="222"/>
        <v>39.548705882352941</v>
      </c>
      <c r="P78" s="4">
        <f t="shared" si="222"/>
        <v>36.599166666666669</v>
      </c>
      <c r="Q78" s="4">
        <f t="shared" si="222"/>
        <v>17.288068181818179</v>
      </c>
      <c r="R78" s="4">
        <f t="shared" si="222"/>
        <v>45.611800000000002</v>
      </c>
      <c r="S78" s="4">
        <f t="shared" si="222"/>
        <v>45.190708333333333</v>
      </c>
      <c r="T78" s="4">
        <f t="shared" si="222"/>
        <v>39.544058823529411</v>
      </c>
      <c r="U78" s="4">
        <f t="shared" si="222"/>
        <v>30.750441176470591</v>
      </c>
      <c r="V78" s="4">
        <f t="shared" si="222"/>
        <v>22.620833333333334</v>
      </c>
      <c r="W78" s="4">
        <f t="shared" si="222"/>
        <v>27.867111111111111</v>
      </c>
      <c r="X78" s="4">
        <f t="shared" si="222"/>
        <v>20.943280000000001</v>
      </c>
      <c r="Y78" s="4">
        <f t="shared" si="222"/>
        <v>32.650750000000002</v>
      </c>
      <c r="Z78" s="4">
        <f t="shared" si="222"/>
        <v>37.708366336633667</v>
      </c>
      <c r="AA78" s="4">
        <f t="shared" si="222"/>
        <v>34.142515789473684</v>
      </c>
      <c r="AB78" s="4">
        <f t="shared" si="222"/>
        <v>25.646479452054795</v>
      </c>
      <c r="AC78" s="4">
        <f t="shared" si="222"/>
        <v>43.004457831325304</v>
      </c>
      <c r="AD78" s="4">
        <f t="shared" si="222"/>
        <v>27.299119617224878</v>
      </c>
      <c r="AE78" s="4">
        <f t="shared" si="222"/>
        <v>32.260413612565443</v>
      </c>
      <c r="AF78" s="4">
        <f t="shared" si="222"/>
        <v>40.721342541436464</v>
      </c>
      <c r="AG78" s="4">
        <f t="shared" si="222"/>
        <v>38.613056338028173</v>
      </c>
      <c r="AH78" s="4">
        <f t="shared" si="222"/>
        <v>30.380531249999997</v>
      </c>
      <c r="AI78" s="4">
        <f t="shared" si="222"/>
        <v>37.288157024793392</v>
      </c>
      <c r="AJ78" s="4">
        <f t="shared" si="222"/>
        <v>27.753619680851067</v>
      </c>
      <c r="AK78" s="31">
        <f>AA78/AF78-1</f>
        <v>-0.16155721647115195</v>
      </c>
      <c r="AL78" s="31">
        <f t="shared" ref="AL78:AO86" si="223">AB78/AG78-1</f>
        <v>-0.3358080948697969</v>
      </c>
      <c r="AM78" s="31">
        <f t="shared" si="223"/>
        <v>0.41552685426872871</v>
      </c>
      <c r="AN78" s="31">
        <f t="shared" si="223"/>
        <v>-0.26788766741479531</v>
      </c>
      <c r="AO78" s="31">
        <f t="shared" si="223"/>
        <v>0.16238580709614214</v>
      </c>
      <c r="AP78" s="4">
        <f t="shared" ref="AP78:AQ84" si="224">IFERROR(AP4/AP54,"")</f>
        <v>21.312368932038833</v>
      </c>
      <c r="AQ78" s="4">
        <f t="shared" si="224"/>
        <v>22.881378378378379</v>
      </c>
      <c r="AR78" s="4">
        <f t="shared" ref="AR78:AS78" si="225">IFERROR(AR4/AR54,"")</f>
        <v>20.636195121951221</v>
      </c>
      <c r="AS78" s="4">
        <f t="shared" si="225"/>
        <v>21.10121904761905</v>
      </c>
      <c r="AT78" s="4">
        <f t="shared" ref="AT78:AV78" si="226">IFERROR(AT4/AT54,"")</f>
        <v>19.533333333333335</v>
      </c>
      <c r="AU78" s="4">
        <f>IFERROR(AU4/AU54,"")</f>
        <v>21.60267441860465</v>
      </c>
      <c r="AV78" s="4">
        <f t="shared" si="226"/>
        <v>22.676304878048782</v>
      </c>
      <c r="AW78" s="18"/>
      <c r="AX78" s="18"/>
      <c r="AY78" s="18"/>
      <c r="AZ78" s="18"/>
      <c r="BA78" s="18"/>
      <c r="BB78" s="4">
        <f t="shared" ref="BB78:BF84" si="227">IFERROR(BB4/BB54,"")</f>
        <v>21.619977687626779</v>
      </c>
      <c r="BC78" s="4">
        <f t="shared" si="227"/>
        <v>20.656583606557376</v>
      </c>
      <c r="BD78" s="4">
        <f t="shared" si="227"/>
        <v>22.676304878048782</v>
      </c>
      <c r="BE78" s="4" t="str">
        <f t="shared" si="227"/>
        <v/>
      </c>
      <c r="BF78" s="4">
        <f t="shared" si="227"/>
        <v>21.292880031570643</v>
      </c>
      <c r="BG78" s="122">
        <f t="shared" ref="BG78:BR86" si="228">AP78/O78</f>
        <v>0.53888916101167905</v>
      </c>
      <c r="BH78" s="111">
        <f t="shared" si="228"/>
        <v>0.6251885073442941</v>
      </c>
      <c r="BI78" s="111">
        <f t="shared" si="228"/>
        <v>1.1936669213078568</v>
      </c>
      <c r="BJ78" s="111">
        <f t="shared" si="228"/>
        <v>0.4626263170411834</v>
      </c>
      <c r="BK78" s="111">
        <f t="shared" si="228"/>
        <v>0.43224224743840228</v>
      </c>
      <c r="BL78" s="111">
        <f t="shared" si="228"/>
        <v>0.54629380648580961</v>
      </c>
      <c r="BM78" s="111">
        <f t="shared" si="228"/>
        <v>0.73743022898156274</v>
      </c>
      <c r="BN78" s="111">
        <f t="shared" si="228"/>
        <v>0</v>
      </c>
      <c r="BO78" s="111">
        <f t="shared" si="228"/>
        <v>0</v>
      </c>
      <c r="BP78" s="111">
        <f t="shared" si="228"/>
        <v>0</v>
      </c>
      <c r="BQ78" s="111">
        <f t="shared" si="228"/>
        <v>0</v>
      </c>
      <c r="BR78" s="111">
        <f t="shared" si="228"/>
        <v>0</v>
      </c>
      <c r="BS78" s="111">
        <f>IFERROR(BB78/(SUM(O4:INDEX(O4:Q4,IF($B$2&lt;3,$B$2,3)))/SUM(O54:INDEX(O54:Q54,IF($B$2&lt;3,$B$2,3)))),0)</f>
        <v>0.84299982490948044</v>
      </c>
      <c r="BT78" s="111">
        <f>IFERROR(BC78/(SUM(R4:INDEX(R4:T4,IF($B$2&lt;7,$B$2-3,3)))/SUM(R54:INDEX(R54:T54,IF($B$2&lt;7,$B$2-3,3)))),0)</f>
        <v>0.48033586861106081</v>
      </c>
      <c r="BU78" s="111">
        <f>BD78/(SUM(U4:INDEX(U4:W4,IF($B$2&lt;7,$B$2-3,IF($B$2&lt;9,$B$2-6,3))))/SUM(U54:INDEX(U54:W54,IF($B$2&lt;7,$B$2-3,IF($B$2&lt;9,$B$2-6,3)))))</f>
        <v>0.73743022898156274</v>
      </c>
      <c r="BV78" s="111"/>
      <c r="BW78" s="111">
        <f>IFERROR(BF78/AA78,0)</f>
        <v>0.62364707284210585</v>
      </c>
    </row>
    <row r="79" spans="1:75" x14ac:dyDescent="0.25">
      <c r="A79" s="20" t="str">
        <f t="shared" ref="A79:A86" si="229">$B$77&amp;"_by_rookie_mdrt:"&amp;B79</f>
        <v>CaseSize_by_rookie_mdrt:Rookie in month</v>
      </c>
      <c r="B79" t="s">
        <v>5</v>
      </c>
      <c r="C79" s="4">
        <f t="shared" ref="C79:Z79" si="230">IFERROR(C5/C55,"")</f>
        <v>14.291</v>
      </c>
      <c r="D79" s="4">
        <f t="shared" si="230"/>
        <v>12.264639344262296</v>
      </c>
      <c r="E79" s="4">
        <f t="shared" si="230"/>
        <v>13.721019607843138</v>
      </c>
      <c r="F79" s="4">
        <f t="shared" si="230"/>
        <v>18.990310606060607</v>
      </c>
      <c r="G79" s="4">
        <f t="shared" si="230"/>
        <v>16.552014084507043</v>
      </c>
      <c r="H79" s="4">
        <f t="shared" si="230"/>
        <v>13.411503759398496</v>
      </c>
      <c r="I79" s="4">
        <f t="shared" si="230"/>
        <v>12.273387850467291</v>
      </c>
      <c r="J79" s="4">
        <f t="shared" si="230"/>
        <v>12.617048</v>
      </c>
      <c r="K79" s="4">
        <f t="shared" si="230"/>
        <v>15.188284210526316</v>
      </c>
      <c r="L79" s="4">
        <f t="shared" si="230"/>
        <v>13.283150289017343</v>
      </c>
      <c r="M79" s="4">
        <f t="shared" si="230"/>
        <v>13.998921113689164</v>
      </c>
      <c r="N79" s="4">
        <f t="shared" si="230"/>
        <v>12.906109311740892</v>
      </c>
      <c r="O79" s="4">
        <f t="shared" si="230"/>
        <v>16.773777777777777</v>
      </c>
      <c r="P79" s="4">
        <f t="shared" si="230"/>
        <v>12.862638297872341</v>
      </c>
      <c r="Q79" s="4">
        <f t="shared" si="230"/>
        <v>14.514312703583062</v>
      </c>
      <c r="R79" s="4">
        <f t="shared" si="230"/>
        <v>22.127795744680895</v>
      </c>
      <c r="S79" s="4">
        <f t="shared" si="230"/>
        <v>14.617838815789474</v>
      </c>
      <c r="T79" s="4">
        <f t="shared" si="230"/>
        <v>12.915735099337841</v>
      </c>
      <c r="U79" s="4">
        <f t="shared" si="230"/>
        <v>12.430647519582271</v>
      </c>
      <c r="V79" s="4">
        <f t="shared" si="230"/>
        <v>12.895561363636409</v>
      </c>
      <c r="W79" s="4">
        <f t="shared" si="230"/>
        <v>13.72667172812733</v>
      </c>
      <c r="X79" s="4">
        <f t="shared" si="230"/>
        <v>13.104578894472402</v>
      </c>
      <c r="Y79" s="4">
        <f t="shared" si="230"/>
        <v>14.30019887429653</v>
      </c>
      <c r="Z79" s="4">
        <f t="shared" si="230"/>
        <v>13.626763513513604</v>
      </c>
      <c r="AA79" s="4">
        <f t="shared" ref="AA79:AJ79" si="231">IFERROR(AA5/AA55,"")</f>
        <v>14.457191499522489</v>
      </c>
      <c r="AB79" s="4">
        <f t="shared" si="231"/>
        <v>14.669510791366905</v>
      </c>
      <c r="AC79" s="4">
        <f t="shared" si="231"/>
        <v>14.988589644513199</v>
      </c>
      <c r="AD79" s="4">
        <f t="shared" si="231"/>
        <v>13.157463519313357</v>
      </c>
      <c r="AE79" s="4">
        <f t="shared" si="231"/>
        <v>13.673086428404659</v>
      </c>
      <c r="AF79" s="4">
        <f t="shared" si="231"/>
        <v>14.444759858740438</v>
      </c>
      <c r="AG79" s="4">
        <f t="shared" si="231"/>
        <v>13.602568181818183</v>
      </c>
      <c r="AH79" s="4">
        <f t="shared" si="231"/>
        <v>16.294052489905788</v>
      </c>
      <c r="AI79" s="4">
        <f t="shared" si="231"/>
        <v>13.673552884615386</v>
      </c>
      <c r="AJ79" s="4">
        <f t="shared" si="231"/>
        <v>13.536226792009437</v>
      </c>
      <c r="AK79" s="31">
        <f t="shared" ref="AK79:AK86" si="232">AA79/AF79-1</f>
        <v>8.6063326103191784E-4</v>
      </c>
      <c r="AL79" s="31">
        <f t="shared" si="223"/>
        <v>7.8436850695212446E-2</v>
      </c>
      <c r="AM79" s="31">
        <f t="shared" si="223"/>
        <v>-8.0118978762424242E-2</v>
      </c>
      <c r="AN79" s="31">
        <f t="shared" si="223"/>
        <v>-3.774361862326947E-2</v>
      </c>
      <c r="AO79" s="31">
        <f t="shared" si="223"/>
        <v>1.0110619340096383E-2</v>
      </c>
      <c r="AP79" s="4">
        <f t="shared" si="224"/>
        <v>14.136574358974359</v>
      </c>
      <c r="AQ79" s="4">
        <f t="shared" si="224"/>
        <v>13.929567164179142</v>
      </c>
      <c r="AR79" s="4">
        <f t="shared" ref="AR79:AS79" si="233">IFERROR(AR5/AR55,"")</f>
        <v>13.825523415977962</v>
      </c>
      <c r="AS79" s="4">
        <f t="shared" si="233"/>
        <v>14.331093617021319</v>
      </c>
      <c r="AT79" s="4">
        <f t="shared" ref="AT79:AV79" si="234">IFERROR(AT5/AT55,"")</f>
        <v>14.00349344978166</v>
      </c>
      <c r="AU79" s="4">
        <f t="shared" si="234"/>
        <v>13.448803418803418</v>
      </c>
      <c r="AV79" s="4">
        <f t="shared" si="234"/>
        <v>13.594353873239564</v>
      </c>
      <c r="AW79" s="18"/>
      <c r="AX79" s="18"/>
      <c r="AY79" s="18"/>
      <c r="AZ79" s="18"/>
      <c r="BA79" s="18"/>
      <c r="BB79" s="4">
        <f t="shared" si="227"/>
        <v>13.899988225399504</v>
      </c>
      <c r="BC79" s="4">
        <f t="shared" si="227"/>
        <v>13.786372539121665</v>
      </c>
      <c r="BD79" s="4">
        <f t="shared" si="227"/>
        <v>13.594353873239564</v>
      </c>
      <c r="BE79" s="4" t="str">
        <f t="shared" si="227"/>
        <v/>
      </c>
      <c r="BF79" s="4">
        <f t="shared" si="227"/>
        <v>13.79333413590158</v>
      </c>
      <c r="BG79" s="122">
        <f t="shared" si="228"/>
        <v>0.84277820692860039</v>
      </c>
      <c r="BH79" s="111">
        <f t="shared" si="228"/>
        <v>1.082947902413091</v>
      </c>
      <c r="BI79" s="111">
        <f t="shared" si="228"/>
        <v>0.95254413338944643</v>
      </c>
      <c r="BJ79" s="111">
        <f t="shared" si="228"/>
        <v>0.6476512067618051</v>
      </c>
      <c r="BK79" s="111">
        <f t="shared" si="228"/>
        <v>0.95797290052588158</v>
      </c>
      <c r="BL79" s="111">
        <f t="shared" si="228"/>
        <v>1.041272782026391</v>
      </c>
      <c r="BM79" s="111">
        <f t="shared" si="228"/>
        <v>1.093615907926283</v>
      </c>
      <c r="BN79" s="111">
        <f t="shared" si="228"/>
        <v>0</v>
      </c>
      <c r="BO79" s="111">
        <f t="shared" si="228"/>
        <v>0</v>
      </c>
      <c r="BP79" s="111">
        <f t="shared" si="228"/>
        <v>0</v>
      </c>
      <c r="BQ79" s="111">
        <f t="shared" si="228"/>
        <v>0</v>
      </c>
      <c r="BR79" s="111">
        <f t="shared" si="228"/>
        <v>0</v>
      </c>
      <c r="BS79" s="111">
        <f>IFERROR(BB79/(SUM(O5:INDEX(O5:Q5,IF($B$2&lt;3,$B$2,3)))/SUM(O55:INDEX(O55:Q55,IF($B$2&lt;3,$B$2,3)))),0)</f>
        <v>0.9475427247089746</v>
      </c>
      <c r="BT79" s="111">
        <f>IFERROR(BC79/(SUM(R5:INDEX(R5:T5,IF($B$2&lt;7,$B$2-3,3)))/SUM(R55:INDEX(R55:T55,IF($B$2&lt;7,$B$2-3,3)))),0)</f>
        <v>0.91979117889643314</v>
      </c>
      <c r="BU79" s="111">
        <f>BD79/(SUM(U5:INDEX(U5:W5,IF($B$2&lt;7,$B$2-3,IF($B$2&lt;9,$B$2-6,3))))/SUM(U55:INDEX(U55:W55,IF($B$2&lt;7,$B$2-3,IF($B$2&lt;9,$B$2-6,3)))))</f>
        <v>1.093615907926283</v>
      </c>
      <c r="BV79" s="111"/>
      <c r="BW79" s="111">
        <f t="shared" ref="BW79:BW86" si="235">IFERROR(BF79/AA79,0)</f>
        <v>0.95408116689587763</v>
      </c>
    </row>
    <row r="80" spans="1:75" x14ac:dyDescent="0.25">
      <c r="A80" s="20" t="str">
        <f t="shared" si="229"/>
        <v>CaseSize_by_rookie_mdrt:Rookie last month</v>
      </c>
      <c r="B80" t="s">
        <v>6</v>
      </c>
      <c r="C80" s="4">
        <f t="shared" ref="C80:Z80" si="236">IFERROR(C6/C56,"")</f>
        <v>13.443238805970148</v>
      </c>
      <c r="D80" s="4">
        <f t="shared" si="236"/>
        <v>12.978</v>
      </c>
      <c r="E80" s="4">
        <f t="shared" si="236"/>
        <v>14.086987500000001</v>
      </c>
      <c r="F80" s="4">
        <f t="shared" si="236"/>
        <v>13.371373493975904</v>
      </c>
      <c r="G80" s="4">
        <f t="shared" si="236"/>
        <v>13.507051063829788</v>
      </c>
      <c r="H80" s="4">
        <f t="shared" si="236"/>
        <v>15.468089108910892</v>
      </c>
      <c r="I80" s="4">
        <f t="shared" si="236"/>
        <v>14.562409090909091</v>
      </c>
      <c r="J80" s="4">
        <f t="shared" si="236"/>
        <v>13.340843137254902</v>
      </c>
      <c r="K80" s="4">
        <f t="shared" si="236"/>
        <v>13.446340425531913</v>
      </c>
      <c r="L80" s="4">
        <f t="shared" si="236"/>
        <v>14.598518134715027</v>
      </c>
      <c r="M80" s="4">
        <f t="shared" si="236"/>
        <v>12.332295454545456</v>
      </c>
      <c r="N80" s="4">
        <f t="shared" si="236"/>
        <v>14.40502793296095</v>
      </c>
      <c r="O80" s="4">
        <f t="shared" si="236"/>
        <v>12.682178082191767</v>
      </c>
      <c r="P80" s="4">
        <f t="shared" si="236"/>
        <v>12.40044262295082</v>
      </c>
      <c r="Q80" s="4">
        <f t="shared" si="236"/>
        <v>12.884282051282051</v>
      </c>
      <c r="R80" s="4">
        <f t="shared" si="236"/>
        <v>14.84295</v>
      </c>
      <c r="S80" s="4">
        <f t="shared" si="236"/>
        <v>11.007173076923076</v>
      </c>
      <c r="T80" s="4">
        <f t="shared" si="236"/>
        <v>14.137019933554818</v>
      </c>
      <c r="U80" s="4">
        <f t="shared" si="236"/>
        <v>12.947330827067669</v>
      </c>
      <c r="V80" s="4">
        <f t="shared" si="236"/>
        <v>11.47652479338843</v>
      </c>
      <c r="W80" s="4">
        <f t="shared" si="236"/>
        <v>13.722053921568676</v>
      </c>
      <c r="X80" s="4">
        <f t="shared" si="236"/>
        <v>14.185758812615955</v>
      </c>
      <c r="Y80" s="4">
        <f t="shared" si="236"/>
        <v>13.054851063829787</v>
      </c>
      <c r="Z80" s="4">
        <f t="shared" si="236"/>
        <v>14.067950870010298</v>
      </c>
      <c r="AA80" s="4">
        <f t="shared" ref="AA80:AJ80" si="237">IFERROR(AA6/AA56,"")</f>
        <v>13.137911646586344</v>
      </c>
      <c r="AB80" s="4">
        <f t="shared" si="237"/>
        <v>12.628398843930629</v>
      </c>
      <c r="AC80" s="4">
        <f t="shared" si="237"/>
        <v>13.387175942549371</v>
      </c>
      <c r="AD80" s="4">
        <f t="shared" si="237"/>
        <v>12.903828602620109</v>
      </c>
      <c r="AE80" s="4">
        <f t="shared" si="237"/>
        <v>13.806782322520009</v>
      </c>
      <c r="AF80" s="4">
        <f t="shared" si="237"/>
        <v>14.006704493526275</v>
      </c>
      <c r="AG80" s="4">
        <f t="shared" si="237"/>
        <v>13.515623318385652</v>
      </c>
      <c r="AH80" s="4">
        <f t="shared" si="237"/>
        <v>14.126631840796021</v>
      </c>
      <c r="AI80" s="4">
        <f t="shared" si="237"/>
        <v>13.769943127962083</v>
      </c>
      <c r="AJ80" s="4">
        <f t="shared" si="237"/>
        <v>14.059117130307497</v>
      </c>
      <c r="AK80" s="31">
        <f t="shared" si="232"/>
        <v>-6.2026927700336354E-2</v>
      </c>
      <c r="AL80" s="31">
        <f t="shared" si="223"/>
        <v>-6.5644362346804153E-2</v>
      </c>
      <c r="AM80" s="31">
        <f t="shared" si="223"/>
        <v>-5.2344812732444068E-2</v>
      </c>
      <c r="AN80" s="31">
        <f t="shared" si="223"/>
        <v>-6.2898918121396585E-2</v>
      </c>
      <c r="AO80" s="31">
        <f t="shared" si="223"/>
        <v>-1.794812614822916E-2</v>
      </c>
      <c r="AP80" s="4">
        <f t="shared" si="224"/>
        <v>12.063328042328042</v>
      </c>
      <c r="AQ80" s="4">
        <f t="shared" si="224"/>
        <v>13.648775862068966</v>
      </c>
      <c r="AR80" s="4">
        <f t="shared" ref="AR80:AS80" si="238">IFERROR(AR6/AR56,"")</f>
        <v>13.370249110320284</v>
      </c>
      <c r="AS80" s="4">
        <f t="shared" si="238"/>
        <v>13.120849840255591</v>
      </c>
      <c r="AT80" s="4">
        <f t="shared" ref="AT80:AV80" si="239">IFERROR(AT6/AT56,"")</f>
        <v>13.043015075376884</v>
      </c>
      <c r="AU80" s="4">
        <f t="shared" si="239"/>
        <v>13.72349514563107</v>
      </c>
      <c r="AV80" s="4">
        <f t="shared" si="239"/>
        <v>14.160206140350866</v>
      </c>
      <c r="AW80" s="18"/>
      <c r="AX80" s="18"/>
      <c r="AY80" s="18"/>
      <c r="AZ80" s="18"/>
      <c r="BA80" s="18"/>
      <c r="BB80" s="4">
        <f t="shared" si="227"/>
        <v>13.003868600682594</v>
      </c>
      <c r="BC80" s="4">
        <f t="shared" si="227"/>
        <v>13.237308327081772</v>
      </c>
      <c r="BD80" s="4">
        <f t="shared" si="227"/>
        <v>14.160206140350866</v>
      </c>
      <c r="BE80" s="4" t="str">
        <f t="shared" si="227"/>
        <v/>
      </c>
      <c r="BF80" s="4">
        <f t="shared" si="227"/>
        <v>13.287038162782842</v>
      </c>
      <c r="BG80" s="122">
        <f t="shared" si="228"/>
        <v>0.95120317378820674</v>
      </c>
      <c r="BH80" s="111">
        <f t="shared" si="228"/>
        <v>1.1006684420125232</v>
      </c>
      <c r="BI80" s="111">
        <f t="shared" si="228"/>
        <v>1.0377178221575705</v>
      </c>
      <c r="BJ80" s="111">
        <f t="shared" si="228"/>
        <v>0.8839785783995493</v>
      </c>
      <c r="BK80" s="111">
        <f t="shared" si="228"/>
        <v>1.1849559359361781</v>
      </c>
      <c r="BL80" s="111">
        <f t="shared" si="228"/>
        <v>0.97074880067600178</v>
      </c>
      <c r="BM80" s="111">
        <f t="shared" si="228"/>
        <v>1.0936776335974641</v>
      </c>
      <c r="BN80" s="111">
        <f t="shared" si="228"/>
        <v>0</v>
      </c>
      <c r="BO80" s="111">
        <f t="shared" si="228"/>
        <v>0</v>
      </c>
      <c r="BP80" s="111">
        <f t="shared" si="228"/>
        <v>0</v>
      </c>
      <c r="BQ80" s="111">
        <f t="shared" si="228"/>
        <v>0</v>
      </c>
      <c r="BR80" s="111">
        <f t="shared" si="228"/>
        <v>0</v>
      </c>
      <c r="BS80" s="111">
        <f>IFERROR(BB80/(SUM(O6:INDEX(O6:Q6,IF($B$2&lt;3,$B$2,3)))/SUM(O56:INDEX(O56:Q56,IF($B$2&lt;3,$B$2,3)))),0)</f>
        <v>1.0297321743945727</v>
      </c>
      <c r="BT80" s="111">
        <f>IFERROR(BC80/(SUM(R6:INDEX(R6:T6,IF($B$2&lt;7,$B$2-3,3)))/SUM(R56:INDEX(R56:T56,IF($B$2&lt;7,$B$2-3,3)))),0)</f>
        <v>0.98880513589193486</v>
      </c>
      <c r="BU80" s="111">
        <f>BD80/(SUM(U6:INDEX(U6:W6,IF($B$2&lt;7,$B$2-3,IF($B$2&lt;9,$B$2-6,3))))/SUM(U56:INDEX(U56:W56,IF($B$2&lt;7,$B$2-3,IF($B$2&lt;9,$B$2-6,3)))))</f>
        <v>1.0936776335974641</v>
      </c>
      <c r="BV80" s="111"/>
      <c r="BW80" s="111">
        <f t="shared" si="235"/>
        <v>1.0113508539414822</v>
      </c>
    </row>
    <row r="81" spans="1:75" x14ac:dyDescent="0.25">
      <c r="A81" s="20" t="str">
        <f t="shared" si="229"/>
        <v>CaseSize_by_rookie_mdrt:2-3 months</v>
      </c>
      <c r="B81" t="s">
        <v>7</v>
      </c>
      <c r="C81" s="4">
        <f t="shared" ref="C81:Z81" si="240">IFERROR(C7/C57,"")</f>
        <v>14.0415375</v>
      </c>
      <c r="D81" s="4">
        <f t="shared" si="240"/>
        <v>13.919492307692309</v>
      </c>
      <c r="E81" s="4">
        <f t="shared" si="240"/>
        <v>13.928612068965517</v>
      </c>
      <c r="F81" s="4">
        <f t="shared" si="240"/>
        <v>13.356906666666667</v>
      </c>
      <c r="G81" s="4">
        <f t="shared" si="240"/>
        <v>12.324620253164557</v>
      </c>
      <c r="H81" s="4">
        <f t="shared" si="240"/>
        <v>13.983312101910828</v>
      </c>
      <c r="I81" s="4">
        <f t="shared" si="240"/>
        <v>13.493135802469135</v>
      </c>
      <c r="J81" s="4">
        <f t="shared" si="240"/>
        <v>12.78872340425532</v>
      </c>
      <c r="K81" s="4">
        <f t="shared" si="240"/>
        <v>13.802342857142857</v>
      </c>
      <c r="L81" s="4">
        <f t="shared" si="240"/>
        <v>14.327853107344634</v>
      </c>
      <c r="M81" s="4">
        <f t="shared" si="240"/>
        <v>13.960453376205788</v>
      </c>
      <c r="N81" s="4">
        <f t="shared" si="240"/>
        <v>15.715616766467067</v>
      </c>
      <c r="O81" s="4">
        <f t="shared" si="240"/>
        <v>11.609454545454545</v>
      </c>
      <c r="P81" s="4">
        <f t="shared" si="240"/>
        <v>12.460513333333333</v>
      </c>
      <c r="Q81" s="4">
        <f t="shared" si="240"/>
        <v>15.932471264367816</v>
      </c>
      <c r="R81" s="4">
        <f t="shared" si="240"/>
        <v>16.21570512820513</v>
      </c>
      <c r="S81" s="4">
        <f t="shared" si="240"/>
        <v>13.593325581395348</v>
      </c>
      <c r="T81" s="4">
        <f t="shared" si="240"/>
        <v>13.730288209606986</v>
      </c>
      <c r="U81" s="4">
        <f t="shared" si="240"/>
        <v>15.101141242937853</v>
      </c>
      <c r="V81" s="4">
        <f t="shared" si="240"/>
        <v>11.596215384615416</v>
      </c>
      <c r="W81" s="4">
        <f t="shared" si="240"/>
        <v>13.455019916142557</v>
      </c>
      <c r="X81" s="4">
        <f t="shared" si="240"/>
        <v>13.69990671641791</v>
      </c>
      <c r="Y81" s="4">
        <f t="shared" si="240"/>
        <v>13.496574829931973</v>
      </c>
      <c r="Z81" s="4">
        <f t="shared" si="240"/>
        <v>13.665561767358035</v>
      </c>
      <c r="AA81" s="4">
        <f t="shared" ref="AA81:AJ81" si="241">IFERROR(AA7/AA57,"")</f>
        <v>14.091565425023878</v>
      </c>
      <c r="AB81" s="4">
        <f t="shared" si="241"/>
        <v>13.636790322580646</v>
      </c>
      <c r="AC81" s="4">
        <f t="shared" si="241"/>
        <v>14.134403669724772</v>
      </c>
      <c r="AD81" s="4">
        <f t="shared" si="241"/>
        <v>13.135563329928509</v>
      </c>
      <c r="AE81" s="4">
        <f t="shared" si="241"/>
        <v>13.629307657859407</v>
      </c>
      <c r="AF81" s="4">
        <f t="shared" si="241"/>
        <v>13.624645776566757</v>
      </c>
      <c r="AG81" s="4">
        <f t="shared" si="241"/>
        <v>13.960954022988506</v>
      </c>
      <c r="AH81" s="4">
        <f t="shared" si="241"/>
        <v>13.410909967845658</v>
      </c>
      <c r="AI81" s="4">
        <f t="shared" si="241"/>
        <v>13.512179640718564</v>
      </c>
      <c r="AJ81" s="4">
        <f t="shared" si="241"/>
        <v>14.643863236289777</v>
      </c>
      <c r="AK81" s="31">
        <f t="shared" si="232"/>
        <v>3.4270222955827823E-2</v>
      </c>
      <c r="AL81" s="31">
        <f t="shared" si="223"/>
        <v>-2.3219308642810743E-2</v>
      </c>
      <c r="AM81" s="31">
        <f t="shared" si="223"/>
        <v>5.3948143982308627E-2</v>
      </c>
      <c r="AN81" s="31">
        <f t="shared" si="223"/>
        <v>-2.7872358183807178E-2</v>
      </c>
      <c r="AO81" s="31">
        <f t="shared" si="223"/>
        <v>-6.9281962147539233E-2</v>
      </c>
      <c r="AP81" s="4">
        <f t="shared" si="224"/>
        <v>13.190883089770354</v>
      </c>
      <c r="AQ81" s="4">
        <f t="shared" si="224"/>
        <v>13.008937649880119</v>
      </c>
      <c r="AR81" s="4">
        <f t="shared" ref="AR81:AS81" si="242">IFERROR(AR7/AR57,"")</f>
        <v>13.217147239263804</v>
      </c>
      <c r="AS81" s="4">
        <f t="shared" si="242"/>
        <v>13.737331896551725</v>
      </c>
      <c r="AT81" s="4">
        <f t="shared" ref="AT81:AV81" si="243">IFERROR(AT7/AT57,"")</f>
        <v>13.694717741935484</v>
      </c>
      <c r="AU81" s="4">
        <f t="shared" si="243"/>
        <v>13.54257907542579</v>
      </c>
      <c r="AV81" s="4">
        <f t="shared" si="243"/>
        <v>15.391117936117915</v>
      </c>
      <c r="AW81" s="18"/>
      <c r="AX81" s="18"/>
      <c r="AY81" s="18"/>
      <c r="AZ81" s="18"/>
      <c r="BA81" s="18"/>
      <c r="BB81" s="4">
        <f t="shared" si="227"/>
        <v>13.122375063613241</v>
      </c>
      <c r="BC81" s="4">
        <f t="shared" si="227"/>
        <v>13.663531728665209</v>
      </c>
      <c r="BD81" s="4">
        <f t="shared" si="227"/>
        <v>15.391117936117915</v>
      </c>
      <c r="BE81" s="4" t="str">
        <f t="shared" si="227"/>
        <v/>
      </c>
      <c r="BF81" s="4">
        <f t="shared" si="227"/>
        <v>13.567286668447771</v>
      </c>
      <c r="BG81" s="122">
        <f t="shared" si="228"/>
        <v>1.1362190220155508</v>
      </c>
      <c r="BH81" s="111">
        <f t="shared" si="228"/>
        <v>1.0440129793914419</v>
      </c>
      <c r="BI81" s="111">
        <f t="shared" si="228"/>
        <v>0.82957295324444114</v>
      </c>
      <c r="BJ81" s="111">
        <f t="shared" si="228"/>
        <v>0.84716216704368941</v>
      </c>
      <c r="BK81" s="111">
        <f t="shared" si="228"/>
        <v>1.0074589665297877</v>
      </c>
      <c r="BL81" s="111">
        <f t="shared" si="228"/>
        <v>0.98632882782097342</v>
      </c>
      <c r="BM81" s="111">
        <f t="shared" si="228"/>
        <v>1.0192023032243123</v>
      </c>
      <c r="BN81" s="111">
        <f t="shared" si="228"/>
        <v>0</v>
      </c>
      <c r="BO81" s="111">
        <f t="shared" si="228"/>
        <v>0</v>
      </c>
      <c r="BP81" s="111">
        <f t="shared" si="228"/>
        <v>0</v>
      </c>
      <c r="BQ81" s="111">
        <f t="shared" si="228"/>
        <v>0</v>
      </c>
      <c r="BR81" s="111">
        <f t="shared" si="228"/>
        <v>0</v>
      </c>
      <c r="BS81" s="111">
        <f>IFERROR(BB81/(SUM(O7:INDEX(O7:Q7,IF($B$2&lt;3,$B$2,3)))/SUM(O57:INDEX(O57:Q57,IF($B$2&lt;3,$B$2,3)))),0)</f>
        <v>0.96227739469487883</v>
      </c>
      <c r="BT81" s="111">
        <f>IFERROR(BC81/(SUM(R7:INDEX(R7:T7,IF($B$2&lt;7,$B$2-3,3)))/SUM(R57:INDEX(R57:T57,IF($B$2&lt;7,$B$2-3,3)))),0)</f>
        <v>0.96668611198163601</v>
      </c>
      <c r="BU81" s="111">
        <f>BD81/(SUM(U7:INDEX(U7:W7,IF($B$2&lt;7,$B$2-3,IF($B$2&lt;9,$B$2-6,3))))/SUM(U57:INDEX(U57:W57,IF($B$2&lt;7,$B$2-3,IF($B$2&lt;9,$B$2-6,3)))))</f>
        <v>1.0192023032243123</v>
      </c>
      <c r="BV81" s="111"/>
      <c r="BW81" s="111">
        <f t="shared" si="235"/>
        <v>0.96279485346283178</v>
      </c>
    </row>
    <row r="82" spans="1:75" x14ac:dyDescent="0.25">
      <c r="A82" s="20" t="str">
        <f t="shared" si="229"/>
        <v>CaseSize_by_rookie_mdrt:4 - 6 mths</v>
      </c>
      <c r="B82" t="s">
        <v>8</v>
      </c>
      <c r="C82" s="4">
        <f t="shared" ref="C82:Z82" si="244">IFERROR(C8/C58,"")</f>
        <v>14.326594594594592</v>
      </c>
      <c r="D82" s="4">
        <f t="shared" si="244"/>
        <v>13.277911764705882</v>
      </c>
      <c r="E82" s="4">
        <f t="shared" si="244"/>
        <v>12.615961038961039</v>
      </c>
      <c r="F82" s="4">
        <f t="shared" si="244"/>
        <v>23.001364077669901</v>
      </c>
      <c r="G82" s="4">
        <f t="shared" si="244"/>
        <v>12.360366071428572</v>
      </c>
      <c r="H82" s="4">
        <f t="shared" si="244"/>
        <v>13.583870588235293</v>
      </c>
      <c r="I82" s="4">
        <f t="shared" si="244"/>
        <v>17.750412499999999</v>
      </c>
      <c r="J82" s="4">
        <f t="shared" si="244"/>
        <v>13.863290322580646</v>
      </c>
      <c r="K82" s="4">
        <f t="shared" si="244"/>
        <v>14.494885416666667</v>
      </c>
      <c r="L82" s="4">
        <f t="shared" si="244"/>
        <v>13.429901408450704</v>
      </c>
      <c r="M82" s="4">
        <f t="shared" si="244"/>
        <v>14.589820388349516</v>
      </c>
      <c r="N82" s="4">
        <f t="shared" si="244"/>
        <v>16.079436619718312</v>
      </c>
      <c r="O82" s="4">
        <f t="shared" si="244"/>
        <v>13.176663366336635</v>
      </c>
      <c r="P82" s="4">
        <f t="shared" si="244"/>
        <v>12.236357142857143</v>
      </c>
      <c r="Q82" s="4">
        <f t="shared" si="244"/>
        <v>13.167722891566264</v>
      </c>
      <c r="R82" s="4">
        <f t="shared" si="244"/>
        <v>11.816342857142857</v>
      </c>
      <c r="S82" s="4">
        <f t="shared" si="244"/>
        <v>13.432971428571429</v>
      </c>
      <c r="T82" s="4">
        <f t="shared" si="244"/>
        <v>13.403011235955056</v>
      </c>
      <c r="U82" s="4">
        <f t="shared" si="244"/>
        <v>15.650157142857143</v>
      </c>
      <c r="V82" s="4">
        <f t="shared" si="244"/>
        <v>14.438734693877551</v>
      </c>
      <c r="W82" s="4">
        <f t="shared" si="244"/>
        <v>14.395620462046203</v>
      </c>
      <c r="X82" s="4">
        <f t="shared" si="244"/>
        <v>16.863966101694917</v>
      </c>
      <c r="Y82" s="4">
        <f t="shared" si="244"/>
        <v>13.090885</v>
      </c>
      <c r="Z82" s="4">
        <f t="shared" si="244"/>
        <v>16.22023188405802</v>
      </c>
      <c r="AA82" s="4">
        <f t="shared" ref="AA82:AJ82" si="245">IFERROR(AA8/AA58,"")</f>
        <v>13.155845777233782</v>
      </c>
      <c r="AB82" s="4">
        <f t="shared" si="245"/>
        <v>12.966002232142857</v>
      </c>
      <c r="AC82" s="4">
        <f t="shared" si="245"/>
        <v>12.856341137123746</v>
      </c>
      <c r="AD82" s="4">
        <f t="shared" si="245"/>
        <v>14.683704225352111</v>
      </c>
      <c r="AE82" s="4">
        <f t="shared" si="245"/>
        <v>15.573040455120125</v>
      </c>
      <c r="AF82" s="4">
        <f t="shared" si="245"/>
        <v>15.683949810606061</v>
      </c>
      <c r="AG82" s="4">
        <f t="shared" si="245"/>
        <v>13.195689189189189</v>
      </c>
      <c r="AH82" s="4">
        <f t="shared" si="245"/>
        <v>16.360434999999999</v>
      </c>
      <c r="AI82" s="4">
        <f t="shared" si="245"/>
        <v>15.268603146853145</v>
      </c>
      <c r="AJ82" s="4">
        <f t="shared" si="245"/>
        <v>14.958529971455757</v>
      </c>
      <c r="AK82" s="31">
        <f t="shared" si="232"/>
        <v>-0.16119052049393079</v>
      </c>
      <c r="AL82" s="31">
        <f t="shared" si="223"/>
        <v>-1.7406211509930603E-2</v>
      </c>
      <c r="AM82" s="31">
        <f t="shared" si="223"/>
        <v>-0.21418097152528359</v>
      </c>
      <c r="AN82" s="31">
        <f t="shared" si="223"/>
        <v>-3.830729739161387E-2</v>
      </c>
      <c r="AO82" s="31">
        <f t="shared" si="223"/>
        <v>4.1080940763363216E-2</v>
      </c>
      <c r="AP82" s="4">
        <f t="shared" si="224"/>
        <v>13.818108433734938</v>
      </c>
      <c r="AQ82" s="4">
        <f t="shared" si="224"/>
        <v>12.775264705882353</v>
      </c>
      <c r="AR82" s="4">
        <f t="shared" ref="AR82:AS82" si="246">IFERROR(AR8/AR58,"")</f>
        <v>13.803687943262412</v>
      </c>
      <c r="AS82" s="4">
        <f t="shared" si="246"/>
        <v>13.907493377483444</v>
      </c>
      <c r="AT82" s="4">
        <f t="shared" ref="AT82:AV82" si="247">IFERROR(AT8/AT58,"")</f>
        <v>15.904450261780104</v>
      </c>
      <c r="AU82" s="4">
        <f t="shared" si="247"/>
        <v>14.917692307692308</v>
      </c>
      <c r="AV82" s="4">
        <f t="shared" si="247"/>
        <v>14.815079710144916</v>
      </c>
      <c r="AW82" s="18"/>
      <c r="AX82" s="18"/>
      <c r="AY82" s="18"/>
      <c r="AZ82" s="18"/>
      <c r="BA82" s="18"/>
      <c r="BB82" s="4">
        <f t="shared" si="227"/>
        <v>13.463870629370629</v>
      </c>
      <c r="BC82" s="4">
        <f t="shared" si="227"/>
        <v>14.730518459069019</v>
      </c>
      <c r="BD82" s="4">
        <f t="shared" si="227"/>
        <v>14.815079710144916</v>
      </c>
      <c r="BE82" s="4" t="str">
        <f t="shared" si="227"/>
        <v/>
      </c>
      <c r="BF82" s="4">
        <f t="shared" si="227"/>
        <v>14.124838414634144</v>
      </c>
      <c r="BG82" s="122">
        <f t="shared" si="228"/>
        <v>1.0486803866475825</v>
      </c>
      <c r="BH82" s="111">
        <f t="shared" si="228"/>
        <v>1.044041503262251</v>
      </c>
      <c r="BI82" s="111">
        <f t="shared" si="228"/>
        <v>1.0482972687786036</v>
      </c>
      <c r="BJ82" s="111">
        <f t="shared" si="228"/>
        <v>1.1769710430394722</v>
      </c>
      <c r="BK82" s="111">
        <f t="shared" si="228"/>
        <v>1.1839860113118332</v>
      </c>
      <c r="BL82" s="111">
        <f t="shared" si="228"/>
        <v>1.1130105052567556</v>
      </c>
      <c r="BM82" s="111">
        <f t="shared" si="228"/>
        <v>0.94664095541728388</v>
      </c>
      <c r="BN82" s="111">
        <f t="shared" si="228"/>
        <v>0</v>
      </c>
      <c r="BO82" s="111">
        <f t="shared" si="228"/>
        <v>0</v>
      </c>
      <c r="BP82" s="111">
        <f t="shared" si="228"/>
        <v>0</v>
      </c>
      <c r="BQ82" s="111">
        <f t="shared" si="228"/>
        <v>0</v>
      </c>
      <c r="BR82" s="111">
        <f t="shared" si="228"/>
        <v>0</v>
      </c>
      <c r="BS82" s="111">
        <f>IFERROR(BB82/(SUM(O8:INDEX(O8:Q8,IF($B$2&lt;3,$B$2,3)))/SUM(O58:INDEX(O58:Q58,IF($B$2&lt;3,$B$2,3)))),0)</f>
        <v>1.0383979879313572</v>
      </c>
      <c r="BT82" s="111">
        <f>IFERROR(BC82/(SUM(R8:INDEX(R8:T8,IF($B$2&lt;7,$B$2-3,3)))/SUM(R58:INDEX(R58:T58,IF($B$2&lt;7,$B$2-3,3)))),0)</f>
        <v>1.1457784374228708</v>
      </c>
      <c r="BU82" s="111">
        <f>BD82/(SUM(U8:INDEX(U8:W8,IF($B$2&lt;7,$B$2-3,IF($B$2&lt;9,$B$2-6,3))))/SUM(U58:INDEX(U58:W58,IF($B$2&lt;7,$B$2-3,IF($B$2&lt;9,$B$2-6,3)))))</f>
        <v>0.94664095541728388</v>
      </c>
      <c r="BV82" s="111"/>
      <c r="BW82" s="111">
        <f t="shared" si="235"/>
        <v>1.0736549100535373</v>
      </c>
    </row>
    <row r="83" spans="1:75" x14ac:dyDescent="0.25">
      <c r="A83" s="20" t="str">
        <f t="shared" si="229"/>
        <v>CaseSize_by_rookie_mdrt:7-12mth</v>
      </c>
      <c r="B83" t="s">
        <v>1</v>
      </c>
      <c r="C83" s="4">
        <f t="shared" ref="C83:Z83" si="248">IFERROR(C9/C59,"")</f>
        <v>17.450212121212122</v>
      </c>
      <c r="D83" s="4">
        <f t="shared" si="248"/>
        <v>21.493322580645163</v>
      </c>
      <c r="E83" s="4">
        <f t="shared" si="248"/>
        <v>14.916863636363637</v>
      </c>
      <c r="F83" s="4">
        <f t="shared" si="248"/>
        <v>25.259331168831167</v>
      </c>
      <c r="G83" s="4">
        <f t="shared" si="248"/>
        <v>13.783142857142858</v>
      </c>
      <c r="H83" s="4">
        <f t="shared" si="248"/>
        <v>14.781901639344262</v>
      </c>
      <c r="I83" s="4">
        <f t="shared" si="248"/>
        <v>18.225328947368421</v>
      </c>
      <c r="J83" s="4">
        <f t="shared" si="248"/>
        <v>14.662344827586208</v>
      </c>
      <c r="K83" s="4">
        <f t="shared" si="248"/>
        <v>13.745799242424242</v>
      </c>
      <c r="L83" s="4">
        <f t="shared" si="248"/>
        <v>15.212297297297297</v>
      </c>
      <c r="M83" s="4">
        <f t="shared" si="248"/>
        <v>15.120005649717514</v>
      </c>
      <c r="N83" s="4">
        <f t="shared" si="248"/>
        <v>17.680094674556212</v>
      </c>
      <c r="O83" s="4">
        <f t="shared" si="248"/>
        <v>12.852678571428571</v>
      </c>
      <c r="P83" s="4">
        <f t="shared" si="248"/>
        <v>15.046590361445782</v>
      </c>
      <c r="Q83" s="4">
        <f t="shared" si="248"/>
        <v>16.188942857142859</v>
      </c>
      <c r="R83" s="4">
        <f t="shared" si="248"/>
        <v>16.416063636363639</v>
      </c>
      <c r="S83" s="4">
        <f t="shared" si="248"/>
        <v>16.652473684210527</v>
      </c>
      <c r="T83" s="4">
        <f t="shared" si="248"/>
        <v>13.862693617021277</v>
      </c>
      <c r="U83" s="4">
        <f t="shared" si="248"/>
        <v>20.47034693877551</v>
      </c>
      <c r="V83" s="4">
        <f t="shared" si="248"/>
        <v>16.644986666666668</v>
      </c>
      <c r="W83" s="4">
        <f t="shared" si="248"/>
        <v>14.62595</v>
      </c>
      <c r="X83" s="4">
        <f t="shared" si="248"/>
        <v>15.476500000000001</v>
      </c>
      <c r="Y83" s="4">
        <f t="shared" si="248"/>
        <v>19.315999999999999</v>
      </c>
      <c r="Z83" s="4">
        <f t="shared" si="248"/>
        <v>24.160112318840614</v>
      </c>
      <c r="AA83" s="4">
        <f t="shared" ref="AA83:AJ83" si="249">IFERROR(AA9/AA59,"")</f>
        <v>15.860828663793102</v>
      </c>
      <c r="AB83" s="4">
        <f t="shared" si="249"/>
        <v>15.291980891719744</v>
      </c>
      <c r="AC83" s="4">
        <f t="shared" si="249"/>
        <v>15.331536821705427</v>
      </c>
      <c r="AD83" s="4">
        <f t="shared" si="249"/>
        <v>17.097549488054607</v>
      </c>
      <c r="AE83" s="4">
        <f t="shared" si="249"/>
        <v>21.665102620087357</v>
      </c>
      <c r="AF83" s="4">
        <f t="shared" si="249"/>
        <v>17.93060990338164</v>
      </c>
      <c r="AG83" s="4">
        <f t="shared" si="249"/>
        <v>17.128176923076921</v>
      </c>
      <c r="AH83" s="4">
        <f t="shared" si="249"/>
        <v>18.324444711538462</v>
      </c>
      <c r="AI83" s="4">
        <f t="shared" si="249"/>
        <v>15.225513157894737</v>
      </c>
      <c r="AJ83" s="4">
        <f t="shared" si="249"/>
        <v>16.089150984682714</v>
      </c>
      <c r="AK83" s="31">
        <f t="shared" si="232"/>
        <v>-0.11543284086494943</v>
      </c>
      <c r="AL83" s="31">
        <f t="shared" si="223"/>
        <v>-0.10720323824325151</v>
      </c>
      <c r="AM83" s="31">
        <f t="shared" si="223"/>
        <v>-0.16332870856100068</v>
      </c>
      <c r="AN83" s="31">
        <f t="shared" si="223"/>
        <v>0.12295390708648668</v>
      </c>
      <c r="AO83" s="31">
        <f t="shared" si="223"/>
        <v>0.34656593382168466</v>
      </c>
      <c r="AP83" s="4">
        <f t="shared" si="224"/>
        <v>12.350317073170732</v>
      </c>
      <c r="AQ83" s="4">
        <f t="shared" si="224"/>
        <v>13.227147727272728</v>
      </c>
      <c r="AR83" s="4">
        <f t="shared" ref="AR83:AS83" si="250">IFERROR(AR9/AR59,"")</f>
        <v>14.286464646464646</v>
      </c>
      <c r="AS83" s="4">
        <f t="shared" si="250"/>
        <v>13.673196319018407</v>
      </c>
      <c r="AT83" s="4">
        <f t="shared" ref="AT83:AV83" si="251">IFERROR(AT9/AT59,"")</f>
        <v>14.756607142857144</v>
      </c>
      <c r="AU83" s="4">
        <f t="shared" si="251"/>
        <v>13.479754098360656</v>
      </c>
      <c r="AV83" s="4">
        <f t="shared" si="251"/>
        <v>13.625079710144917</v>
      </c>
      <c r="AW83" s="18"/>
      <c r="AX83" s="18"/>
      <c r="AY83" s="18"/>
      <c r="AZ83" s="18"/>
      <c r="BA83" s="18"/>
      <c r="BB83" s="4">
        <f t="shared" si="227"/>
        <v>13.664475675675675</v>
      </c>
      <c r="BC83" s="4">
        <f t="shared" si="227"/>
        <v>13.91939798488665</v>
      </c>
      <c r="BD83" s="4">
        <f t="shared" si="227"/>
        <v>13.625079710144917</v>
      </c>
      <c r="BE83" s="4" t="str">
        <f t="shared" si="227"/>
        <v/>
      </c>
      <c r="BF83" s="4">
        <f t="shared" si="227"/>
        <v>13.782343384615382</v>
      </c>
      <c r="BG83" s="122">
        <f t="shared" si="228"/>
        <v>0.96091386745058838</v>
      </c>
      <c r="BH83" s="111">
        <f t="shared" si="228"/>
        <v>0.87907940666511042</v>
      </c>
      <c r="BI83" s="111">
        <f t="shared" si="228"/>
        <v>0.88248286330575287</v>
      </c>
      <c r="BJ83" s="111">
        <f t="shared" si="228"/>
        <v>0.83291565029819714</v>
      </c>
      <c r="BK83" s="111">
        <f t="shared" si="228"/>
        <v>0.88615105615503853</v>
      </c>
      <c r="BL83" s="111">
        <f t="shared" si="228"/>
        <v>0.97237625462699184</v>
      </c>
      <c r="BM83" s="111">
        <f t="shared" si="228"/>
        <v>0.66560082009826149</v>
      </c>
      <c r="BN83" s="111">
        <f t="shared" si="228"/>
        <v>0</v>
      </c>
      <c r="BO83" s="111">
        <f t="shared" si="228"/>
        <v>0</v>
      </c>
      <c r="BP83" s="111">
        <f t="shared" si="228"/>
        <v>0</v>
      </c>
      <c r="BQ83" s="111">
        <f t="shared" si="228"/>
        <v>0</v>
      </c>
      <c r="BR83" s="111">
        <f t="shared" si="228"/>
        <v>0</v>
      </c>
      <c r="BS83" s="111">
        <f>IFERROR(BB83/(SUM(O9:INDEX(O9:Q9,IF($B$2&lt;3,$B$2,3)))/SUM(O59:INDEX(O59:Q59,IF($B$2&lt;3,$B$2,3)))),0)</f>
        <v>0.89357132816420626</v>
      </c>
      <c r="BT83" s="111">
        <f>IFERROR(BC83/(SUM(R9:INDEX(R9:T9,IF($B$2&lt;7,$B$2-3,3)))/SUM(R59:INDEX(R59:T59,IF($B$2&lt;7,$B$2-3,3)))),0)</f>
        <v>0.90789319731994778</v>
      </c>
      <c r="BU83" s="111">
        <f>BD83/(SUM(U9:INDEX(U9:W9,IF($B$2&lt;7,$B$2-3,IF($B$2&lt;9,$B$2-6,3))))/SUM(U59:INDEX(U59:W59,IF($B$2&lt;7,$B$2-3,IF($B$2&lt;9,$B$2-6,3)))))</f>
        <v>0.66560082009826149</v>
      </c>
      <c r="BV83" s="111"/>
      <c r="BW83" s="111">
        <f t="shared" si="235"/>
        <v>0.86895481167875799</v>
      </c>
    </row>
    <row r="84" spans="1:75" x14ac:dyDescent="0.25">
      <c r="A84" s="20" t="str">
        <f t="shared" si="229"/>
        <v>CaseSize_by_rookie_mdrt:13+mth</v>
      </c>
      <c r="B84" t="s">
        <v>2</v>
      </c>
      <c r="C84" s="4">
        <f t="shared" ref="C84:Z84" si="252">IFERROR(C10/C60,"")</f>
        <v>18.035</v>
      </c>
      <c r="D84" s="4">
        <f t="shared" si="252"/>
        <v>16.153142857142857</v>
      </c>
      <c r="E84" s="4">
        <f t="shared" si="252"/>
        <v>25.133749999999999</v>
      </c>
      <c r="F84" s="4">
        <f t="shared" si="252"/>
        <v>15.746666666666668</v>
      </c>
      <c r="G84" s="4">
        <f t="shared" si="252"/>
        <v>-2.3321333333333332</v>
      </c>
      <c r="H84" s="4">
        <f t="shared" si="252"/>
        <v>22.924933333333335</v>
      </c>
      <c r="I84" s="4">
        <f t="shared" si="252"/>
        <v>19.643999999999998</v>
      </c>
      <c r="J84" s="4">
        <f t="shared" si="252"/>
        <v>20.519526315789474</v>
      </c>
      <c r="K84" s="4">
        <f t="shared" si="252"/>
        <v>24.327249999999999</v>
      </c>
      <c r="L84" s="4">
        <f t="shared" si="252"/>
        <v>19.109044444444446</v>
      </c>
      <c r="M84" s="4">
        <f t="shared" si="252"/>
        <v>17.160306451612904</v>
      </c>
      <c r="N84" s="4">
        <f t="shared" si="252"/>
        <v>23.862016393442623</v>
      </c>
      <c r="O84" s="4">
        <f t="shared" si="252"/>
        <v>16.526125</v>
      </c>
      <c r="P84" s="4">
        <f t="shared" si="252"/>
        <v>26.7690625</v>
      </c>
      <c r="Q84" s="4">
        <f t="shared" si="252"/>
        <v>19.275043956043955</v>
      </c>
      <c r="R84" s="4">
        <f t="shared" si="252"/>
        <v>9.7587441860465116</v>
      </c>
      <c r="S84" s="4">
        <f t="shared" si="252"/>
        <v>17.981029411764705</v>
      </c>
      <c r="T84" s="4">
        <f t="shared" si="252"/>
        <v>14.970957264957265</v>
      </c>
      <c r="U84" s="4">
        <f t="shared" si="252"/>
        <v>14.095689655172412</v>
      </c>
      <c r="V84" s="4">
        <f t="shared" si="252"/>
        <v>20.192837837837839</v>
      </c>
      <c r="W84" s="4">
        <f t="shared" si="252"/>
        <v>15.746254355400698</v>
      </c>
      <c r="X84" s="4">
        <f t="shared" si="252"/>
        <v>21.356550335570471</v>
      </c>
      <c r="Y84" s="4">
        <f t="shared" si="252"/>
        <v>13.815876106194692</v>
      </c>
      <c r="Z84" s="4">
        <f t="shared" si="252"/>
        <v>20.39875435816171</v>
      </c>
      <c r="AA84" s="4">
        <f t="shared" ref="AA84:AJ84" si="253">IFERROR(AA10/AA60,"")</f>
        <v>16.663853391684903</v>
      </c>
      <c r="AB84" s="4">
        <f t="shared" si="253"/>
        <v>19.905807017543861</v>
      </c>
      <c r="AC84" s="4">
        <f t="shared" si="253"/>
        <v>14.88569298245614</v>
      </c>
      <c r="AD84" s="4">
        <f t="shared" si="253"/>
        <v>17.019335999999999</v>
      </c>
      <c r="AE84" s="4">
        <f t="shared" si="253"/>
        <v>18.863917981072586</v>
      </c>
      <c r="AF84" s="4">
        <f t="shared" si="253"/>
        <v>15.131651515151514</v>
      </c>
      <c r="AG84" s="4">
        <f t="shared" si="253"/>
        <v>19.205923076923078</v>
      </c>
      <c r="AH84" s="4">
        <f t="shared" si="253"/>
        <v>10.791878787878789</v>
      </c>
      <c r="AI84" s="4">
        <f t="shared" si="253"/>
        <v>22.650363636363636</v>
      </c>
      <c r="AJ84" s="4">
        <f t="shared" si="253"/>
        <v>19.921033613445378</v>
      </c>
      <c r="AK84" s="31">
        <f t="shared" si="232"/>
        <v>0.10125807318514934</v>
      </c>
      <c r="AL84" s="31">
        <f t="shared" si="223"/>
        <v>3.6441046744674743E-2</v>
      </c>
      <c r="AM84" s="31">
        <f t="shared" si="223"/>
        <v>0.3793421215196966</v>
      </c>
      <c r="AN84" s="31">
        <f t="shared" si="223"/>
        <v>-0.24860650039734467</v>
      </c>
      <c r="AO84" s="31">
        <f t="shared" si="223"/>
        <v>-5.3065300369721236E-2</v>
      </c>
      <c r="AP84" s="4">
        <f t="shared" si="224"/>
        <v>18.74718881118881</v>
      </c>
      <c r="AQ84" s="4">
        <f t="shared" si="224"/>
        <v>17.77099043062201</v>
      </c>
      <c r="AR84" s="4">
        <f t="shared" ref="AR84:AS84" si="254">IFERROR(AR10/AR60,"")</f>
        <v>18.805608465608465</v>
      </c>
      <c r="AS84" s="4">
        <f t="shared" si="254"/>
        <v>14.419664122137405</v>
      </c>
      <c r="AT84" s="4">
        <f t="shared" ref="AT84:AV84" si="255">IFERROR(AT10/AT60,"")</f>
        <v>15.237543859649122</v>
      </c>
      <c r="AU84" s="4">
        <f t="shared" si="255"/>
        <v>21.78009900990099</v>
      </c>
      <c r="AV84" s="4">
        <f t="shared" si="255"/>
        <v>18.036005524861871</v>
      </c>
      <c r="AW84" s="18"/>
      <c r="AX84" s="18"/>
      <c r="AY84" s="18"/>
      <c r="AZ84" s="18"/>
      <c r="BA84" s="18"/>
      <c r="BB84" s="4">
        <f t="shared" si="227"/>
        <v>18.390471349353053</v>
      </c>
      <c r="BC84" s="4">
        <f t="shared" si="227"/>
        <v>16.837705202312137</v>
      </c>
      <c r="BD84" s="4">
        <f t="shared" si="227"/>
        <v>18.036005524861871</v>
      </c>
      <c r="BE84" s="4" t="str">
        <f t="shared" si="227"/>
        <v/>
      </c>
      <c r="BF84" s="4">
        <f t="shared" si="227"/>
        <v>17.585186704384721</v>
      </c>
      <c r="BG84" s="122">
        <f t="shared" si="228"/>
        <v>1.1343971324910593</v>
      </c>
      <c r="BH84" s="111">
        <f t="shared" si="228"/>
        <v>0.66386301091500721</v>
      </c>
      <c r="BI84" s="111">
        <f t="shared" si="228"/>
        <v>0.97564542568587542</v>
      </c>
      <c r="BJ84" s="111">
        <f t="shared" si="228"/>
        <v>1.4776147265705852</v>
      </c>
      <c r="BK84" s="111">
        <f t="shared" si="228"/>
        <v>0.8474233321524649</v>
      </c>
      <c r="BL84" s="111">
        <f t="shared" si="228"/>
        <v>1.4548234040372274</v>
      </c>
      <c r="BM84" s="111">
        <f t="shared" si="228"/>
        <v>1.2795404812451698</v>
      </c>
      <c r="BN84" s="111">
        <f t="shared" si="228"/>
        <v>0</v>
      </c>
      <c r="BO84" s="111">
        <f t="shared" si="228"/>
        <v>0</v>
      </c>
      <c r="BP84" s="111">
        <f t="shared" si="228"/>
        <v>0</v>
      </c>
      <c r="BQ84" s="111">
        <f t="shared" si="228"/>
        <v>0</v>
      </c>
      <c r="BR84" s="111">
        <f t="shared" si="228"/>
        <v>0</v>
      </c>
      <c r="BS84" s="111">
        <f>IFERROR(BB84/(SUM(O10:INDEX(O10:Q10,IF($B$2&lt;3,$B$2,3)))/SUM(O60:INDEX(O60:Q60,IF($B$2&lt;3,$B$2,3)))),0)</f>
        <v>0.92387469310562109</v>
      </c>
      <c r="BT84" s="111">
        <f>IFERROR(BC84/(SUM(R10:INDEX(R10:T10,IF($B$2&lt;7,$B$2-3,3)))/SUM(R60:INDEX(R60:T60,IF($B$2&lt;7,$B$2-3,3)))),0)</f>
        <v>1.13113344619942</v>
      </c>
      <c r="BU84" s="111">
        <f>BD84/(SUM(U10:INDEX(U10:W10,IF($B$2&lt;7,$B$2-3,IF($B$2&lt;9,$B$2-6,3))))/SUM(U60:INDEX(U60:W60,IF($B$2&lt;7,$B$2-3,IF($B$2&lt;9,$B$2-6,3)))))</f>
        <v>1.2795404812451698</v>
      </c>
      <c r="BV84" s="111"/>
      <c r="BW84" s="111">
        <f t="shared" si="235"/>
        <v>1.0552893314075575</v>
      </c>
    </row>
    <row r="85" spans="1:75" x14ac:dyDescent="0.25">
      <c r="A85" s="20" t="str">
        <f t="shared" si="229"/>
        <v>CaseSize_by_rookie_mdrt:SA</v>
      </c>
      <c r="B85" s="135" t="s">
        <v>136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31"/>
      <c r="AL85" s="31"/>
      <c r="AM85" s="31"/>
      <c r="AN85" s="31"/>
      <c r="AO85" s="31"/>
      <c r="AP85" s="4"/>
      <c r="AQ85" s="4">
        <f>IFERROR(AQ11/AQ61,"")</f>
        <v>13.266456790123458</v>
      </c>
      <c r="AR85" s="4">
        <f>IFERROR(AR11/AR61,"")</f>
        <v>12.5153125</v>
      </c>
      <c r="AS85" s="4">
        <f>IFERROR(AS11/AS61,"")</f>
        <v>13.708710691823899</v>
      </c>
      <c r="AT85" s="4">
        <f>IFERROR(AT11/AT61,"")</f>
        <v>15.695263157894736</v>
      </c>
      <c r="AU85" s="4">
        <f>IFERROR(AU11/AU61,"")</f>
        <v>13.931914893617021</v>
      </c>
      <c r="AV85" s="4">
        <f t="shared" ref="AV85" si="256">IFERROR(AV11/AV61,"")</f>
        <v>15.357755102040811</v>
      </c>
      <c r="AW85" s="18"/>
      <c r="AX85" s="18"/>
      <c r="AY85" s="18"/>
      <c r="AZ85" s="18"/>
      <c r="BA85" s="18"/>
      <c r="BB85" s="4">
        <f>IFERROR(BB11/BB61,"")</f>
        <v>12.934917241379312</v>
      </c>
      <c r="BC85" s="4">
        <f>IFERROR(BC11/BC61,"")</f>
        <v>14.179144486692014</v>
      </c>
      <c r="BD85" s="4">
        <f t="shared" ref="BD85" si="257">IFERROR(BD11/BD61,"")</f>
        <v>15.357755102040811</v>
      </c>
      <c r="BE85" s="4"/>
      <c r="BF85" s="4">
        <f>IFERROR(BF11/BF61,"")</f>
        <v>13.910739606126914</v>
      </c>
      <c r="BG85" s="122"/>
      <c r="BH85" s="111"/>
      <c r="BI85" s="111"/>
      <c r="BJ85" s="111"/>
      <c r="BK85" s="111"/>
      <c r="BL85" s="111"/>
      <c r="BM85" s="111"/>
      <c r="BN85" s="111"/>
      <c r="BO85" s="111"/>
      <c r="BP85" s="111"/>
      <c r="BQ85" s="111"/>
      <c r="BR85" s="111"/>
      <c r="BS85" s="111"/>
      <c r="BT85" s="111"/>
      <c r="BU85" s="111"/>
      <c r="BV85" s="111"/>
      <c r="BW85" s="111"/>
    </row>
    <row r="86" spans="1:75" s="19" customFormat="1" x14ac:dyDescent="0.25">
      <c r="A86" s="20" t="str">
        <f t="shared" si="229"/>
        <v>CaseSize_by_rookie_mdrt:Total</v>
      </c>
      <c r="B86" s="1" t="s">
        <v>186</v>
      </c>
      <c r="C86" s="5">
        <f t="shared" ref="C86:Z86" si="258">IFERROR(C12/C62,"")</f>
        <v>15.170114035087719</v>
      </c>
      <c r="D86" s="5">
        <f t="shared" si="258"/>
        <v>14.523329787234045</v>
      </c>
      <c r="E86" s="5">
        <f t="shared" si="258"/>
        <v>16.740621399176955</v>
      </c>
      <c r="F86" s="5">
        <f t="shared" si="258"/>
        <v>19.961979674796748</v>
      </c>
      <c r="G86" s="5">
        <f t="shared" si="258"/>
        <v>13.928090558766858</v>
      </c>
      <c r="H86" s="5">
        <f t="shared" si="258"/>
        <v>14.625157439446367</v>
      </c>
      <c r="I86" s="5">
        <f t="shared" si="258"/>
        <v>17.284042465753423</v>
      </c>
      <c r="J86" s="5">
        <f t="shared" si="258"/>
        <v>13.970966873706006</v>
      </c>
      <c r="K86" s="5">
        <f t="shared" si="258"/>
        <v>15.297058770343583</v>
      </c>
      <c r="L86" s="5">
        <f t="shared" si="258"/>
        <v>14.594621787025705</v>
      </c>
      <c r="M86" s="5">
        <f t="shared" si="258"/>
        <v>14.723215331010474</v>
      </c>
      <c r="N86" s="5">
        <f t="shared" si="258"/>
        <v>16.834790062981121</v>
      </c>
      <c r="O86" s="5">
        <f t="shared" si="258"/>
        <v>14.478123931623928</v>
      </c>
      <c r="P86" s="5">
        <f t="shared" si="258"/>
        <v>14.438670807453416</v>
      </c>
      <c r="Q86" s="5">
        <f t="shared" si="258"/>
        <v>15.159557924003707</v>
      </c>
      <c r="R86" s="5">
        <f t="shared" si="258"/>
        <v>18.039591954023006</v>
      </c>
      <c r="S86" s="5">
        <f t="shared" si="258"/>
        <v>15.130410658307209</v>
      </c>
      <c r="T86" s="5">
        <f t="shared" si="258"/>
        <v>14.032704545454584</v>
      </c>
      <c r="U86" s="5">
        <f t="shared" si="258"/>
        <v>14.587937384898721</v>
      </c>
      <c r="V86" s="5">
        <f t="shared" si="258"/>
        <v>13.477317183951573</v>
      </c>
      <c r="W86" s="5">
        <f t="shared" si="258"/>
        <v>14.189415354330745</v>
      </c>
      <c r="X86" s="5">
        <f t="shared" si="258"/>
        <v>14.963684319119682</v>
      </c>
      <c r="Y86" s="5">
        <f t="shared" si="258"/>
        <v>14.299060513447465</v>
      </c>
      <c r="Z86" s="5">
        <f t="shared" si="258"/>
        <v>15.985946400747963</v>
      </c>
      <c r="AA86" s="5">
        <f t="shared" ref="AA86:AJ86" si="259">IFERROR(AA12/AA62,"")</f>
        <v>14.961283810690777</v>
      </c>
      <c r="AB86" s="5">
        <f t="shared" si="259"/>
        <v>14.830937438423645</v>
      </c>
      <c r="AC86" s="5">
        <f t="shared" si="259"/>
        <v>15.15760884852039</v>
      </c>
      <c r="AD86" s="5">
        <f t="shared" si="259"/>
        <v>14.075000675827916</v>
      </c>
      <c r="AE86" s="5">
        <f t="shared" si="259"/>
        <v>15.311852992538544</v>
      </c>
      <c r="AF86" s="5">
        <f t="shared" si="259"/>
        <v>16.197248468941382</v>
      </c>
      <c r="AG86" s="5">
        <f t="shared" si="259"/>
        <v>15.693423423423424</v>
      </c>
      <c r="AH86" s="5">
        <f t="shared" si="259"/>
        <v>16.049914411579611</v>
      </c>
      <c r="AI86" s="5">
        <f t="shared" si="259"/>
        <v>15.646345407503235</v>
      </c>
      <c r="AJ86" s="5">
        <f t="shared" si="259"/>
        <v>15.514407769627834</v>
      </c>
      <c r="AK86" s="32">
        <f t="shared" si="232"/>
        <v>-7.6307075280137693E-2</v>
      </c>
      <c r="AL86" s="32">
        <f t="shared" si="223"/>
        <v>-5.4958434608503914E-2</v>
      </c>
      <c r="AM86" s="32">
        <f t="shared" si="223"/>
        <v>-5.5595658654443936E-2</v>
      </c>
      <c r="AN86" s="31">
        <f t="shared" si="223"/>
        <v>-0.10042886634228199</v>
      </c>
      <c r="AO86" s="31">
        <f t="shared" si="223"/>
        <v>-1.3055914224829546E-2</v>
      </c>
      <c r="AP86" s="5">
        <f t="shared" ref="AP86:AQ86" si="260">IFERROR(AP12/AP62,"")</f>
        <v>14.10147587719298</v>
      </c>
      <c r="AQ86" s="5">
        <f t="shared" si="260"/>
        <v>14.230455516014249</v>
      </c>
      <c r="AR86" s="5">
        <f t="shared" ref="AR86:AS86" si="261">IFERROR(AR12/AR62,"")</f>
        <v>14.216620525059668</v>
      </c>
      <c r="AS86" s="5">
        <f t="shared" si="261"/>
        <v>14.262711466666678</v>
      </c>
      <c r="AT86" s="5">
        <f t="shared" ref="AT86:AV86" si="262">IFERROR(AT12/AT62,"")</f>
        <v>14.704922973878098</v>
      </c>
      <c r="AU86" s="5">
        <f t="shared" si="262"/>
        <v>14.408172722485519</v>
      </c>
      <c r="AV86" s="5">
        <f t="shared" si="262"/>
        <v>14.863861055444264</v>
      </c>
      <c r="AW86" s="17"/>
      <c r="AX86" s="17"/>
      <c r="AY86" s="17"/>
      <c r="AZ86" s="17"/>
      <c r="BA86" s="17"/>
      <c r="BB86" s="5">
        <f t="shared" ref="BB86:BF86" si="263">IFERROR(BB12/BB62,"")</f>
        <v>14.197224841341798</v>
      </c>
      <c r="BC86" s="5">
        <f t="shared" si="263"/>
        <v>14.440507689386752</v>
      </c>
      <c r="BD86" s="4">
        <f t="shared" si="263"/>
        <v>14.863861055444264</v>
      </c>
      <c r="BE86" s="5" t="str">
        <f t="shared" si="263"/>
        <v/>
      </c>
      <c r="BF86" s="5">
        <f t="shared" si="263"/>
        <v>14.401173049391563</v>
      </c>
      <c r="BG86" s="123">
        <f t="shared" si="228"/>
        <v>0.9739850234595484</v>
      </c>
      <c r="BH86" s="118">
        <f t="shared" si="228"/>
        <v>0.9855793310744585</v>
      </c>
      <c r="BI86" s="118">
        <f t="shared" si="228"/>
        <v>0.93779914931087871</v>
      </c>
      <c r="BJ86" s="118">
        <f t="shared" si="228"/>
        <v>0.79063381827136914</v>
      </c>
      <c r="BK86" s="118">
        <f t="shared" si="228"/>
        <v>0.97187864268604629</v>
      </c>
      <c r="BL86" s="118">
        <f t="shared" si="228"/>
        <v>1.026756650923186</v>
      </c>
      <c r="BM86" s="118">
        <f t="shared" si="228"/>
        <v>1.0189145088346194</v>
      </c>
      <c r="BN86" s="118">
        <f t="shared" si="228"/>
        <v>0</v>
      </c>
      <c r="BO86" s="118">
        <f t="shared" si="228"/>
        <v>0</v>
      </c>
      <c r="BP86" s="118">
        <f t="shared" si="228"/>
        <v>0</v>
      </c>
      <c r="BQ86" s="118">
        <f t="shared" si="228"/>
        <v>0</v>
      </c>
      <c r="BR86" s="118">
        <f t="shared" si="228"/>
        <v>0</v>
      </c>
      <c r="BS86" s="118">
        <f>IFERROR(BB86/(SUM(O12:INDEX(O12:Q12,IF($B$2&lt;3,$B$2,3)))/SUM(O62:INDEX(O62:Q62,IF($B$2&lt;3,$B$2,3)))),0)</f>
        <v>0.95727090079686816</v>
      </c>
      <c r="BT86" s="118">
        <f>IFERROR(BC86/(SUM(R12:INDEX(R12:T12,IF($B$2&lt;7,$B$2-3,3)))/SUM(R62:INDEX(R62:T62,IF($B$2&lt;7,$B$2-3,3)))),0)</f>
        <v>0.9526903506812926</v>
      </c>
      <c r="BU86" s="111">
        <f>BD86/(SUM(U12:INDEX(U12:W12,IF($B$2&lt;7,$B$2-3,IF($B$2&lt;9,$B$2-6,3))))/SUM(U62:INDEX(U62:W62,IF($B$2&lt;7,$B$2-3,IF($B$2&lt;9,$B$2-6,3)))))</f>
        <v>1.0189145088346194</v>
      </c>
      <c r="BV86" s="118"/>
      <c r="BW86" s="118">
        <f t="shared" si="235"/>
        <v>0.96256265382125972</v>
      </c>
    </row>
    <row r="87" spans="1:75" x14ac:dyDescent="0.25">
      <c r="B87" t="s">
        <v>187</v>
      </c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24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</row>
    <row r="88" spans="1:75" x14ac:dyDescent="0.25">
      <c r="B88" t="s">
        <v>187</v>
      </c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24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</row>
    <row r="89" spans="1:75" x14ac:dyDescent="0.25">
      <c r="B89" s="2" t="s">
        <v>15</v>
      </c>
      <c r="C89" s="3">
        <f t="shared" ref="C89:Z89" si="264">C29</f>
        <v>42005</v>
      </c>
      <c r="D89" s="3">
        <f t="shared" si="264"/>
        <v>42036</v>
      </c>
      <c r="E89" s="3">
        <f t="shared" si="264"/>
        <v>42064</v>
      </c>
      <c r="F89" s="3">
        <f t="shared" si="264"/>
        <v>42095</v>
      </c>
      <c r="G89" s="3">
        <f t="shared" si="264"/>
        <v>42125</v>
      </c>
      <c r="H89" s="3">
        <f t="shared" si="264"/>
        <v>42156</v>
      </c>
      <c r="I89" s="3">
        <f t="shared" si="264"/>
        <v>42186</v>
      </c>
      <c r="J89" s="3">
        <f t="shared" si="264"/>
        <v>42217</v>
      </c>
      <c r="K89" s="3">
        <f t="shared" si="264"/>
        <v>42248</v>
      </c>
      <c r="L89" s="3">
        <f t="shared" si="264"/>
        <v>42278</v>
      </c>
      <c r="M89" s="3">
        <f t="shared" si="264"/>
        <v>42309</v>
      </c>
      <c r="N89" s="3">
        <f t="shared" si="264"/>
        <v>42339</v>
      </c>
      <c r="O89" s="3">
        <f t="shared" si="264"/>
        <v>42370</v>
      </c>
      <c r="P89" s="3">
        <f t="shared" si="264"/>
        <v>42401</v>
      </c>
      <c r="Q89" s="3">
        <f t="shared" si="264"/>
        <v>42430</v>
      </c>
      <c r="R89" s="3">
        <f t="shared" si="264"/>
        <v>42461</v>
      </c>
      <c r="S89" s="3">
        <f t="shared" si="264"/>
        <v>42491</v>
      </c>
      <c r="T89" s="3">
        <f t="shared" si="264"/>
        <v>42522</v>
      </c>
      <c r="U89" s="3">
        <f t="shared" si="264"/>
        <v>42552</v>
      </c>
      <c r="V89" s="3">
        <f t="shared" si="264"/>
        <v>42583</v>
      </c>
      <c r="W89" s="3">
        <f t="shared" si="264"/>
        <v>42614</v>
      </c>
      <c r="X89" s="3">
        <f t="shared" si="264"/>
        <v>42644</v>
      </c>
      <c r="Y89" s="3">
        <f t="shared" si="264"/>
        <v>42675</v>
      </c>
      <c r="Z89" s="3">
        <f t="shared" si="264"/>
        <v>42705</v>
      </c>
      <c r="AA89" s="29" t="str">
        <f>AA77</f>
        <v>YTD 7/16</v>
      </c>
      <c r="AB89" s="29" t="s">
        <v>19</v>
      </c>
      <c r="AC89" s="29" t="s">
        <v>20</v>
      </c>
      <c r="AD89" s="29" t="s">
        <v>21</v>
      </c>
      <c r="AE89" s="29" t="s">
        <v>22</v>
      </c>
      <c r="AF89" s="26" t="str">
        <f t="shared" ref="AF89:AJ89" si="265">AF65</f>
        <v>YTD 7/15</v>
      </c>
      <c r="AG89" s="26" t="str">
        <f t="shared" si="265"/>
        <v>Q1 '15</v>
      </c>
      <c r="AH89" s="26" t="str">
        <f t="shared" si="265"/>
        <v>Q2 '15</v>
      </c>
      <c r="AI89" s="26" t="str">
        <f t="shared" si="265"/>
        <v>Q3 '15</v>
      </c>
      <c r="AJ89" s="26" t="str">
        <f t="shared" si="265"/>
        <v>Q4 '15</v>
      </c>
      <c r="AK89" s="30" t="s">
        <v>27</v>
      </c>
      <c r="AL89" s="30" t="s">
        <v>29</v>
      </c>
      <c r="AM89" s="30" t="s">
        <v>30</v>
      </c>
      <c r="AN89" s="30" t="s">
        <v>31</v>
      </c>
      <c r="AO89" s="30" t="s">
        <v>32</v>
      </c>
      <c r="AP89" s="108">
        <v>42736</v>
      </c>
      <c r="AQ89" s="108">
        <v>42767</v>
      </c>
      <c r="AR89" s="108">
        <v>42795</v>
      </c>
      <c r="AS89" s="108">
        <v>42826</v>
      </c>
      <c r="AT89" s="108">
        <v>42856</v>
      </c>
      <c r="AU89" s="108">
        <v>42887</v>
      </c>
      <c r="AV89" s="108">
        <v>42917</v>
      </c>
      <c r="AW89" s="108">
        <v>42948</v>
      </c>
      <c r="AX89" s="108">
        <v>42979</v>
      </c>
      <c r="AY89" s="108">
        <v>43009</v>
      </c>
      <c r="AZ89" s="108">
        <v>43040</v>
      </c>
      <c r="BA89" s="108">
        <v>43070</v>
      </c>
      <c r="BB89" s="29" t="s">
        <v>123</v>
      </c>
      <c r="BC89" s="29" t="s">
        <v>124</v>
      </c>
      <c r="BD89" s="29" t="s">
        <v>125</v>
      </c>
      <c r="BE89" s="29" t="s">
        <v>126</v>
      </c>
      <c r="BF89" s="29" t="str">
        <f>$BF$3</f>
        <v>YTD 7/17</v>
      </c>
      <c r="BG89" s="121">
        <v>42736</v>
      </c>
      <c r="BH89" s="108">
        <v>42767</v>
      </c>
      <c r="BI89" s="108">
        <v>42795</v>
      </c>
      <c r="BJ89" s="108">
        <v>42826</v>
      </c>
      <c r="BK89" s="108">
        <v>42856</v>
      </c>
      <c r="BL89" s="108">
        <v>42887</v>
      </c>
      <c r="BM89" s="108">
        <v>42917</v>
      </c>
      <c r="BN89" s="108">
        <v>42948</v>
      </c>
      <c r="BO89" s="108">
        <v>42979</v>
      </c>
      <c r="BP89" s="108">
        <v>43009</v>
      </c>
      <c r="BQ89" s="108">
        <v>43040</v>
      </c>
      <c r="BR89" s="108">
        <v>43070</v>
      </c>
      <c r="BS89" s="29" t="s">
        <v>127</v>
      </c>
      <c r="BT89" s="29" t="s">
        <v>128</v>
      </c>
      <c r="BU89" s="29" t="s">
        <v>96</v>
      </c>
      <c r="BV89" s="29" t="s">
        <v>129</v>
      </c>
      <c r="BW89" s="112" t="s">
        <v>130</v>
      </c>
    </row>
    <row r="90" spans="1:75" x14ac:dyDescent="0.25">
      <c r="A90" s="20" t="s">
        <v>224</v>
      </c>
      <c r="B90" t="s">
        <v>16</v>
      </c>
      <c r="C90" s="6">
        <v>49</v>
      </c>
      <c r="D90" s="6">
        <v>20</v>
      </c>
      <c r="E90" s="6">
        <v>24</v>
      </c>
      <c r="F90" s="6">
        <v>53</v>
      </c>
      <c r="G90" s="6">
        <v>36</v>
      </c>
      <c r="H90" s="6">
        <v>40</v>
      </c>
      <c r="I90" s="6">
        <v>37</v>
      </c>
      <c r="J90" s="6">
        <v>39</v>
      </c>
      <c r="K90" s="6">
        <v>67</v>
      </c>
      <c r="L90" s="6">
        <v>33</v>
      </c>
      <c r="M90" s="6">
        <v>49</v>
      </c>
      <c r="N90" s="6">
        <v>32</v>
      </c>
      <c r="O90" s="6">
        <v>8</v>
      </c>
      <c r="P90" s="6">
        <v>8</v>
      </c>
      <c r="Q90" s="6">
        <v>31</v>
      </c>
      <c r="R90" s="6">
        <v>57</v>
      </c>
      <c r="S90" s="6">
        <v>91</v>
      </c>
      <c r="T90" s="6">
        <v>136</v>
      </c>
      <c r="U90" s="6">
        <v>81</v>
      </c>
      <c r="V90" s="6">
        <v>84</v>
      </c>
      <c r="W90" s="6">
        <v>151</v>
      </c>
      <c r="X90" s="6">
        <f>[14]Recruit!$K$37</f>
        <v>122</v>
      </c>
      <c r="Y90" s="6">
        <f>[24]Recruit!$K$37</f>
        <v>149</v>
      </c>
      <c r="Z90" s="6">
        <f>[15]Recruit!$K$37</f>
        <v>114</v>
      </c>
      <c r="AA90" s="22">
        <f>SUM(O90:INDEX(O90:Z90,$B$2))</f>
        <v>412</v>
      </c>
      <c r="AB90" s="22">
        <f>SUM(O90:Q90)</f>
        <v>47</v>
      </c>
      <c r="AC90" s="22">
        <f>SUM(R90:T90)</f>
        <v>284</v>
      </c>
      <c r="AD90" s="22">
        <f>SUM(U90:W90)</f>
        <v>316</v>
      </c>
      <c r="AE90" s="22">
        <f>SUM(X90:Z90)</f>
        <v>385</v>
      </c>
      <c r="AF90" s="22">
        <f>SUM(C90                                                                                : INDEX(C90:N90,$B$2))</f>
        <v>259</v>
      </c>
      <c r="AG90" s="22">
        <f t="shared" ref="AG90:AG92" si="266">SUM(C90:E90)</f>
        <v>93</v>
      </c>
      <c r="AH90" s="22">
        <f t="shared" ref="AH90:AH92" si="267">SUM(F90:H90)</f>
        <v>129</v>
      </c>
      <c r="AI90" s="22">
        <f t="shared" ref="AI90:AI92" si="268">SUM(I90:K90)</f>
        <v>143</v>
      </c>
      <c r="AJ90" s="22">
        <f t="shared" ref="AJ90:AJ92" si="269">SUM(L90:N90)</f>
        <v>114</v>
      </c>
      <c r="AK90" s="31">
        <f>AA90/AF90-1</f>
        <v>0.59073359073359066</v>
      </c>
      <c r="AL90" s="31">
        <f t="shared" ref="AL90:AN92" si="270">AB90/AG90-1</f>
        <v>-0.4946236559139785</v>
      </c>
      <c r="AM90" s="31">
        <f t="shared" si="270"/>
        <v>1.2015503875968991</v>
      </c>
      <c r="AN90" s="31">
        <f t="shared" si="270"/>
        <v>1.2097902097902096</v>
      </c>
      <c r="AO90" s="31">
        <f>AE90/SUM(L90:INDEX(L90:N90,MOD($B$2,3)))-1</f>
        <v>10.666666666666666</v>
      </c>
      <c r="AP90" s="18">
        <f>[16]Recruit!$K$37</f>
        <v>39</v>
      </c>
      <c r="AQ90" s="18">
        <f>[17]Recruit!$K$37</f>
        <v>74</v>
      </c>
      <c r="AR90" s="18">
        <f>[18]Recruit!$K$37</f>
        <v>38</v>
      </c>
      <c r="AS90" s="18">
        <f>[19]Recruit!$K$37</f>
        <v>35</v>
      </c>
      <c r="AT90" s="18">
        <f>[20]Recruit!$K$37</f>
        <v>36</v>
      </c>
      <c r="AU90" s="18">
        <f>[21]Recruit!$K$37</f>
        <v>35</v>
      </c>
      <c r="AV90" s="18">
        <f>[22]Recruit!$K$37</f>
        <v>32</v>
      </c>
      <c r="AW90" s="18"/>
      <c r="AX90" s="18"/>
      <c r="AY90" s="18"/>
      <c r="AZ90" s="18"/>
      <c r="BA90" s="18"/>
      <c r="BB90" s="110">
        <f>SUM(AP90:INDEX(AP90:AR90,IF($B$2&lt;3,$B$2,3)))</f>
        <v>151</v>
      </c>
      <c r="BC90" s="110">
        <f>SUM(AS90:INDEX(AS90:AU90,IF(AND($B$2&gt;3,B88&lt;7),$B$2-3,0)))</f>
        <v>106</v>
      </c>
      <c r="BD90" s="110">
        <f>SUM(AV90:INDEX(AV90:AX90,IF(AND($B$2&gt;6,$B$2&lt;10),$B$2-6,0)))</f>
        <v>32</v>
      </c>
      <c r="BE90" s="110">
        <f>SUM(AY90:INDEX(AY90:BA90,IF($B$2&gt;9,$B$2-9,0)))</f>
        <v>0</v>
      </c>
      <c r="BF90" s="110">
        <f>SUM($AP90:INDEX(AP90:BA90,$B$2))</f>
        <v>289</v>
      </c>
      <c r="BG90" s="122">
        <f t="shared" ref="BG90:BR92" si="271">AP90/O90</f>
        <v>4.875</v>
      </c>
      <c r="BH90" s="111">
        <f t="shared" si="271"/>
        <v>9.25</v>
      </c>
      <c r="BI90" s="111">
        <f t="shared" si="271"/>
        <v>1.2258064516129032</v>
      </c>
      <c r="BJ90" s="111">
        <f t="shared" si="271"/>
        <v>0.61403508771929827</v>
      </c>
      <c r="BK90" s="111">
        <f t="shared" si="271"/>
        <v>0.39560439560439559</v>
      </c>
      <c r="BL90" s="111">
        <f t="shared" si="271"/>
        <v>0.25735294117647056</v>
      </c>
      <c r="BM90" s="111">
        <f t="shared" si="271"/>
        <v>0.39506172839506171</v>
      </c>
      <c r="BN90" s="111">
        <f t="shared" si="271"/>
        <v>0</v>
      </c>
      <c r="BO90" s="111">
        <f t="shared" si="271"/>
        <v>0</v>
      </c>
      <c r="BP90" s="111">
        <f t="shared" si="271"/>
        <v>0</v>
      </c>
      <c r="BQ90" s="111">
        <f t="shared" si="271"/>
        <v>0</v>
      </c>
      <c r="BR90" s="111">
        <f t="shared" si="271"/>
        <v>0</v>
      </c>
      <c r="BS90" s="111">
        <f>BB90/SUM(O90:INDEX(O90:Q90,IF($B$2&lt;3,$B$2,3)))</f>
        <v>3.2127659574468086</v>
      </c>
      <c r="BT90" s="111">
        <f>BC90/SUM(R90:INDEX(R90:T90,$C$2))</f>
        <v>1.8596491228070176</v>
      </c>
      <c r="BU90" s="111">
        <f>BD90/SUM(U90:INDEX(U90:W90,IF($B$2&lt;7,$B$2-3,IF($B$2&lt;9,$B$2-6,3))))</f>
        <v>0.39506172839506171</v>
      </c>
      <c r="BV90" s="111">
        <f t="shared" ref="BV90:BV92" si="272">BE90/AE90</f>
        <v>0</v>
      </c>
      <c r="BW90" s="111">
        <f t="shared" ref="BW90:BW92" si="273">BF90/AA90</f>
        <v>0.70145631067961167</v>
      </c>
    </row>
    <row r="91" spans="1:75" x14ac:dyDescent="0.25">
      <c r="A91" s="20" t="s">
        <v>223</v>
      </c>
      <c r="B91" t="s">
        <v>17</v>
      </c>
      <c r="C91" s="6">
        <v>175</v>
      </c>
      <c r="D91" s="6">
        <v>126</v>
      </c>
      <c r="E91" s="6">
        <v>208</v>
      </c>
      <c r="F91" s="6">
        <v>230</v>
      </c>
      <c r="G91" s="6">
        <v>217</v>
      </c>
      <c r="H91" s="6">
        <v>209</v>
      </c>
      <c r="I91" s="6">
        <v>240</v>
      </c>
      <c r="J91" s="6">
        <v>225</v>
      </c>
      <c r="K91" s="6">
        <v>283</v>
      </c>
      <c r="L91" s="6">
        <v>246</v>
      </c>
      <c r="M91" s="6">
        <v>447</v>
      </c>
      <c r="N91" s="6">
        <v>318</v>
      </c>
      <c r="O91" s="6">
        <v>126</v>
      </c>
      <c r="P91" s="6">
        <v>116</v>
      </c>
      <c r="Q91" s="6">
        <v>333</v>
      </c>
      <c r="R91" s="6">
        <v>282</v>
      </c>
      <c r="S91" s="6">
        <v>445</v>
      </c>
      <c r="T91" s="6">
        <v>849</v>
      </c>
      <c r="U91" s="6">
        <v>602</v>
      </c>
      <c r="V91" s="6">
        <v>738</v>
      </c>
      <c r="W91" s="6">
        <v>794</v>
      </c>
      <c r="X91" s="6">
        <f>[14]Recruit!$J$37</f>
        <v>761</v>
      </c>
      <c r="Y91" s="6">
        <f>[24]Recruit!$J$37</f>
        <v>793</v>
      </c>
      <c r="Z91" s="6">
        <f>[15]Recruit!$J$37</f>
        <v>1010</v>
      </c>
      <c r="AA91" s="22">
        <f>SUM(O91:INDEX(O91:Z91,$B$2))</f>
        <v>2753</v>
      </c>
      <c r="AB91" s="22">
        <f>SUM(O91:Q91)</f>
        <v>575</v>
      </c>
      <c r="AC91" s="22">
        <f>SUM(R91:T91)</f>
        <v>1576</v>
      </c>
      <c r="AD91" s="22">
        <f>SUM(U91:W91)</f>
        <v>2134</v>
      </c>
      <c r="AE91" s="22">
        <f>SUM(X91:Z91)</f>
        <v>2564</v>
      </c>
      <c r="AF91" s="22">
        <f>SUM(C91                                                                                : INDEX(C91:N91,$B$2))</f>
        <v>1405</v>
      </c>
      <c r="AG91" s="22">
        <f t="shared" si="266"/>
        <v>509</v>
      </c>
      <c r="AH91" s="22">
        <f t="shared" si="267"/>
        <v>656</v>
      </c>
      <c r="AI91" s="22">
        <f t="shared" si="268"/>
        <v>748</v>
      </c>
      <c r="AJ91" s="22">
        <f t="shared" si="269"/>
        <v>1011</v>
      </c>
      <c r="AK91" s="31">
        <f t="shared" ref="AK91:AK92" si="274">AA91/AF91-1</f>
        <v>0.95943060498220634</v>
      </c>
      <c r="AL91" s="31">
        <f t="shared" si="270"/>
        <v>0.12966601178781922</v>
      </c>
      <c r="AM91" s="31">
        <f t="shared" si="270"/>
        <v>1.4024390243902438</v>
      </c>
      <c r="AN91" s="31">
        <f t="shared" si="270"/>
        <v>1.8529411764705883</v>
      </c>
      <c r="AO91" s="31">
        <f>AE91/SUM(L91:INDEX(L91:N91,MOD($B$2,3)))-1</f>
        <v>9.4227642276422756</v>
      </c>
      <c r="AP91" s="18">
        <f>[16]Recruit!$J$37</f>
        <v>281</v>
      </c>
      <c r="AQ91" s="18">
        <f>[17]Recruit!$J$37</f>
        <v>597</v>
      </c>
      <c r="AR91" s="18">
        <f>[18]Recruit!$J$37</f>
        <v>823</v>
      </c>
      <c r="AS91" s="18">
        <f>[19]Recruit!$J$37</f>
        <v>633</v>
      </c>
      <c r="AT91" s="18">
        <f>[20]Recruit!$J$37</f>
        <v>565</v>
      </c>
      <c r="AU91" s="18">
        <f>[21]Recruit!$J$37</f>
        <v>1292</v>
      </c>
      <c r="AV91" s="18">
        <f>[22]Recruit!$J$37</f>
        <v>794</v>
      </c>
      <c r="AW91" s="18"/>
      <c r="AX91" s="18"/>
      <c r="AY91" s="18"/>
      <c r="AZ91" s="18"/>
      <c r="BA91" s="18"/>
      <c r="BB91" s="110">
        <f>SUM(AP91:INDEX(AP91:AR91,IF($B$2&lt;3,$B$2,3)))</f>
        <v>1701</v>
      </c>
      <c r="BC91" s="110">
        <f>SUM(AS91:INDEX(AS91:AU91,IF(AND($B$2&gt;3,B89&lt;7),$B$2-3,0)))</f>
        <v>2490</v>
      </c>
      <c r="BD91" s="110">
        <f>SUM(AV91:INDEX(AV91:AX91,IF(AND($B$2&gt;6,$B$2&lt;10),$B$2-6,0)))</f>
        <v>794</v>
      </c>
      <c r="BE91" s="110">
        <f>SUM(AY91:INDEX(AY91:BA91,IF($B$2&gt;9,$B$2-9,0)))</f>
        <v>0</v>
      </c>
      <c r="BF91" s="110">
        <f>SUM($AP91:INDEX(AP91:BA91,$B$2))</f>
        <v>4985</v>
      </c>
      <c r="BG91" s="122">
        <f t="shared" si="271"/>
        <v>2.2301587301587302</v>
      </c>
      <c r="BH91" s="111">
        <f t="shared" si="271"/>
        <v>5.1465517241379306</v>
      </c>
      <c r="BI91" s="111">
        <f t="shared" si="271"/>
        <v>2.4714714714714714</v>
      </c>
      <c r="BJ91" s="111">
        <f t="shared" si="271"/>
        <v>2.2446808510638299</v>
      </c>
      <c r="BK91" s="111">
        <f t="shared" si="271"/>
        <v>1.2696629213483146</v>
      </c>
      <c r="BL91" s="111">
        <f t="shared" si="271"/>
        <v>1.5217903415783274</v>
      </c>
      <c r="BM91" s="111">
        <f t="shared" si="271"/>
        <v>1.3189368770764121</v>
      </c>
      <c r="BN91" s="111">
        <f t="shared" si="271"/>
        <v>0</v>
      </c>
      <c r="BO91" s="111">
        <f t="shared" si="271"/>
        <v>0</v>
      </c>
      <c r="BP91" s="111">
        <f t="shared" si="271"/>
        <v>0</v>
      </c>
      <c r="BQ91" s="111">
        <f t="shared" si="271"/>
        <v>0</v>
      </c>
      <c r="BR91" s="111">
        <f t="shared" si="271"/>
        <v>0</v>
      </c>
      <c r="BS91" s="111">
        <f>BB91/SUM(O91:INDEX(O91:Q91,IF($B$2&lt;3,$B$2,3)))</f>
        <v>2.9582608695652173</v>
      </c>
      <c r="BT91" s="111">
        <f>BC91/SUM(R91:INDEX(R91:T91,$C$2))</f>
        <v>8.8297872340425538</v>
      </c>
      <c r="BU91" s="111">
        <f>BD91/SUM(U91:INDEX(U91:W91,IF($B$2&lt;7,$B$2-3,IF($B$2&lt;9,$B$2-6,3))))</f>
        <v>1.3189368770764121</v>
      </c>
      <c r="BV91" s="111">
        <f t="shared" si="272"/>
        <v>0</v>
      </c>
      <c r="BW91" s="111">
        <f t="shared" si="273"/>
        <v>1.810751907010534</v>
      </c>
    </row>
    <row r="92" spans="1:75" x14ac:dyDescent="0.25">
      <c r="B92" t="s">
        <v>187</v>
      </c>
      <c r="C92" s="7">
        <f>SUM(C90:C91)</f>
        <v>224</v>
      </c>
      <c r="D92" s="7">
        <f t="shared" ref="D92:Z92" si="275">SUM(D90:D91)</f>
        <v>146</v>
      </c>
      <c r="E92" s="7">
        <f t="shared" si="275"/>
        <v>232</v>
      </c>
      <c r="F92" s="7">
        <f t="shared" si="275"/>
        <v>283</v>
      </c>
      <c r="G92" s="7">
        <f t="shared" si="275"/>
        <v>253</v>
      </c>
      <c r="H92" s="7">
        <f t="shared" si="275"/>
        <v>249</v>
      </c>
      <c r="I92" s="7">
        <f t="shared" si="275"/>
        <v>277</v>
      </c>
      <c r="J92" s="7">
        <f t="shared" si="275"/>
        <v>264</v>
      </c>
      <c r="K92" s="7">
        <f t="shared" si="275"/>
        <v>350</v>
      </c>
      <c r="L92" s="7">
        <f t="shared" si="275"/>
        <v>279</v>
      </c>
      <c r="M92" s="7">
        <f t="shared" si="275"/>
        <v>496</v>
      </c>
      <c r="N92" s="7">
        <f t="shared" si="275"/>
        <v>350</v>
      </c>
      <c r="O92" s="7">
        <f t="shared" si="275"/>
        <v>134</v>
      </c>
      <c r="P92" s="7">
        <f t="shared" si="275"/>
        <v>124</v>
      </c>
      <c r="Q92" s="7">
        <f t="shared" si="275"/>
        <v>364</v>
      </c>
      <c r="R92" s="7">
        <f t="shared" si="275"/>
        <v>339</v>
      </c>
      <c r="S92" s="7">
        <f t="shared" si="275"/>
        <v>536</v>
      </c>
      <c r="T92" s="7">
        <f t="shared" si="275"/>
        <v>985</v>
      </c>
      <c r="U92" s="7">
        <f t="shared" si="275"/>
        <v>683</v>
      </c>
      <c r="V92" s="7">
        <f t="shared" si="275"/>
        <v>822</v>
      </c>
      <c r="W92" s="7">
        <f t="shared" si="275"/>
        <v>945</v>
      </c>
      <c r="X92" s="7">
        <f t="shared" si="275"/>
        <v>883</v>
      </c>
      <c r="Y92" s="7">
        <f t="shared" si="275"/>
        <v>942</v>
      </c>
      <c r="Z92" s="7">
        <f t="shared" si="275"/>
        <v>1124</v>
      </c>
      <c r="AA92" s="7">
        <f>SUM(O92:INDEX(O92:Z92,$B$2))</f>
        <v>3165</v>
      </c>
      <c r="AB92" s="7">
        <f t="shared" ref="AB92:AE92" si="276">SUM(AB90:AB91)</f>
        <v>622</v>
      </c>
      <c r="AC92" s="7">
        <f t="shared" si="276"/>
        <v>1860</v>
      </c>
      <c r="AD92" s="7">
        <f t="shared" si="276"/>
        <v>2450</v>
      </c>
      <c r="AE92" s="7">
        <f t="shared" si="276"/>
        <v>2949</v>
      </c>
      <c r="AF92" s="7">
        <f>SUM(C92                                                                                : INDEX(C92:N92,$B$2))</f>
        <v>1664</v>
      </c>
      <c r="AG92" s="7">
        <f t="shared" si="266"/>
        <v>602</v>
      </c>
      <c r="AH92" s="7">
        <f t="shared" si="267"/>
        <v>785</v>
      </c>
      <c r="AI92" s="7">
        <f t="shared" si="268"/>
        <v>891</v>
      </c>
      <c r="AJ92" s="7">
        <f t="shared" si="269"/>
        <v>1125</v>
      </c>
      <c r="AK92" s="32">
        <f t="shared" si="274"/>
        <v>0.90204326923076916</v>
      </c>
      <c r="AL92" s="32">
        <f t="shared" si="270"/>
        <v>3.3222591362126241E-2</v>
      </c>
      <c r="AM92" s="32">
        <f t="shared" si="270"/>
        <v>1.3694267515923566</v>
      </c>
      <c r="AN92" s="32">
        <f t="shared" si="270"/>
        <v>1.7497194163860832</v>
      </c>
      <c r="AO92" s="32">
        <f>AE92/SUM(L92:INDEX(L92:N92,MOD($B$2,3)))-1</f>
        <v>9.56989247311828</v>
      </c>
      <c r="AP92" s="7">
        <f t="shared" ref="AP92:AS92" si="277">SUM(AP90:AP91)</f>
        <v>320</v>
      </c>
      <c r="AQ92" s="7">
        <f t="shared" si="277"/>
        <v>671</v>
      </c>
      <c r="AR92" s="7">
        <f t="shared" si="277"/>
        <v>861</v>
      </c>
      <c r="AS92" s="7">
        <f t="shared" si="277"/>
        <v>668</v>
      </c>
      <c r="AT92" s="7">
        <f t="shared" ref="AT92:AV92" si="278">SUM(AT90:AT91)</f>
        <v>601</v>
      </c>
      <c r="AU92" s="7">
        <f t="shared" si="278"/>
        <v>1327</v>
      </c>
      <c r="AV92" s="7">
        <f t="shared" si="278"/>
        <v>826</v>
      </c>
      <c r="AW92" s="18"/>
      <c r="AX92" s="18"/>
      <c r="AY92" s="18"/>
      <c r="AZ92" s="18"/>
      <c r="BA92" s="18"/>
      <c r="BB92" s="116">
        <f>SUM(AP92:INDEX(AP92:AR92,IF($B$2&lt;3,$B$2,3)))</f>
        <v>1852</v>
      </c>
      <c r="BC92" s="116">
        <f>SUM(AS92:INDEX(AS92:AU92,IF(AND($B$2&gt;3,B90&lt;7),$B$2-3,0)))</f>
        <v>2596</v>
      </c>
      <c r="BD92" s="116">
        <f>SUM(AV92:INDEX(AV92:AX92,IF(AND($B$2&gt;6,$B$2&lt;10),$B$2-6,0)))</f>
        <v>826</v>
      </c>
      <c r="BE92" s="116">
        <f>SUM(AY92:INDEX(AY92:BA92,IF($B$2&gt;9,$B$2-9,0)))</f>
        <v>0</v>
      </c>
      <c r="BF92" s="116">
        <f>SUM($AP92:INDEX(AP92:BA92,$B$2))</f>
        <v>5274</v>
      </c>
      <c r="BG92" s="123">
        <f t="shared" si="271"/>
        <v>2.3880597014925371</v>
      </c>
      <c r="BH92" s="118">
        <f t="shared" si="271"/>
        <v>5.411290322580645</v>
      </c>
      <c r="BI92" s="118">
        <f t="shared" si="271"/>
        <v>2.3653846153846154</v>
      </c>
      <c r="BJ92" s="118">
        <f t="shared" si="271"/>
        <v>1.9705014749262537</v>
      </c>
      <c r="BK92" s="118">
        <f t="shared" si="271"/>
        <v>1.1212686567164178</v>
      </c>
      <c r="BL92" s="118">
        <f t="shared" si="271"/>
        <v>1.3472081218274112</v>
      </c>
      <c r="BM92" s="118">
        <f t="shared" si="271"/>
        <v>1.2093704245973647</v>
      </c>
      <c r="BN92" s="118">
        <f t="shared" si="271"/>
        <v>0</v>
      </c>
      <c r="BO92" s="118">
        <f t="shared" si="271"/>
        <v>0</v>
      </c>
      <c r="BP92" s="118">
        <f t="shared" si="271"/>
        <v>0</v>
      </c>
      <c r="BQ92" s="118">
        <f t="shared" si="271"/>
        <v>0</v>
      </c>
      <c r="BR92" s="118">
        <f t="shared" si="271"/>
        <v>0</v>
      </c>
      <c r="BS92" s="118">
        <f>BB92/SUM(O92:INDEX(O92:Q92,IF($B$2&lt;3,$B$2,3)))</f>
        <v>2.977491961414791</v>
      </c>
      <c r="BT92" s="118">
        <f>BC92/SUM(R92:INDEX(R92:T92,$C$2))</f>
        <v>7.6578171091445428</v>
      </c>
      <c r="BU92" s="118">
        <f>BD92/SUM(U92:INDEX(U92:W92,IF($B$2&lt;7,$B$2-3,IF($B$2&lt;9,$B$2-6,3))))</f>
        <v>1.2093704245973647</v>
      </c>
      <c r="BV92" s="118">
        <f t="shared" si="272"/>
        <v>0</v>
      </c>
      <c r="BW92" s="118">
        <f t="shared" si="273"/>
        <v>1.666350710900474</v>
      </c>
    </row>
    <row r="93" spans="1:75" x14ac:dyDescent="0.25">
      <c r="B93" t="s">
        <v>187</v>
      </c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24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</row>
    <row r="94" spans="1:75" x14ac:dyDescent="0.25">
      <c r="B94" t="s">
        <v>187</v>
      </c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24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</row>
    <row r="95" spans="1:75" x14ac:dyDescent="0.25">
      <c r="B95" s="24" t="s">
        <v>188</v>
      </c>
      <c r="AK95" s="321" t="s">
        <v>28</v>
      </c>
      <c r="AL95" s="321"/>
      <c r="AM95" s="321"/>
      <c r="AN95" s="321"/>
      <c r="AO95" s="321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24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</row>
    <row r="96" spans="1:75" s="19" customFormat="1" x14ac:dyDescent="0.25">
      <c r="B96" s="2" t="s">
        <v>33</v>
      </c>
      <c r="C96" s="3">
        <v>42005</v>
      </c>
      <c r="D96" s="3">
        <v>42036</v>
      </c>
      <c r="E96" s="3">
        <v>42064</v>
      </c>
      <c r="F96" s="3">
        <v>42095</v>
      </c>
      <c r="G96" s="3">
        <v>42125</v>
      </c>
      <c r="H96" s="3">
        <v>42156</v>
      </c>
      <c r="I96" s="3">
        <v>42186</v>
      </c>
      <c r="J96" s="3">
        <v>42217</v>
      </c>
      <c r="K96" s="3">
        <v>42248</v>
      </c>
      <c r="L96" s="3">
        <v>42278</v>
      </c>
      <c r="M96" s="3">
        <v>42309</v>
      </c>
      <c r="N96" s="3">
        <v>42339</v>
      </c>
      <c r="O96" s="3">
        <v>42370</v>
      </c>
      <c r="P96" s="3">
        <v>42401</v>
      </c>
      <c r="Q96" s="3">
        <v>42430</v>
      </c>
      <c r="R96" s="3">
        <v>42461</v>
      </c>
      <c r="S96" s="3">
        <v>42491</v>
      </c>
      <c r="T96" s="3">
        <v>42522</v>
      </c>
      <c r="U96" s="3">
        <v>42552</v>
      </c>
      <c r="V96" s="3">
        <v>42583</v>
      </c>
      <c r="W96" s="3">
        <v>42614</v>
      </c>
      <c r="X96" s="3">
        <v>42644</v>
      </c>
      <c r="Y96" s="3">
        <v>42675</v>
      </c>
      <c r="Z96" s="3">
        <v>42705</v>
      </c>
      <c r="AA96" s="29" t="str">
        <f>$AA$89</f>
        <v>YTD 7/16</v>
      </c>
      <c r="AB96" s="29" t="s">
        <v>19</v>
      </c>
      <c r="AC96" s="29" t="s">
        <v>20</v>
      </c>
      <c r="AD96" s="29" t="s">
        <v>21</v>
      </c>
      <c r="AE96" s="29" t="s">
        <v>22</v>
      </c>
      <c r="AF96" s="26" t="s">
        <v>222</v>
      </c>
      <c r="AG96" s="26" t="s">
        <v>23</v>
      </c>
      <c r="AH96" s="26" t="s">
        <v>24</v>
      </c>
      <c r="AI96" s="26" t="s">
        <v>25</v>
      </c>
      <c r="AJ96" s="26" t="s">
        <v>26</v>
      </c>
      <c r="AK96" s="30" t="s">
        <v>27</v>
      </c>
      <c r="AL96" s="30" t="s">
        <v>29</v>
      </c>
      <c r="AM96" s="30" t="s">
        <v>30</v>
      </c>
      <c r="AN96" s="30" t="s">
        <v>31</v>
      </c>
      <c r="AO96" s="30" t="s">
        <v>32</v>
      </c>
      <c r="AP96" s="108">
        <v>42736</v>
      </c>
      <c r="AQ96" s="108">
        <v>42767</v>
      </c>
      <c r="AR96" s="108">
        <v>42795</v>
      </c>
      <c r="AS96" s="108">
        <v>42826</v>
      </c>
      <c r="AT96" s="108">
        <v>42856</v>
      </c>
      <c r="AU96" s="108">
        <v>42887</v>
      </c>
      <c r="AV96" s="108">
        <v>42917</v>
      </c>
      <c r="AW96" s="108">
        <v>42948</v>
      </c>
      <c r="AX96" s="108">
        <v>42979</v>
      </c>
      <c r="AY96" s="108">
        <v>43009</v>
      </c>
      <c r="AZ96" s="108">
        <v>43040</v>
      </c>
      <c r="BA96" s="108">
        <v>43070</v>
      </c>
      <c r="BB96" s="29" t="s">
        <v>123</v>
      </c>
      <c r="BC96" s="29" t="s">
        <v>124</v>
      </c>
      <c r="BD96" s="29" t="s">
        <v>125</v>
      </c>
      <c r="BE96" s="29" t="s">
        <v>126</v>
      </c>
      <c r="BF96" s="29" t="str">
        <f>$BF$3</f>
        <v>YTD 7/17</v>
      </c>
      <c r="BG96" s="121">
        <v>42736</v>
      </c>
      <c r="BH96" s="108">
        <v>42767</v>
      </c>
      <c r="BI96" s="108">
        <v>42795</v>
      </c>
      <c r="BJ96" s="108">
        <v>42826</v>
      </c>
      <c r="BK96" s="108">
        <v>42856</v>
      </c>
      <c r="BL96" s="108">
        <v>42887</v>
      </c>
      <c r="BM96" s="108">
        <v>42917</v>
      </c>
      <c r="BN96" s="108">
        <v>42948</v>
      </c>
      <c r="BO96" s="108">
        <v>42979</v>
      </c>
      <c r="BP96" s="108">
        <v>43009</v>
      </c>
      <c r="BQ96" s="108">
        <v>43040</v>
      </c>
      <c r="BR96" s="108">
        <v>43070</v>
      </c>
      <c r="BS96" s="29" t="s">
        <v>127</v>
      </c>
      <c r="BT96" s="29" t="s">
        <v>128</v>
      </c>
      <c r="BU96" s="29" t="s">
        <v>96</v>
      </c>
      <c r="BV96" s="29" t="s">
        <v>129</v>
      </c>
      <c r="BW96" s="112" t="s">
        <v>130</v>
      </c>
    </row>
    <row r="97" spans="1:75" x14ac:dyDescent="0.25">
      <c r="A97" s="20" t="str">
        <f>$B$96&amp;":"&amp;B97</f>
        <v>FYP:MDRT</v>
      </c>
      <c r="B97" t="s">
        <v>4</v>
      </c>
      <c r="C97" s="14">
        <f>[25]Sheet2!L6</f>
        <v>673.03800000000001</v>
      </c>
      <c r="D97" s="14">
        <f>[25]Sheet2!M6</f>
        <v>225.52699999999999</v>
      </c>
      <c r="E97" s="14">
        <f>[25]Sheet2!N6</f>
        <v>1937.2429999999999</v>
      </c>
      <c r="F97" s="14">
        <f>[25]Sheet2!O6</f>
        <v>827.22</v>
      </c>
      <c r="G97" s="14">
        <f>[25]Sheet2!P6</f>
        <v>599.57299999999998</v>
      </c>
      <c r="H97" s="14">
        <f>[25]Sheet2!Q6</f>
        <v>523.68200000000002</v>
      </c>
      <c r="I97" s="14">
        <f>[25]Sheet2!R6</f>
        <v>2684.6819999999998</v>
      </c>
      <c r="J97" s="14">
        <f>[25]Sheet2!S6</f>
        <v>508.12900000000002</v>
      </c>
      <c r="K97" s="14">
        <f>[25]Sheet2!T6</f>
        <v>1326.2429999999999</v>
      </c>
      <c r="L97" s="14">
        <f>[25]Sheet2!U6</f>
        <v>695.10699999999997</v>
      </c>
      <c r="M97" s="14">
        <f>[25]Sheet2!V6</f>
        <v>1316.827</v>
      </c>
      <c r="N97" s="14">
        <f>[25]Sheet2!W6</f>
        <v>3204.8004999999998</v>
      </c>
      <c r="O97" s="14">
        <f>[25]Sheet2!X6</f>
        <v>755.13900000000001</v>
      </c>
      <c r="P97" s="14">
        <f>[25]Sheet2!Y6</f>
        <v>363.15600000000001</v>
      </c>
      <c r="Q97" s="14">
        <f>[25]Sheet2!Z6</f>
        <v>774.62699999999995</v>
      </c>
      <c r="R97" s="14">
        <f>[25]Sheet2!AA6</f>
        <v>1055.442</v>
      </c>
      <c r="S97" s="14">
        <f>[25]Sheet2!AB6</f>
        <v>1161.5550000000001</v>
      </c>
      <c r="T97">
        <f>[25]Sheet2!AC6</f>
        <v>1331.558</v>
      </c>
      <c r="U97" s="6">
        <v>1003.611</v>
      </c>
      <c r="V97">
        <v>713.76</v>
      </c>
      <c r="W97">
        <v>1135.3869999999999</v>
      </c>
      <c r="X97" s="6">
        <f>[14]APE!K27</f>
        <v>537.09</v>
      </c>
      <c r="Y97" s="6">
        <f>[24]APE!K27</f>
        <v>492.32600000000002</v>
      </c>
      <c r="Z97" s="6">
        <f>[15]APE!K27</f>
        <v>1699.1655000000001</v>
      </c>
      <c r="AA97" s="22">
        <f>SUM(O97:INDEX(O97:Z97,$B$2))</f>
        <v>6445.0879999999997</v>
      </c>
      <c r="AB97" s="22">
        <f>SUM(O97:Q97)</f>
        <v>1892.922</v>
      </c>
      <c r="AC97" s="22">
        <f>SUM(R97:T97)</f>
        <v>3548.5550000000003</v>
      </c>
      <c r="AD97" s="22">
        <f>SUM(U97:W97)</f>
        <v>2852.7579999999998</v>
      </c>
      <c r="AE97" s="22">
        <f>SUM(X97:Z97)</f>
        <v>2728.5815000000002</v>
      </c>
      <c r="AF97" s="22">
        <f>SUM(C97                                                                                : INDEX(C97:N97,$B$2))</f>
        <v>7470.9650000000001</v>
      </c>
      <c r="AG97" s="22">
        <f>SUM(C97:E97)</f>
        <v>2835.808</v>
      </c>
      <c r="AH97" s="22">
        <f>SUM(F97:H97)</f>
        <v>1950.4750000000001</v>
      </c>
      <c r="AI97" s="22">
        <f>SUM(I97:K97)</f>
        <v>4519.0540000000001</v>
      </c>
      <c r="AJ97" s="22">
        <f>SUM(L97:N97)</f>
        <v>5216.7344999999996</v>
      </c>
      <c r="AK97" s="31">
        <f>AA97/AF97-1</f>
        <v>-0.13731519288338256</v>
      </c>
      <c r="AL97" s="31">
        <f t="shared" ref="AL97:AL105" si="279">AB97/AG97-1</f>
        <v>-0.33249289091504075</v>
      </c>
      <c r="AM97" s="31">
        <f t="shared" ref="AM97:AM105" si="280">AC97/AH97-1</f>
        <v>0.81932862507850657</v>
      </c>
      <c r="AN97" s="31">
        <f t="shared" ref="AN97:AN105" si="281">AD97/AI97-1</f>
        <v>-0.3687267290897609</v>
      </c>
      <c r="AO97" s="31">
        <f t="shared" ref="AO97:AO105" si="282">AE97/AJ97-1</f>
        <v>-0.47695603446945589</v>
      </c>
      <c r="AP97" s="22">
        <f>[16]APE!K27</f>
        <v>1687.2940000000001</v>
      </c>
      <c r="AQ97" s="22">
        <f>[17]APE!K27</f>
        <v>2150.1574999999998</v>
      </c>
      <c r="AR97" s="22">
        <f>[18]APE!K27</f>
        <v>2114.09</v>
      </c>
      <c r="AS97" s="22">
        <f>[19]APE!K28</f>
        <v>2062.384</v>
      </c>
      <c r="AT97" s="22">
        <f>[20]APE!K28</f>
        <v>2393.8200000000002</v>
      </c>
      <c r="AU97" s="22">
        <f>[21]APE!K28</f>
        <v>1886.73</v>
      </c>
      <c r="AV97" s="22">
        <f>[22]APE!K28</f>
        <v>1928.3249999999989</v>
      </c>
      <c r="AW97" s="18"/>
      <c r="AX97" s="18"/>
      <c r="AY97" s="18"/>
      <c r="AZ97" s="18"/>
      <c r="BA97" s="18"/>
      <c r="BB97" s="110">
        <f>SUM(AP97:INDEX(AP97:AR97,IF($B$2&lt;3,$B$2,3)))</f>
        <v>5951.5415000000003</v>
      </c>
      <c r="BC97" s="110">
        <f>SUM(AS97:INDEX(AS97:AU97,IF(AND($B$2&gt;3,$B$2&lt;7),$B$2-3,0)))</f>
        <v>6342.9339999999993</v>
      </c>
      <c r="BD97" s="110">
        <f>SUM(AV97:INDEX(AV97:AX97,IF(AND($B$2&gt;6,$B$2&lt;10),$B$2-6,0)))</f>
        <v>1928.3249999999989</v>
      </c>
      <c r="BE97" s="110">
        <f>SUM(AY97:INDEX(AY97:BA97,IF($B$2&gt;9,$B$2-9,0)))</f>
        <v>0</v>
      </c>
      <c r="BF97" s="110">
        <f>SUM($AP97:INDEX(AP97:BA97,$B$2))</f>
        <v>14222.800499999999</v>
      </c>
      <c r="BG97" s="125">
        <f>AP97/O97</f>
        <v>2.2344151209247571</v>
      </c>
      <c r="BH97" s="111">
        <f t="shared" ref="BH97:BR105" si="283">AQ97/P97</f>
        <v>5.9207544416173761</v>
      </c>
      <c r="BI97" s="111">
        <f t="shared" si="283"/>
        <v>2.7291715883902836</v>
      </c>
      <c r="BJ97" s="111">
        <f t="shared" si="283"/>
        <v>1.9540476880776017</v>
      </c>
      <c r="BK97" s="111">
        <f t="shared" si="283"/>
        <v>2.0608752921729923</v>
      </c>
      <c r="BL97" s="111">
        <f t="shared" si="283"/>
        <v>1.4169341478178195</v>
      </c>
      <c r="BM97" s="111">
        <f t="shared" si="283"/>
        <v>1.9213868720051881</v>
      </c>
      <c r="BN97" s="111">
        <f t="shared" si="283"/>
        <v>0</v>
      </c>
      <c r="BO97" s="111">
        <f t="shared" si="283"/>
        <v>0</v>
      </c>
      <c r="BP97" s="111">
        <f t="shared" si="283"/>
        <v>0</v>
      </c>
      <c r="BQ97" s="111">
        <f t="shared" si="283"/>
        <v>0</v>
      </c>
      <c r="BR97" s="111">
        <f t="shared" si="283"/>
        <v>0</v>
      </c>
      <c r="BS97" s="111">
        <f>BB97/SUM(O97:INDEX(O97:Q97,IF($B$2&lt;3,$B$2,3)))</f>
        <v>3.1441028737581371</v>
      </c>
      <c r="BT97" s="111">
        <f>BC97/SUM(R97:INDEX(R97:T97,$C$2))</f>
        <v>6.0097418901275477</v>
      </c>
      <c r="BU97" s="111">
        <f>BD97/SUM(U97:INDEX(U97:W97,$C$2))</f>
        <v>1.9213868720051881</v>
      </c>
      <c r="BV97" s="111">
        <f t="shared" ref="BV97:BV105" si="284">BE97/AE97</f>
        <v>0</v>
      </c>
      <c r="BW97" s="111">
        <f>BF97/AA97</f>
        <v>2.2067659122730365</v>
      </c>
    </row>
    <row r="98" spans="1:75" x14ac:dyDescent="0.25">
      <c r="A98" s="20" t="str">
        <f t="shared" ref="A98:A105" si="285">$B$96&amp;":"&amp;B98</f>
        <v>FYP:Rookie in month</v>
      </c>
      <c r="B98" t="s">
        <v>5</v>
      </c>
      <c r="C98" s="14">
        <f>[25]Sheet2!L7</f>
        <v>1367.6179999999999</v>
      </c>
      <c r="D98" s="14">
        <f>[25]Sheet2!M7</f>
        <v>740.48900000000003</v>
      </c>
      <c r="E98" s="14">
        <f>[25]Sheet2!N7</f>
        <v>1374.5329999999999</v>
      </c>
      <c r="F98" s="14">
        <f>[25]Sheet2!O7</f>
        <v>2474.6950000000002</v>
      </c>
      <c r="G98" s="14">
        <f>[25]Sheet2!P7</f>
        <v>1744.1355000000001</v>
      </c>
      <c r="H98" s="14">
        <f>[25]Sheet2!Q7</f>
        <v>1637.4580000000001</v>
      </c>
      <c r="I98" s="14">
        <f>[25]Sheet2!R7</f>
        <v>2592.8339999999998</v>
      </c>
      <c r="J98" s="14">
        <f>[25]Sheet2!S7</f>
        <v>1504.8530000000001</v>
      </c>
      <c r="K98" s="14">
        <f>[25]Sheet2!T7</f>
        <v>4215.3289999999997</v>
      </c>
      <c r="L98" s="14">
        <f>[25]Sheet2!U7</f>
        <v>2258.0909999999999</v>
      </c>
      <c r="M98" s="14">
        <f>[25]Sheet2!V7</f>
        <v>5982.0250000000296</v>
      </c>
      <c r="N98" s="14">
        <f>[25]Sheet2!W7</f>
        <v>3170.7759999999998</v>
      </c>
      <c r="O98" s="14">
        <f>[25]Sheet2!X7</f>
        <v>1044.7270000000001</v>
      </c>
      <c r="P98" s="14">
        <f>[25]Sheet2!Y7</f>
        <v>594.255</v>
      </c>
      <c r="Q98" s="14">
        <f>[25]Sheet2!Z7</f>
        <v>4405.8109999999997</v>
      </c>
      <c r="R98" s="14">
        <f>[25]Sheet2!AA7</f>
        <v>5134.652</v>
      </c>
      <c r="S98" s="14">
        <f>[25]Sheet2!AB7</f>
        <v>4380.3810000000003</v>
      </c>
      <c r="T98">
        <f>[25]Sheet2!AC7</f>
        <v>9662.9010000000708</v>
      </c>
      <c r="U98" s="6">
        <v>4697.0860000000102</v>
      </c>
      <c r="V98">
        <v>5519.8030000000099</v>
      </c>
      <c r="W98">
        <v>9452.6365000000496</v>
      </c>
      <c r="X98" s="6">
        <f>[14]APE!K28</f>
        <v>6514.1230000000196</v>
      </c>
      <c r="Y98" s="6">
        <f>[24]APE!K28</f>
        <v>7541.33900000005</v>
      </c>
      <c r="Z98" s="6">
        <f>[15]APE!K28</f>
        <v>15026.5985000001</v>
      </c>
      <c r="AA98" s="22">
        <f>SUM(O98:INDEX(O98:Z98,$B$2))</f>
        <v>29919.813000000082</v>
      </c>
      <c r="AB98" s="22">
        <f t="shared" ref="AB98:AB103" si="286">SUM(O98:Q98)</f>
        <v>6044.7929999999997</v>
      </c>
      <c r="AC98" s="22">
        <f t="shared" ref="AC98:AC103" si="287">SUM(R98:T98)</f>
        <v>19177.93400000007</v>
      </c>
      <c r="AD98" s="22">
        <f t="shared" ref="AD98:AD103" si="288">SUM(U98:W98)</f>
        <v>19669.525500000069</v>
      </c>
      <c r="AE98" s="22">
        <f t="shared" ref="AE98:AE103" si="289">SUM(X98:Z98)</f>
        <v>29082.060500000167</v>
      </c>
      <c r="AF98" s="22">
        <f>SUM(C98                                                                                : INDEX(C98:N98,$B$2))</f>
        <v>11931.762500000001</v>
      </c>
      <c r="AG98" s="22">
        <f t="shared" ref="AG98:AG103" si="290">SUM(C98:E98)</f>
        <v>3482.64</v>
      </c>
      <c r="AH98" s="22">
        <f t="shared" ref="AH98:AH103" si="291">SUM(F98:H98)</f>
        <v>5856.2885000000006</v>
      </c>
      <c r="AI98" s="22">
        <f t="shared" ref="AI98:AI103" si="292">SUM(I98:K98)</f>
        <v>8313.0159999999996</v>
      </c>
      <c r="AJ98" s="22">
        <f t="shared" ref="AJ98:AJ103" si="293">SUM(L98:N98)</f>
        <v>11410.892000000029</v>
      </c>
      <c r="AK98" s="31">
        <f t="shared" ref="AK98:AK105" si="294">AA98/AF98-1</f>
        <v>1.5075769820259231</v>
      </c>
      <c r="AL98" s="31">
        <f t="shared" si="279"/>
        <v>0.73569275032733783</v>
      </c>
      <c r="AM98" s="31">
        <f t="shared" si="280"/>
        <v>2.2747590901643711</v>
      </c>
      <c r="AN98" s="31">
        <f t="shared" si="281"/>
        <v>1.366111829930325</v>
      </c>
      <c r="AO98" s="31">
        <f t="shared" si="282"/>
        <v>1.5486228859233875</v>
      </c>
      <c r="AP98" s="22">
        <f>[16]APE!K28</f>
        <v>2744.444</v>
      </c>
      <c r="AQ98" s="22">
        <f>[17]APE!K28</f>
        <v>3649.1990000000101</v>
      </c>
      <c r="AR98" s="22">
        <f>[18]APE!K28</f>
        <v>9992.42</v>
      </c>
      <c r="AS98" s="22">
        <f>[19]APE!K29</f>
        <v>6493.5840000000098</v>
      </c>
      <c r="AT98" s="22">
        <f>[20]APE!K29</f>
        <v>6387.61</v>
      </c>
      <c r="AU98" s="22">
        <f>[21]APE!K29</f>
        <v>14011.94</v>
      </c>
      <c r="AV98" s="22">
        <f>[22]APE!K29</f>
        <v>7614.0160000000751</v>
      </c>
      <c r="AW98" s="18"/>
      <c r="AX98" s="18"/>
      <c r="AY98" s="18"/>
      <c r="AZ98" s="18"/>
      <c r="BA98" s="18"/>
      <c r="BB98" s="110">
        <f>SUM(AP98:INDEX(AP98:AR98,IF($B$2&lt;3,$B$2,3)))</f>
        <v>16386.063000000009</v>
      </c>
      <c r="BC98" s="110">
        <f>SUM(AS98:INDEX(AS98:AU98,IF(AND($B$2&gt;3,$B$2&lt;7),$B$2-3,0)))</f>
        <v>26893.134000000013</v>
      </c>
      <c r="BD98" s="110">
        <f>SUM(AV98:INDEX(AV98:AX98,IF(AND($B$2&gt;6,$B$2&lt;10),$B$2-6,0)))</f>
        <v>7614.0160000000751</v>
      </c>
      <c r="BE98" s="110">
        <f>SUM(AY98:INDEX(AY98:BA98,IF($B$2&gt;9,$B$2-9,0)))</f>
        <v>0</v>
      </c>
      <c r="BF98" s="110">
        <f>SUM($AP98:INDEX(AP98:BA98,$B$2))</f>
        <v>50893.213000000098</v>
      </c>
      <c r="BG98" s="125">
        <f t="shared" ref="BG98:BG105" si="295">AP98/O98</f>
        <v>2.6269484755347565</v>
      </c>
      <c r="BH98" s="111">
        <f t="shared" si="283"/>
        <v>6.1407964594324156</v>
      </c>
      <c r="BI98" s="111">
        <f t="shared" si="283"/>
        <v>2.2680092269051033</v>
      </c>
      <c r="BJ98" s="111">
        <f t="shared" si="283"/>
        <v>1.2646590265513631</v>
      </c>
      <c r="BK98" s="111">
        <f t="shared" si="283"/>
        <v>1.4582316013150451</v>
      </c>
      <c r="BL98" s="111">
        <f t="shared" si="283"/>
        <v>1.4500759140551991</v>
      </c>
      <c r="BM98" s="111">
        <f t="shared" si="283"/>
        <v>1.6210084294816103</v>
      </c>
      <c r="BN98" s="111">
        <f t="shared" si="283"/>
        <v>0</v>
      </c>
      <c r="BO98" s="111">
        <f t="shared" si="283"/>
        <v>0</v>
      </c>
      <c r="BP98" s="111">
        <f t="shared" si="283"/>
        <v>0</v>
      </c>
      <c r="BQ98" s="111">
        <f t="shared" si="283"/>
        <v>0</v>
      </c>
      <c r="BR98" s="111">
        <f t="shared" si="283"/>
        <v>0</v>
      </c>
      <c r="BS98" s="111">
        <f>BB98/SUM(O98:INDEX(O98:Q98,IF($B$2&lt;3,$B$2,3)))</f>
        <v>2.7107732225073731</v>
      </c>
      <c r="BT98" s="111">
        <f>BC98/SUM(R98:INDEX(R98:T98,$C$2))</f>
        <v>5.2375767627484811</v>
      </c>
      <c r="BU98" s="111">
        <f>BD98/SUM(U98:INDEX(U98:W98,$C$2))</f>
        <v>1.6210084294816103</v>
      </c>
      <c r="BV98" s="111">
        <f t="shared" si="284"/>
        <v>0</v>
      </c>
      <c r="BW98" s="111">
        <f t="shared" ref="BW98:BW105" si="296">BF98/AA98</f>
        <v>1.7009870014896136</v>
      </c>
    </row>
    <row r="99" spans="1:75" x14ac:dyDescent="0.25">
      <c r="A99" s="20" t="str">
        <f t="shared" si="285"/>
        <v>FYP:Rookie last month</v>
      </c>
      <c r="B99" t="s">
        <v>6</v>
      </c>
      <c r="C99" s="14">
        <f>[25]Sheet2!L8</f>
        <v>839.61</v>
      </c>
      <c r="D99" s="14">
        <f>[25]Sheet2!M8</f>
        <v>971.577</v>
      </c>
      <c r="E99" s="14">
        <f>[25]Sheet2!N8</f>
        <v>1126.9590000000001</v>
      </c>
      <c r="F99" s="14">
        <f>[25]Sheet2!O8</f>
        <v>1070.1110000000001</v>
      </c>
      <c r="G99" s="14">
        <f>[25]Sheet2!P8</f>
        <v>1567.7805000000001</v>
      </c>
      <c r="H99" s="14">
        <f>[25]Sheet2!Q8</f>
        <v>1537.37</v>
      </c>
      <c r="I99" s="14">
        <f>[25]Sheet2!R8</f>
        <v>1841.1880000000001</v>
      </c>
      <c r="J99" s="14">
        <f>[25]Sheet2!S8</f>
        <v>1357.1469999999999</v>
      </c>
      <c r="K99" s="14">
        <f>[25]Sheet2!T8</f>
        <v>2503.2579999999998</v>
      </c>
      <c r="L99" s="14">
        <f>[25]Sheet2!U8</f>
        <v>2792.973</v>
      </c>
      <c r="M99" s="14">
        <f>[25]Sheet2!V8</f>
        <v>1628.165</v>
      </c>
      <c r="N99" s="14">
        <f>[25]Sheet2!W8</f>
        <v>5124.8200000000197</v>
      </c>
      <c r="O99" s="14">
        <f>[25]Sheet2!X8</f>
        <v>811.64300000000003</v>
      </c>
      <c r="P99" s="14">
        <f>[25]Sheet2!Y8</f>
        <v>733.62300000000005</v>
      </c>
      <c r="Q99" s="14">
        <f>[25]Sheet2!Z8</f>
        <v>488.98200000000003</v>
      </c>
      <c r="R99" s="14">
        <f>[25]Sheet2!AA8</f>
        <v>1419.0409999999999</v>
      </c>
      <c r="S99" s="14">
        <f>[25]Sheet2!AB8</f>
        <v>1679.569</v>
      </c>
      <c r="T99">
        <f>[25]Sheet2!AC8</f>
        <v>4216.5190000000002</v>
      </c>
      <c r="U99" s="6">
        <v>3313.0340000000001</v>
      </c>
      <c r="V99">
        <v>2753.8049999999998</v>
      </c>
      <c r="W99">
        <v>5546.1960000000199</v>
      </c>
      <c r="X99" s="6">
        <f>[14]APE!K29</f>
        <v>3774.4920000000002</v>
      </c>
      <c r="Y99" s="6">
        <f>[24]APE!K29</f>
        <v>3899.4929999999999</v>
      </c>
      <c r="Z99" s="6">
        <f>[15]APE!K29</f>
        <v>6393.7850000000299</v>
      </c>
      <c r="AA99" s="22">
        <f>SUM(O99:INDEX(O99:Z99,$B$2))</f>
        <v>12662.411</v>
      </c>
      <c r="AB99" s="22">
        <f t="shared" si="286"/>
        <v>2034.248</v>
      </c>
      <c r="AC99" s="22">
        <f t="shared" si="287"/>
        <v>7315.1289999999999</v>
      </c>
      <c r="AD99" s="22">
        <f t="shared" si="288"/>
        <v>11613.03500000002</v>
      </c>
      <c r="AE99" s="22">
        <f t="shared" si="289"/>
        <v>14067.77000000003</v>
      </c>
      <c r="AF99" s="22">
        <f>SUM(C99                                                                                : INDEX(C99:N99,$B$2))</f>
        <v>8954.5954999999994</v>
      </c>
      <c r="AG99" s="22">
        <f t="shared" si="290"/>
        <v>2938.1459999999997</v>
      </c>
      <c r="AH99" s="22">
        <f t="shared" si="291"/>
        <v>4175.2615000000005</v>
      </c>
      <c r="AI99" s="22">
        <f t="shared" si="292"/>
        <v>5701.5929999999998</v>
      </c>
      <c r="AJ99" s="22">
        <f t="shared" si="293"/>
        <v>9545.9580000000205</v>
      </c>
      <c r="AK99" s="31">
        <f t="shared" si="294"/>
        <v>0.41406845233824363</v>
      </c>
      <c r="AL99" s="31">
        <f t="shared" si="279"/>
        <v>-0.30764230232262102</v>
      </c>
      <c r="AM99" s="31">
        <f t="shared" si="280"/>
        <v>0.75201696947604346</v>
      </c>
      <c r="AN99" s="31">
        <f t="shared" si="281"/>
        <v>1.0368053279145002</v>
      </c>
      <c r="AO99" s="31">
        <f t="shared" si="282"/>
        <v>0.47368865440220875</v>
      </c>
      <c r="AP99" s="22">
        <f>[16]APE!K29</f>
        <v>2254.7399999999998</v>
      </c>
      <c r="AQ99" s="22">
        <f>[17]APE!K29</f>
        <v>1543.393</v>
      </c>
      <c r="AR99" s="22">
        <f>[18]APE!K29</f>
        <v>3691.16</v>
      </c>
      <c r="AS99" s="22">
        <f>[19]APE!K30</f>
        <v>3868.163</v>
      </c>
      <c r="AT99" s="22">
        <f>[20]APE!K30</f>
        <v>2801.18</v>
      </c>
      <c r="AU99" s="22">
        <f>[21]APE!K30</f>
        <v>2103.4</v>
      </c>
      <c r="AV99" s="22">
        <f>[22]APE!K30</f>
        <v>3269.7989999999968</v>
      </c>
      <c r="AW99" s="18"/>
      <c r="AX99" s="18"/>
      <c r="AY99" s="18"/>
      <c r="AZ99" s="18"/>
      <c r="BA99" s="18"/>
      <c r="BB99" s="110">
        <f>SUM(AP99:INDEX(AP99:AR99,IF($B$2&lt;3,$B$2,3)))</f>
        <v>7489.2929999999997</v>
      </c>
      <c r="BC99" s="110">
        <f>SUM(AS99:INDEX(AS99:AU99,IF(AND($B$2&gt;3,$B$2&lt;7),$B$2-3,0)))</f>
        <v>8772.7430000000004</v>
      </c>
      <c r="BD99" s="110">
        <f>SUM(AV99:INDEX(AV99:AX99,IF(AND($B$2&gt;6,$B$2&lt;10),$B$2-6,0)))</f>
        <v>3269.7989999999968</v>
      </c>
      <c r="BE99" s="110">
        <f>SUM(AY99:INDEX(AY99:BA99,IF($B$2&gt;9,$B$2-9,0)))</f>
        <v>0</v>
      </c>
      <c r="BF99" s="110">
        <f>SUM($AP99:INDEX(AP99:BA99,$B$2))</f>
        <v>19531.834999999995</v>
      </c>
      <c r="BG99" s="125">
        <f t="shared" si="295"/>
        <v>2.7779947587794136</v>
      </c>
      <c r="BH99" s="111">
        <f t="shared" si="283"/>
        <v>2.1037958188333787</v>
      </c>
      <c r="BI99" s="111">
        <f t="shared" si="283"/>
        <v>7.5486623229484922</v>
      </c>
      <c r="BJ99" s="111">
        <f t="shared" si="283"/>
        <v>2.7258993926179724</v>
      </c>
      <c r="BK99" s="111">
        <f t="shared" si="283"/>
        <v>1.6677969169471454</v>
      </c>
      <c r="BL99" s="111">
        <f t="shared" si="283"/>
        <v>0.49884750904715475</v>
      </c>
      <c r="BM99" s="111">
        <f t="shared" si="283"/>
        <v>0.98695002828223211</v>
      </c>
      <c r="BN99" s="111">
        <f t="shared" si="283"/>
        <v>0</v>
      </c>
      <c r="BO99" s="111">
        <f t="shared" si="283"/>
        <v>0</v>
      </c>
      <c r="BP99" s="111">
        <f t="shared" si="283"/>
        <v>0</v>
      </c>
      <c r="BQ99" s="111">
        <f t="shared" si="283"/>
        <v>0</v>
      </c>
      <c r="BR99" s="111">
        <f t="shared" si="283"/>
        <v>0</v>
      </c>
      <c r="BS99" s="111">
        <f>BB99/SUM(O99:INDEX(O99:Q99,IF($B$2&lt;3,$B$2,3)))</f>
        <v>3.6816027347698017</v>
      </c>
      <c r="BT99" s="111">
        <f>BC99/SUM(R99:INDEX(R99:T99,$C$2))</f>
        <v>6.1821631651234892</v>
      </c>
      <c r="BU99" s="111">
        <f>BD99/SUM(U99:INDEX(U99:W99,$C$2))</f>
        <v>0.98695002828223211</v>
      </c>
      <c r="BV99" s="111">
        <f t="shared" si="284"/>
        <v>0</v>
      </c>
      <c r="BW99" s="111">
        <f t="shared" si="296"/>
        <v>1.5425052148441554</v>
      </c>
    </row>
    <row r="100" spans="1:75" x14ac:dyDescent="0.25">
      <c r="A100" s="20" t="str">
        <f t="shared" si="285"/>
        <v>FYP:2-3 months</v>
      </c>
      <c r="B100" t="s">
        <v>7</v>
      </c>
      <c r="C100" s="14">
        <f>[25]Sheet2!L9</f>
        <v>1092.3879999999999</v>
      </c>
      <c r="D100" s="14">
        <f>[25]Sheet2!M9</f>
        <v>876.43200000000002</v>
      </c>
      <c r="E100" s="14">
        <f>[25]Sheet2!N9</f>
        <v>1594.164</v>
      </c>
      <c r="F100" s="14">
        <f>[25]Sheet2!O9</f>
        <v>986.51099999999997</v>
      </c>
      <c r="G100" s="14">
        <f>[25]Sheet2!P9</f>
        <v>960.32299999999998</v>
      </c>
      <c r="H100" s="14">
        <f>[25]Sheet2!Q9</f>
        <v>2113.9740000000002</v>
      </c>
      <c r="I100" s="14">
        <f>[25]Sheet2!R9</f>
        <v>2130.625</v>
      </c>
      <c r="J100" s="14">
        <f>[25]Sheet2!S9</f>
        <v>1108.345</v>
      </c>
      <c r="K100" s="14">
        <f>[25]Sheet2!T9</f>
        <v>3265.096</v>
      </c>
      <c r="L100" s="14">
        <f>[25]Sheet2!U9</f>
        <v>2456.33</v>
      </c>
      <c r="M100" s="14">
        <f>[25]Sheet2!V9</f>
        <v>4300.9849999999997</v>
      </c>
      <c r="N100" s="14">
        <f>[25]Sheet2!W9</f>
        <v>3604.2489999999998</v>
      </c>
      <c r="O100" s="14">
        <f>[25]Sheet2!X9</f>
        <v>1211.4739999999999</v>
      </c>
      <c r="P100" s="14">
        <f>[25]Sheet2!Y9</f>
        <v>1786.569</v>
      </c>
      <c r="Q100" s="14">
        <f>[25]Sheet2!Z9</f>
        <v>2730.4490000000001</v>
      </c>
      <c r="R100" s="14">
        <f>[25]Sheet2!AA9</f>
        <v>1252.002</v>
      </c>
      <c r="S100" s="14">
        <f>[25]Sheet2!AB9</f>
        <v>1709.058</v>
      </c>
      <c r="T100">
        <f>[25]Sheet2!AC9</f>
        <v>3072.9389999999999</v>
      </c>
      <c r="U100" s="6">
        <v>2625.3980000000001</v>
      </c>
      <c r="V100">
        <v>3777.9270000000001</v>
      </c>
      <c r="W100">
        <v>6339.4714999999997</v>
      </c>
      <c r="X100" s="6">
        <f>[14]APE!K30</f>
        <v>3699.9609999999998</v>
      </c>
      <c r="Y100" s="6">
        <f>[24]APE!K30</f>
        <v>3926.4920000000002</v>
      </c>
      <c r="Z100" s="6">
        <f>[15]APE!K30</f>
        <v>7347.9360000000297</v>
      </c>
      <c r="AA100" s="22">
        <f>SUM(O100:INDEX(O100:Z100,$B$2))</f>
        <v>14387.888999999999</v>
      </c>
      <c r="AB100" s="22">
        <f t="shared" si="286"/>
        <v>5728.4920000000002</v>
      </c>
      <c r="AC100" s="22">
        <f t="shared" si="287"/>
        <v>6033.9989999999998</v>
      </c>
      <c r="AD100" s="22">
        <f t="shared" si="288"/>
        <v>12742.7965</v>
      </c>
      <c r="AE100" s="22">
        <f t="shared" si="289"/>
        <v>14974.389000000028</v>
      </c>
      <c r="AF100" s="22">
        <f>SUM(C100                                                                                : INDEX(C100:N100,$B$2))</f>
        <v>9754.4170000000013</v>
      </c>
      <c r="AG100" s="22">
        <f t="shared" si="290"/>
        <v>3562.9839999999999</v>
      </c>
      <c r="AH100" s="22">
        <f t="shared" si="291"/>
        <v>4060.808</v>
      </c>
      <c r="AI100" s="22">
        <f t="shared" si="292"/>
        <v>6504.0660000000007</v>
      </c>
      <c r="AJ100" s="22">
        <f t="shared" si="293"/>
        <v>10361.563999999998</v>
      </c>
      <c r="AK100" s="31">
        <f t="shared" si="294"/>
        <v>0.47501270450094535</v>
      </c>
      <c r="AL100" s="31">
        <f t="shared" si="279"/>
        <v>0.60777932205140428</v>
      </c>
      <c r="AM100" s="31">
        <f t="shared" si="280"/>
        <v>0.48591093201156021</v>
      </c>
      <c r="AN100" s="31">
        <f t="shared" si="281"/>
        <v>0.95920467289231048</v>
      </c>
      <c r="AO100" s="31">
        <f t="shared" si="282"/>
        <v>0.44518617073638977</v>
      </c>
      <c r="AP100" s="22">
        <f>[16]APE!K30</f>
        <v>3424.9974999999999</v>
      </c>
      <c r="AQ100" s="22">
        <f>[17]APE!K30</f>
        <v>5209.3430000000199</v>
      </c>
      <c r="AR100" s="22">
        <f>[18]APE!K30</f>
        <v>4190.08</v>
      </c>
      <c r="AS100" s="22">
        <f>[19]APE!K31</f>
        <v>3066.2719999999999</v>
      </c>
      <c r="AT100" s="22">
        <f>[20]APE!K31</f>
        <v>3408.23</v>
      </c>
      <c r="AU100" s="22">
        <f>[21]APE!K31</f>
        <v>2760.19</v>
      </c>
      <c r="AV100" s="22">
        <f>[22]APE!K31</f>
        <v>3090.080499999995</v>
      </c>
      <c r="AW100" s="18"/>
      <c r="AX100" s="18"/>
      <c r="AY100" s="18"/>
      <c r="AZ100" s="18"/>
      <c r="BA100" s="18"/>
      <c r="BB100" s="110">
        <f>SUM(AP100:INDEX(AP100:AR100,IF($B$2&lt;3,$B$2,3)))</f>
        <v>12824.42050000002</v>
      </c>
      <c r="BC100" s="110">
        <f>SUM(AS100:INDEX(AS100:AU100,IF(AND($B$2&gt;3,$B$2&lt;7),$B$2-3,0)))</f>
        <v>9234.6920000000009</v>
      </c>
      <c r="BD100" s="110">
        <f>SUM(AV100:INDEX(AV100:AX100,IF(AND($B$2&gt;6,$B$2&lt;10),$B$2-6,0)))</f>
        <v>3090.080499999995</v>
      </c>
      <c r="BE100" s="110">
        <f>SUM(AY100:INDEX(AY100:BA100,IF($B$2&gt;9,$B$2-9,0)))</f>
        <v>0</v>
      </c>
      <c r="BF100" s="110">
        <f>SUM($AP100:INDEX(AP100:BA100,$B$2))</f>
        <v>25149.193000000014</v>
      </c>
      <c r="BG100" s="125">
        <f t="shared" si="295"/>
        <v>2.8271324848903072</v>
      </c>
      <c r="BH100" s="111">
        <f t="shared" si="283"/>
        <v>2.9158364440444338</v>
      </c>
      <c r="BI100" s="111">
        <f t="shared" si="283"/>
        <v>1.5345754489463088</v>
      </c>
      <c r="BJ100" s="111">
        <f t="shared" si="283"/>
        <v>2.4490951292410075</v>
      </c>
      <c r="BK100" s="111">
        <f t="shared" si="283"/>
        <v>1.9942155269159971</v>
      </c>
      <c r="BL100" s="111">
        <f t="shared" si="283"/>
        <v>0.89822479391878596</v>
      </c>
      <c r="BM100" s="111">
        <f t="shared" si="283"/>
        <v>1.1769950689381172</v>
      </c>
      <c r="BN100" s="111">
        <f t="shared" si="283"/>
        <v>0</v>
      </c>
      <c r="BO100" s="111">
        <f t="shared" si="283"/>
        <v>0</v>
      </c>
      <c r="BP100" s="111">
        <f t="shared" si="283"/>
        <v>0</v>
      </c>
      <c r="BQ100" s="111">
        <f t="shared" si="283"/>
        <v>0</v>
      </c>
      <c r="BR100" s="111">
        <f t="shared" si="283"/>
        <v>0</v>
      </c>
      <c r="BS100" s="111">
        <f>BB100/SUM(O100:INDEX(O100:Q100,IF($B$2&lt;3,$B$2,3)))</f>
        <v>2.2387079357010569</v>
      </c>
      <c r="BT100" s="111">
        <f>BC100/SUM(R100:INDEX(R100:T100,$C$2))</f>
        <v>7.3759402940250904</v>
      </c>
      <c r="BU100" s="111">
        <f>BD100/SUM(U100:INDEX(U100:W100,$C$2))</f>
        <v>1.1769950689381172</v>
      </c>
      <c r="BV100" s="111">
        <f t="shared" si="284"/>
        <v>0</v>
      </c>
      <c r="BW100" s="111">
        <f t="shared" si="296"/>
        <v>1.7479418280193859</v>
      </c>
    </row>
    <row r="101" spans="1:75" x14ac:dyDescent="0.25">
      <c r="A101" s="20" t="str">
        <f t="shared" si="285"/>
        <v>FYP:4 - 6 mths</v>
      </c>
      <c r="B101" t="s">
        <v>8</v>
      </c>
      <c r="C101" s="14">
        <f>[25]Sheet2!L10</f>
        <v>529.53200000000004</v>
      </c>
      <c r="D101" s="14">
        <f>[25]Sheet2!M10</f>
        <v>443.279</v>
      </c>
      <c r="E101" s="14">
        <f>[25]Sheet2!N10</f>
        <v>937.19</v>
      </c>
      <c r="F101" s="14">
        <f>[25]Sheet2!O10</f>
        <v>2338.2334999999998</v>
      </c>
      <c r="G101" s="14">
        <f>[25]Sheet2!P10</f>
        <v>1382.296</v>
      </c>
      <c r="H101" s="14">
        <f>[25]Sheet2!Q10</f>
        <v>1151.614</v>
      </c>
      <c r="I101" s="14">
        <f>[25]Sheet2!R10</f>
        <v>1384.9860000000001</v>
      </c>
      <c r="J101" s="14">
        <f>[25]Sheet2!S10</f>
        <v>848.61699999999996</v>
      </c>
      <c r="K101" s="14">
        <f>[25]Sheet2!T10</f>
        <v>2056.1945000000001</v>
      </c>
      <c r="L101" s="14">
        <f>[25]Sheet2!U10</f>
        <v>1323.0015000000001</v>
      </c>
      <c r="M101" s="14">
        <f>[25]Sheet2!V10</f>
        <v>2989.585</v>
      </c>
      <c r="N101" s="14">
        <f>[25]Sheet2!W10</f>
        <v>3389.16</v>
      </c>
      <c r="O101" s="14">
        <f>[25]Sheet2!X10</f>
        <v>1480.9929999999999</v>
      </c>
      <c r="P101" s="14">
        <f>[25]Sheet2!Y10</f>
        <v>1156.4369999999999</v>
      </c>
      <c r="Q101" s="14">
        <f>[25]Sheet2!Z10</f>
        <v>3256.3330000000001</v>
      </c>
      <c r="R101" s="14">
        <f>[25]Sheet2!AA10</f>
        <v>1253.287</v>
      </c>
      <c r="S101" s="14">
        <f>[25]Sheet2!AB10</f>
        <v>1410.527</v>
      </c>
      <c r="T101">
        <f>[25]Sheet2!AC10</f>
        <v>1159.6510000000001</v>
      </c>
      <c r="U101" s="6">
        <v>1048.559</v>
      </c>
      <c r="V101">
        <v>1399.44</v>
      </c>
      <c r="W101">
        <v>2196.5475000000001</v>
      </c>
      <c r="X101" s="6">
        <f>[14]APE!K31</f>
        <v>2881.6950000000002</v>
      </c>
      <c r="Y101" s="6">
        <f>[24]APE!K31</f>
        <v>2638.5010000000002</v>
      </c>
      <c r="Z101" s="6">
        <f>[15]APE!K31</f>
        <v>6625.0630000000201</v>
      </c>
      <c r="AA101" s="22">
        <f>SUM(O101:INDEX(O101:Z101,$B$2))</f>
        <v>10765.787</v>
      </c>
      <c r="AB101" s="22">
        <f t="shared" si="286"/>
        <v>5893.7629999999999</v>
      </c>
      <c r="AC101" s="22">
        <f t="shared" si="287"/>
        <v>3823.4650000000001</v>
      </c>
      <c r="AD101" s="22">
        <f t="shared" si="288"/>
        <v>4644.5465000000004</v>
      </c>
      <c r="AE101" s="22">
        <f t="shared" si="289"/>
        <v>12145.25900000002</v>
      </c>
      <c r="AF101" s="22">
        <f>SUM(C101                                                                                : INDEX(C101:N101,$B$2))</f>
        <v>8167.1305000000002</v>
      </c>
      <c r="AG101" s="22">
        <f t="shared" si="290"/>
        <v>1910.0010000000002</v>
      </c>
      <c r="AH101" s="22">
        <f t="shared" si="291"/>
        <v>4872.1435000000001</v>
      </c>
      <c r="AI101" s="22">
        <f t="shared" si="292"/>
        <v>4289.7975000000006</v>
      </c>
      <c r="AJ101" s="22">
        <f t="shared" si="293"/>
        <v>7701.7465000000002</v>
      </c>
      <c r="AK101" s="31">
        <f t="shared" si="294"/>
        <v>0.31818476513874727</v>
      </c>
      <c r="AL101" s="31">
        <f t="shared" si="279"/>
        <v>2.0857381750061905</v>
      </c>
      <c r="AM101" s="31">
        <f t="shared" si="280"/>
        <v>-0.21523965786311505</v>
      </c>
      <c r="AN101" s="31">
        <f t="shared" si="281"/>
        <v>8.2695978073556997E-2</v>
      </c>
      <c r="AO101" s="31">
        <f t="shared" si="282"/>
        <v>0.57694868300326685</v>
      </c>
      <c r="AP101" s="22">
        <f>[16]APE!K31</f>
        <v>1760.8865000000001</v>
      </c>
      <c r="AQ101" s="22">
        <f>[17]APE!K31</f>
        <v>2975.2559999999999</v>
      </c>
      <c r="AR101" s="22">
        <f>[18]APE!K31</f>
        <v>4736.33</v>
      </c>
      <c r="AS101" s="22">
        <f>[19]APE!K32</f>
        <v>4115.96</v>
      </c>
      <c r="AT101" s="22">
        <f>[20]APE!K32</f>
        <v>3040.16</v>
      </c>
      <c r="AU101" s="22">
        <f>[21]APE!K32</f>
        <v>1943.25</v>
      </c>
      <c r="AV101" s="22">
        <f>[22]APE!K32</f>
        <v>2035.2569999999985</v>
      </c>
      <c r="AW101" s="18"/>
      <c r="AX101" s="18"/>
      <c r="AY101" s="18"/>
      <c r="AZ101" s="18"/>
      <c r="BA101" s="18"/>
      <c r="BB101" s="110">
        <f>SUM(AP101:INDEX(AP101:AR101,IF($B$2&lt;3,$B$2,3)))</f>
        <v>9472.4724999999999</v>
      </c>
      <c r="BC101" s="110">
        <f>SUM(AS101:INDEX(AS101:AU101,IF(AND($B$2&gt;3,$B$2&lt;7),$B$2-3,0)))</f>
        <v>9099.369999999999</v>
      </c>
      <c r="BD101" s="110">
        <f>SUM(AV101:INDEX(AV101:AX101,IF(AND($B$2&gt;6,$B$2&lt;10),$B$2-6,0)))</f>
        <v>2035.2569999999985</v>
      </c>
      <c r="BE101" s="110">
        <f>SUM(AY101:INDEX(AY101:BA101,IF($B$2&gt;9,$B$2-9,0)))</f>
        <v>0</v>
      </c>
      <c r="BF101" s="110">
        <f>SUM($AP101:INDEX(AP101:BA101,$B$2))</f>
        <v>20607.099499999997</v>
      </c>
      <c r="BG101" s="125">
        <f t="shared" si="295"/>
        <v>1.1889904273686642</v>
      </c>
      <c r="BH101" s="111">
        <f t="shared" si="283"/>
        <v>2.5727782836419104</v>
      </c>
      <c r="BI101" s="111">
        <f t="shared" si="283"/>
        <v>1.4544980504143772</v>
      </c>
      <c r="BJ101" s="111">
        <f t="shared" si="283"/>
        <v>3.2841320463708632</v>
      </c>
      <c r="BK101" s="111">
        <f t="shared" si="283"/>
        <v>2.1553362679338997</v>
      </c>
      <c r="BL101" s="111">
        <f t="shared" si="283"/>
        <v>1.6757196777306276</v>
      </c>
      <c r="BM101" s="111">
        <f t="shared" si="283"/>
        <v>1.941003796639005</v>
      </c>
      <c r="BN101" s="111">
        <f t="shared" si="283"/>
        <v>0</v>
      </c>
      <c r="BO101" s="111">
        <f t="shared" si="283"/>
        <v>0</v>
      </c>
      <c r="BP101" s="111">
        <f t="shared" si="283"/>
        <v>0</v>
      </c>
      <c r="BQ101" s="111">
        <f t="shared" si="283"/>
        <v>0</v>
      </c>
      <c r="BR101" s="111">
        <f t="shared" si="283"/>
        <v>0</v>
      </c>
      <c r="BS101" s="111">
        <f>BB101/SUM(O101:INDEX(O101:Q101,IF($B$2&lt;3,$B$2,3)))</f>
        <v>1.6072028176226292</v>
      </c>
      <c r="BT101" s="111">
        <f>BC101/SUM(R101:INDEX(R101:T101,$C$2))</f>
        <v>7.2604040415323858</v>
      </c>
      <c r="BU101" s="111">
        <f>BD101/SUM(U101:INDEX(U101:W101,$C$2))</f>
        <v>1.941003796639005</v>
      </c>
      <c r="BV101" s="111">
        <f t="shared" si="284"/>
        <v>0</v>
      </c>
      <c r="BW101" s="111">
        <f t="shared" si="296"/>
        <v>1.9141284794135345</v>
      </c>
    </row>
    <row r="102" spans="1:75" x14ac:dyDescent="0.25">
      <c r="A102" s="20" t="str">
        <f t="shared" si="285"/>
        <v>FYP:7-12mth</v>
      </c>
      <c r="B102" t="s">
        <v>1</v>
      </c>
      <c r="C102" s="14">
        <f>[25]Sheet2!L11</f>
        <v>599.70799999999997</v>
      </c>
      <c r="D102" s="14">
        <f>[25]Sheet2!M11</f>
        <v>658.34400000000005</v>
      </c>
      <c r="E102" s="14">
        <f>[25]Sheet2!N11</f>
        <v>985.68899999999996</v>
      </c>
      <c r="F102" s="14">
        <f>[25]Sheet2!O11</f>
        <v>1874.7915</v>
      </c>
      <c r="G102" s="14">
        <f>[25]Sheet2!P11</f>
        <v>931.06399999999996</v>
      </c>
      <c r="H102" s="14">
        <f>[25]Sheet2!Q11</f>
        <v>903.26700000000096</v>
      </c>
      <c r="I102" s="14">
        <f>[25]Sheet2!R11</f>
        <v>1317.961</v>
      </c>
      <c r="J102" s="14">
        <f>[25]Sheet2!S11</f>
        <v>858.14400000000001</v>
      </c>
      <c r="K102" s="14">
        <f>[25]Sheet2!T11</f>
        <v>1906.9324999999999</v>
      </c>
      <c r="L102" s="14">
        <f>[25]Sheet2!U11</f>
        <v>1720.327</v>
      </c>
      <c r="M102" s="14">
        <f>[25]Sheet2!V11</f>
        <v>2667.9569999999999</v>
      </c>
      <c r="N102" s="14">
        <f>[25]Sheet2!W11</f>
        <v>3002.8330000000001</v>
      </c>
      <c r="O102" s="14">
        <f>[25]Sheet2!X11</f>
        <v>752.62699999999995</v>
      </c>
      <c r="P102" s="14">
        <f>[25]Sheet2!Y11</f>
        <v>1285.5509999999999</v>
      </c>
      <c r="Q102" s="14">
        <f>[25]Sheet2!Z11</f>
        <v>2870.27</v>
      </c>
      <c r="R102" s="14">
        <f>[25]Sheet2!AA11</f>
        <v>1950.5</v>
      </c>
      <c r="S102" s="14">
        <f>[25]Sheet2!AB11</f>
        <v>2662.8339999999998</v>
      </c>
      <c r="T102">
        <f>[25]Sheet2!AC11</f>
        <v>3217.0479999999998</v>
      </c>
      <c r="U102" s="6">
        <v>2113.8130000000001</v>
      </c>
      <c r="V102">
        <v>1192.624</v>
      </c>
      <c r="W102">
        <v>1810.4469999999999</v>
      </c>
      <c r="X102" s="6">
        <f>[14]APE!K32</f>
        <v>1079.194</v>
      </c>
      <c r="Y102" s="6">
        <f>[24]APE!K32</f>
        <v>2252.297</v>
      </c>
      <c r="Z102" s="6">
        <f>[15]APE!K32</f>
        <v>6265.09800000001</v>
      </c>
      <c r="AA102" s="22">
        <f>SUM(O102:INDEX(O102:Z102,$B$2))</f>
        <v>14852.642999999998</v>
      </c>
      <c r="AB102" s="22">
        <f t="shared" si="286"/>
        <v>4908.4480000000003</v>
      </c>
      <c r="AC102" s="22">
        <f t="shared" si="287"/>
        <v>7830.3819999999996</v>
      </c>
      <c r="AD102" s="22">
        <f t="shared" si="288"/>
        <v>5116.884</v>
      </c>
      <c r="AE102" s="22">
        <f t="shared" si="289"/>
        <v>9596.5890000000109</v>
      </c>
      <c r="AF102" s="22">
        <f>SUM(C102                                                                                : INDEX(C102:N102,$B$2))</f>
        <v>7270.8245000000015</v>
      </c>
      <c r="AG102" s="22">
        <f t="shared" si="290"/>
        <v>2243.741</v>
      </c>
      <c r="AH102" s="22">
        <f t="shared" si="291"/>
        <v>3709.1225000000013</v>
      </c>
      <c r="AI102" s="22">
        <f t="shared" si="292"/>
        <v>4083.0374999999999</v>
      </c>
      <c r="AJ102" s="22">
        <f t="shared" si="293"/>
        <v>7391.1170000000002</v>
      </c>
      <c r="AK102" s="31">
        <f t="shared" si="294"/>
        <v>1.0427728657183235</v>
      </c>
      <c r="AL102" s="31">
        <f t="shared" si="279"/>
        <v>1.1876179113364689</v>
      </c>
      <c r="AM102" s="31">
        <f t="shared" si="280"/>
        <v>1.1111144212681023</v>
      </c>
      <c r="AN102" s="31">
        <f t="shared" si="281"/>
        <v>0.25320524242062437</v>
      </c>
      <c r="AO102" s="31">
        <f t="shared" si="282"/>
        <v>0.29839495166968821</v>
      </c>
      <c r="AP102" s="22">
        <f>[16]APE!K32</f>
        <v>840.21400000000096</v>
      </c>
      <c r="AQ102" s="22">
        <f>[17]APE!K32</f>
        <v>1171.4829999999999</v>
      </c>
      <c r="AR102" s="22">
        <f>[18]APE!K32</f>
        <v>2134.5100000000002</v>
      </c>
      <c r="AS102" s="22">
        <f>[19]APE!K33</f>
        <v>2058.346</v>
      </c>
      <c r="AT102" s="22">
        <f>[20]APE!K33</f>
        <v>1759.76</v>
      </c>
      <c r="AU102" s="22">
        <f>[21]APE!K33</f>
        <v>1671.83</v>
      </c>
      <c r="AV102" s="22">
        <f>[22]APE!K33</f>
        <v>1912.5309999999988</v>
      </c>
      <c r="AW102" s="18"/>
      <c r="AX102" s="18"/>
      <c r="AY102" s="18"/>
      <c r="AZ102" s="18"/>
      <c r="BA102" s="18"/>
      <c r="BB102" s="110">
        <f>SUM(AP102:INDEX(AP102:AR102,IF($B$2&lt;3,$B$2,3)))</f>
        <v>4146.2070000000012</v>
      </c>
      <c r="BC102" s="110">
        <f>SUM(AS102:INDEX(AS102:AU102,IF(AND($B$2&gt;3,$B$2&lt;7),$B$2-3,0)))</f>
        <v>5489.9359999999997</v>
      </c>
      <c r="BD102" s="110">
        <f>SUM(AV102:INDEX(AV102:AX102,IF(AND($B$2&gt;6,$B$2&lt;10),$B$2-6,0)))</f>
        <v>1912.5309999999988</v>
      </c>
      <c r="BE102" s="110">
        <f>SUM(AY102:INDEX(AY102:BA102,IF($B$2&gt;9,$B$2-9,0)))</f>
        <v>0</v>
      </c>
      <c r="BF102" s="110">
        <f>SUM($AP102:INDEX(AP102:BA102,$B$2))</f>
        <v>11548.674000000001</v>
      </c>
      <c r="BG102" s="125">
        <f t="shared" si="295"/>
        <v>1.116375043680337</v>
      </c>
      <c r="BH102" s="111">
        <f t="shared" si="283"/>
        <v>0.91126917562974941</v>
      </c>
      <c r="BI102" s="111">
        <f t="shared" si="283"/>
        <v>0.74366174610750913</v>
      </c>
      <c r="BJ102" s="111">
        <f t="shared" si="283"/>
        <v>1.0552914637272495</v>
      </c>
      <c r="BK102" s="111">
        <f t="shared" si="283"/>
        <v>0.66085982077741234</v>
      </c>
      <c r="BL102" s="111">
        <f t="shared" si="283"/>
        <v>0.51967828891580103</v>
      </c>
      <c r="BM102" s="111">
        <f t="shared" si="283"/>
        <v>0.90477776416362221</v>
      </c>
      <c r="BN102" s="111">
        <f t="shared" si="283"/>
        <v>0</v>
      </c>
      <c r="BO102" s="111">
        <f t="shared" si="283"/>
        <v>0</v>
      </c>
      <c r="BP102" s="111">
        <f t="shared" si="283"/>
        <v>0</v>
      </c>
      <c r="BQ102" s="111">
        <f t="shared" si="283"/>
        <v>0</v>
      </c>
      <c r="BR102" s="111">
        <f t="shared" si="283"/>
        <v>0</v>
      </c>
      <c r="BS102" s="111">
        <f>BB102/SUM(O102:INDEX(O102:Q102,IF($B$2&lt;3,$B$2,3)))</f>
        <v>0.8447083477302807</v>
      </c>
      <c r="BT102" s="111">
        <f>BC102/SUM(R102:INDEX(R102:T102,$C$2))</f>
        <v>2.814630094847475</v>
      </c>
      <c r="BU102" s="111">
        <f>BD102/SUM(U102:INDEX(U102:W102,$C$2))</f>
        <v>0.90477776416362221</v>
      </c>
      <c r="BV102" s="111">
        <f t="shared" si="284"/>
        <v>0</v>
      </c>
      <c r="BW102" s="111">
        <f t="shared" si="296"/>
        <v>0.77755009663936592</v>
      </c>
    </row>
    <row r="103" spans="1:75" x14ac:dyDescent="0.25">
      <c r="A103" s="20" t="str">
        <f t="shared" si="285"/>
        <v>FYP:13+mth</v>
      </c>
      <c r="B103" t="s">
        <v>2</v>
      </c>
      <c r="C103" s="14">
        <f>[25]Sheet2!L12</f>
        <v>42.567</v>
      </c>
      <c r="D103" s="14">
        <f>[25]Sheet2!M12</f>
        <v>163.02600000000001</v>
      </c>
      <c r="E103" s="14">
        <f>[25]Sheet2!N12</f>
        <v>114.13500000000001</v>
      </c>
      <c r="F103" s="14">
        <f>[25]Sheet2!O12</f>
        <v>67.346000000000004</v>
      </c>
      <c r="G103" s="14">
        <f>[25]Sheet2!P12</f>
        <v>30.9250000000001</v>
      </c>
      <c r="H103" s="14">
        <f>[25]Sheet2!Q12</f>
        <v>356.916</v>
      </c>
      <c r="I103" s="14">
        <f>[25]Sheet2!R12</f>
        <v>353.94900000000001</v>
      </c>
      <c r="J103" s="14">
        <f>[25]Sheet2!S12</f>
        <v>390.79700000000003</v>
      </c>
      <c r="K103" s="14">
        <f>[25]Sheet2!T12</f>
        <v>1511.4459999999999</v>
      </c>
      <c r="L103" s="14">
        <f>[25]Sheet2!U12</f>
        <v>528.30150000000003</v>
      </c>
      <c r="M103" s="14">
        <f>[25]Sheet2!V12</f>
        <v>2061.1640000000002</v>
      </c>
      <c r="N103" s="14">
        <f>[25]Sheet2!W12</f>
        <v>2342.6185</v>
      </c>
      <c r="O103" s="14">
        <f>[25]Sheet2!X12</f>
        <v>896.12599999999998</v>
      </c>
      <c r="P103" s="14">
        <f>[25]Sheet2!Y12</f>
        <v>908.09900000000005</v>
      </c>
      <c r="Q103" s="14">
        <f>[25]Sheet2!Z12</f>
        <v>1552.1410000000001</v>
      </c>
      <c r="R103" s="14">
        <f>[25]Sheet2!AA12</f>
        <v>745.06799999999998</v>
      </c>
      <c r="S103" s="14">
        <f>[25]Sheet2!AB12</f>
        <v>1300.2380000000001</v>
      </c>
      <c r="T103">
        <f>[25]Sheet2!AC12</f>
        <v>1694.981</v>
      </c>
      <c r="U103" s="6">
        <v>862.47299999999996</v>
      </c>
      <c r="V103">
        <v>2208.4859999999999</v>
      </c>
      <c r="W103">
        <v>2389.2255</v>
      </c>
      <c r="X103" s="6">
        <f>[14]APE!K33</f>
        <v>3107.1460000000002</v>
      </c>
      <c r="Y103" s="6">
        <f>[24]APE!K33</f>
        <v>2400.953</v>
      </c>
      <c r="Z103" s="6">
        <f>[15]APE!K33</f>
        <v>6337.7720000000199</v>
      </c>
      <c r="AA103" s="22">
        <f>SUM(O103:INDEX(O103:Z103,$B$2))</f>
        <v>7959.1260000000002</v>
      </c>
      <c r="AB103" s="22">
        <f t="shared" si="286"/>
        <v>3356.366</v>
      </c>
      <c r="AC103" s="22">
        <f t="shared" si="287"/>
        <v>3740.2870000000003</v>
      </c>
      <c r="AD103" s="22">
        <f t="shared" si="288"/>
        <v>5460.1844999999994</v>
      </c>
      <c r="AE103" s="22">
        <f t="shared" si="289"/>
        <v>11845.871000000021</v>
      </c>
      <c r="AF103" s="22">
        <f>SUM(C103                                                                                : INDEX(C103:N103,$B$2))</f>
        <v>1128.8640000000003</v>
      </c>
      <c r="AG103" s="22">
        <f t="shared" si="290"/>
        <v>319.72800000000001</v>
      </c>
      <c r="AH103" s="22">
        <f t="shared" si="291"/>
        <v>455.18700000000013</v>
      </c>
      <c r="AI103" s="22">
        <f t="shared" si="292"/>
        <v>2256.192</v>
      </c>
      <c r="AJ103" s="22">
        <f t="shared" si="293"/>
        <v>4932.0840000000007</v>
      </c>
      <c r="AK103" s="31">
        <f t="shared" si="294"/>
        <v>6.0505623352325868</v>
      </c>
      <c r="AL103" s="31">
        <f t="shared" si="279"/>
        <v>9.4975666816794266</v>
      </c>
      <c r="AM103" s="31">
        <f t="shared" si="280"/>
        <v>7.2170338783840471</v>
      </c>
      <c r="AN103" s="31">
        <f t="shared" si="281"/>
        <v>1.4200885828865624</v>
      </c>
      <c r="AO103" s="31">
        <f t="shared" si="282"/>
        <v>1.4017983067603916</v>
      </c>
      <c r="AP103" s="22">
        <f>[16]APE!K33</f>
        <v>1217.8309999999999</v>
      </c>
      <c r="AQ103" s="22">
        <f>[17]APE!K33</f>
        <v>1922.7315000000001</v>
      </c>
      <c r="AR103" s="22">
        <f>[18]APE!K33</f>
        <v>1980.48</v>
      </c>
      <c r="AS103" s="22">
        <f>[19]APE!K34</f>
        <v>1766.6179999999999</v>
      </c>
      <c r="AT103" s="22">
        <f>[20]APE!K34</f>
        <v>1840.75</v>
      </c>
      <c r="AU103" s="22">
        <f>[21]APE!K34</f>
        <v>2241.2600000000002</v>
      </c>
      <c r="AV103" s="22">
        <f>[22]APE!K34</f>
        <v>1657.7604999999994</v>
      </c>
      <c r="AW103" s="18"/>
      <c r="AX103" s="18"/>
      <c r="AY103" s="18"/>
      <c r="AZ103" s="18"/>
      <c r="BA103" s="18"/>
      <c r="BB103" s="110">
        <f>SUM(AP103:INDEX(AP103:AR103,IF($B$2&lt;3,$B$2,3)))</f>
        <v>5121.0424999999996</v>
      </c>
      <c r="BC103" s="110">
        <f>SUM(AS103:INDEX(AS103:AU103,IF(AND($B$2&gt;3,$B$2&lt;7),$B$2-3,0)))</f>
        <v>5848.6280000000006</v>
      </c>
      <c r="BD103" s="110">
        <f>SUM(AV103:INDEX(AV103:AX103,IF(AND($B$2&gt;6,$B$2&lt;10),$B$2-6,0)))</f>
        <v>1657.7604999999994</v>
      </c>
      <c r="BE103" s="110">
        <f>SUM(AY103:INDEX(AY103:BA103,IF($B$2&gt;9,$B$2-9,0)))</f>
        <v>0</v>
      </c>
      <c r="BF103" s="110">
        <f>SUM($AP103:INDEX(AP103:BA103,$B$2))</f>
        <v>12627.431</v>
      </c>
      <c r="BG103" s="125">
        <f t="shared" si="295"/>
        <v>1.3589952752179939</v>
      </c>
      <c r="BH103" s="111">
        <f t="shared" si="283"/>
        <v>2.1173148522352738</v>
      </c>
      <c r="BI103" s="111">
        <f t="shared" si="283"/>
        <v>1.2759665520078394</v>
      </c>
      <c r="BJ103" s="111">
        <f t="shared" si="283"/>
        <v>2.371082907868812</v>
      </c>
      <c r="BK103" s="111">
        <f t="shared" si="283"/>
        <v>1.4157023560302036</v>
      </c>
      <c r="BL103" s="111">
        <f t="shared" si="283"/>
        <v>1.3222921082891197</v>
      </c>
      <c r="BM103" s="111">
        <f t="shared" si="283"/>
        <v>1.9221013295488665</v>
      </c>
      <c r="BN103" s="111">
        <f t="shared" si="283"/>
        <v>0</v>
      </c>
      <c r="BO103" s="111">
        <f t="shared" si="283"/>
        <v>0</v>
      </c>
      <c r="BP103" s="111">
        <f t="shared" si="283"/>
        <v>0</v>
      </c>
      <c r="BQ103" s="111">
        <f t="shared" si="283"/>
        <v>0</v>
      </c>
      <c r="BR103" s="111">
        <f t="shared" si="283"/>
        <v>0</v>
      </c>
      <c r="BS103" s="111">
        <f>BB103/SUM(O103:INDEX(O103:Q103,IF($B$2&lt;3,$B$2,3)))</f>
        <v>1.5257699845606825</v>
      </c>
      <c r="BT103" s="111">
        <f>BC103/SUM(R103:INDEX(R103:T103,$C$2))</f>
        <v>7.8497908915696293</v>
      </c>
      <c r="BU103" s="111">
        <f>BD103/SUM(U103:INDEX(U103:W103,$C$2))</f>
        <v>1.9221013295488665</v>
      </c>
      <c r="BV103" s="111">
        <f t="shared" si="284"/>
        <v>0</v>
      </c>
      <c r="BW103" s="111">
        <f t="shared" si="296"/>
        <v>1.5865348783270927</v>
      </c>
    </row>
    <row r="104" spans="1:75" x14ac:dyDescent="0.25">
      <c r="A104" s="20" t="str">
        <f t="shared" si="285"/>
        <v>FYP:SA</v>
      </c>
      <c r="B104" s="135" t="s">
        <v>136</v>
      </c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6"/>
      <c r="X104" s="6"/>
      <c r="Y104" s="6"/>
      <c r="Z104" s="6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31"/>
      <c r="AL104" s="31"/>
      <c r="AM104" s="31"/>
      <c r="AN104" s="31"/>
      <c r="AO104" s="31"/>
      <c r="AP104" s="22"/>
      <c r="AQ104" s="22">
        <f>[17]APE!K34</f>
        <v>1084.7329999999999</v>
      </c>
      <c r="AR104" s="22">
        <f>[18]APE!K34</f>
        <v>796.16</v>
      </c>
      <c r="AS104" s="22">
        <f>[19]APE!K35</f>
        <v>2040.4670000000001</v>
      </c>
      <c r="AT104" s="22">
        <f>[20]APE!K35</f>
        <v>801.39</v>
      </c>
      <c r="AU104" s="22">
        <f>[21]APE!K35</f>
        <v>755.55</v>
      </c>
      <c r="AV104" s="22">
        <f>[22]APE!K35</f>
        <v>872.73199999999963</v>
      </c>
      <c r="AW104" s="18"/>
      <c r="AX104" s="18"/>
      <c r="AY104" s="18"/>
      <c r="AZ104" s="18"/>
      <c r="BA104" s="18"/>
      <c r="BB104" s="110">
        <f>SUM(AP104:INDEX(AP104:AR104,IF($B$2&lt;3,$B$2,3)))</f>
        <v>1880.893</v>
      </c>
      <c r="BC104" s="110">
        <f>SUM(AS104:INDEX(AS104:AU104,IF(AND($B$2&gt;3,$B$2&lt;7),$B$2-3,0)))</f>
        <v>3597.4070000000002</v>
      </c>
      <c r="BD104" s="110">
        <f>SUM(AV104:INDEX(AV104:AX104,IF(AND($B$2&gt;6,$B$2&lt;10),$B$2-6,0)))</f>
        <v>872.73199999999963</v>
      </c>
      <c r="BE104" s="110">
        <f>SUM(AY104:INDEX(AY104:BA104,IF($B$2&gt;9,$B$2-9,0)))</f>
        <v>0</v>
      </c>
      <c r="BF104" s="110">
        <f>SUM($AP104:INDEX(AP104:BA104,$B$2))</f>
        <v>6351.0320000000002</v>
      </c>
      <c r="BG104" s="125"/>
      <c r="BH104" s="111"/>
      <c r="BI104" s="111"/>
      <c r="BJ104" s="111"/>
      <c r="BK104" s="111"/>
      <c r="BL104" s="111"/>
      <c r="BM104" s="111"/>
      <c r="BN104" s="111"/>
      <c r="BO104" s="111"/>
      <c r="BP104" s="111"/>
      <c r="BQ104" s="111"/>
      <c r="BR104" s="111"/>
      <c r="BS104" s="111"/>
      <c r="BT104" s="111"/>
      <c r="BU104" s="111"/>
      <c r="BV104" s="111"/>
      <c r="BW104" s="111"/>
    </row>
    <row r="105" spans="1:75" s="19" customFormat="1" x14ac:dyDescent="0.25">
      <c r="A105" s="20" t="str">
        <f t="shared" si="285"/>
        <v>FYP:Total</v>
      </c>
      <c r="B105" s="1" t="s">
        <v>186</v>
      </c>
      <c r="C105" s="15">
        <f>SUM(C97:C103)</f>
        <v>5144.4609999999993</v>
      </c>
      <c r="D105" s="15">
        <f t="shared" ref="D105:AE105" si="297">SUM(D97:D103)</f>
        <v>4078.674</v>
      </c>
      <c r="E105" s="15">
        <f t="shared" si="297"/>
        <v>8069.9130000000005</v>
      </c>
      <c r="F105" s="15">
        <f t="shared" si="297"/>
        <v>9638.9079999999994</v>
      </c>
      <c r="G105" s="15">
        <f t="shared" si="297"/>
        <v>7216.0970000000016</v>
      </c>
      <c r="H105" s="15">
        <f t="shared" si="297"/>
        <v>8224.2810000000009</v>
      </c>
      <c r="I105" s="15">
        <f t="shared" si="297"/>
        <v>12306.225</v>
      </c>
      <c r="J105" s="15">
        <f t="shared" si="297"/>
        <v>6576.0320000000011</v>
      </c>
      <c r="K105" s="15">
        <f t="shared" si="297"/>
        <v>16784.499</v>
      </c>
      <c r="L105" s="15">
        <f t="shared" si="297"/>
        <v>11774.130999999999</v>
      </c>
      <c r="M105" s="15">
        <f t="shared" si="297"/>
        <v>20946.708000000028</v>
      </c>
      <c r="N105" s="15">
        <f t="shared" si="297"/>
        <v>23839.257000000016</v>
      </c>
      <c r="O105" s="15">
        <f t="shared" si="297"/>
        <v>6952.7290000000012</v>
      </c>
      <c r="P105" s="15">
        <f t="shared" si="297"/>
        <v>6827.6900000000005</v>
      </c>
      <c r="Q105" s="15">
        <f t="shared" si="297"/>
        <v>16078.613000000001</v>
      </c>
      <c r="R105" s="15">
        <f t="shared" si="297"/>
        <v>12809.992</v>
      </c>
      <c r="S105" s="15">
        <f t="shared" si="297"/>
        <v>14304.162000000002</v>
      </c>
      <c r="T105" s="15">
        <f t="shared" si="297"/>
        <v>24355.597000000071</v>
      </c>
      <c r="U105" s="15">
        <f t="shared" si="297"/>
        <v>15663.974000000011</v>
      </c>
      <c r="V105" s="15">
        <f t="shared" si="297"/>
        <v>17565.845000000008</v>
      </c>
      <c r="W105" s="15">
        <f t="shared" si="297"/>
        <v>28869.911000000073</v>
      </c>
      <c r="X105" s="15">
        <f t="shared" si="297"/>
        <v>21593.701000000019</v>
      </c>
      <c r="Y105" s="15">
        <f t="shared" si="297"/>
        <v>23151.401000000049</v>
      </c>
      <c r="Z105" s="15">
        <f t="shared" si="297"/>
        <v>49695.418000000216</v>
      </c>
      <c r="AA105" s="7">
        <f t="shared" si="297"/>
        <v>96992.757000000085</v>
      </c>
      <c r="AB105" s="7">
        <f t="shared" si="297"/>
        <v>29859.031999999999</v>
      </c>
      <c r="AC105" s="7">
        <f t="shared" si="297"/>
        <v>51469.751000000062</v>
      </c>
      <c r="AD105" s="7">
        <f t="shared" si="297"/>
        <v>62099.730000000083</v>
      </c>
      <c r="AE105" s="7">
        <f t="shared" si="297"/>
        <v>94440.520000000281</v>
      </c>
      <c r="AF105" s="7">
        <f>SUM(AF97:AF103)</f>
        <v>54678.559000000008</v>
      </c>
      <c r="AG105" s="7">
        <f t="shared" ref="AG105:AJ105" si="298">SUM(AG97:AG103)</f>
        <v>17293.047999999999</v>
      </c>
      <c r="AH105" s="7">
        <f t="shared" si="298"/>
        <v>25079.286000000007</v>
      </c>
      <c r="AI105" s="7">
        <f t="shared" si="298"/>
        <v>35666.756000000001</v>
      </c>
      <c r="AJ105" s="7">
        <f t="shared" si="298"/>
        <v>56560.096000000049</v>
      </c>
      <c r="AK105" s="31">
        <f t="shared" si="294"/>
        <v>0.77387185715702689</v>
      </c>
      <c r="AL105" s="31">
        <f t="shared" si="279"/>
        <v>0.72664946052309576</v>
      </c>
      <c r="AM105" s="31">
        <f t="shared" si="280"/>
        <v>1.0522813528263941</v>
      </c>
      <c r="AN105" s="31">
        <f t="shared" si="281"/>
        <v>0.74110956432371022</v>
      </c>
      <c r="AO105" s="31">
        <f t="shared" si="282"/>
        <v>0.66973761855001457</v>
      </c>
      <c r="AP105" s="15">
        <f t="shared" ref="AP105" si="299">SUM(AP97:AP103)</f>
        <v>13930.407000000003</v>
      </c>
      <c r="AQ105" s="15">
        <f>SUM(AQ97:AQ104)</f>
        <v>19706.296000000031</v>
      </c>
      <c r="AR105" s="15">
        <f t="shared" ref="AR105:BA105" si="300">SUM(AR97:AR104)</f>
        <v>29635.230000000003</v>
      </c>
      <c r="AS105" s="15">
        <f t="shared" si="300"/>
        <v>25471.794000000009</v>
      </c>
      <c r="AT105" s="15">
        <f t="shared" si="300"/>
        <v>22432.899999999998</v>
      </c>
      <c r="AU105" s="15">
        <f t="shared" si="300"/>
        <v>27374.149999999998</v>
      </c>
      <c r="AV105" s="15">
        <f t="shared" si="300"/>
        <v>22380.501000000062</v>
      </c>
      <c r="AW105" s="15">
        <f t="shared" si="300"/>
        <v>0</v>
      </c>
      <c r="AX105" s="15">
        <f t="shared" si="300"/>
        <v>0</v>
      </c>
      <c r="AY105" s="15">
        <f t="shared" si="300"/>
        <v>0</v>
      </c>
      <c r="AZ105" s="15">
        <f t="shared" si="300"/>
        <v>0</v>
      </c>
      <c r="BA105" s="15">
        <f t="shared" si="300"/>
        <v>0</v>
      </c>
      <c r="BB105" s="116">
        <f>SUM(AP105:INDEX(AP105:AR105,IF($B$2&lt;3,$B$2,3)))</f>
        <v>63271.933000000041</v>
      </c>
      <c r="BC105" s="116">
        <f>SUM(AS105:INDEX(AS105:AU105,IF(AND($B$2&gt;3,$B$2&lt;7),$B$2-3,0)))</f>
        <v>75278.843999999997</v>
      </c>
      <c r="BD105" s="116">
        <f>SUM(AV105:INDEX(AV105:AX105,IF(AND($B$2&gt;6,$B$2&lt;10),$B$2-6,0)))</f>
        <v>22380.501000000062</v>
      </c>
      <c r="BE105" s="116">
        <f>SUM(AY105:INDEX(AY105:BA105,IF($B$2&gt;9,$B$2-9,0)))</f>
        <v>0</v>
      </c>
      <c r="BF105" s="116">
        <f>SUM($AP105:INDEX(AP105:BA105,$B$2))</f>
        <v>160931.27800000011</v>
      </c>
      <c r="BG105" s="126">
        <f t="shared" si="295"/>
        <v>2.0035883751545618</v>
      </c>
      <c r="BH105" s="111">
        <f t="shared" si="283"/>
        <v>2.8862318002135465</v>
      </c>
      <c r="BI105" s="111">
        <f t="shared" si="283"/>
        <v>1.8431459230967249</v>
      </c>
      <c r="BJ105" s="111">
        <f t="shared" si="283"/>
        <v>1.9884316867645202</v>
      </c>
      <c r="BK105" s="111">
        <f t="shared" si="283"/>
        <v>1.5682778201197662</v>
      </c>
      <c r="BL105" s="111">
        <f t="shared" si="283"/>
        <v>1.1239367279726264</v>
      </c>
      <c r="BM105" s="111">
        <f t="shared" si="283"/>
        <v>1.4287881861908125</v>
      </c>
      <c r="BN105" s="111">
        <f t="shared" si="283"/>
        <v>0</v>
      </c>
      <c r="BO105" s="111">
        <f t="shared" si="283"/>
        <v>0</v>
      </c>
      <c r="BP105" s="111">
        <f t="shared" si="283"/>
        <v>0</v>
      </c>
      <c r="BQ105" s="111">
        <f t="shared" si="283"/>
        <v>0</v>
      </c>
      <c r="BR105" s="111">
        <f t="shared" si="283"/>
        <v>0</v>
      </c>
      <c r="BS105" s="111">
        <f>BB105/SUM(O105:INDEX(O105:Q105,IF($B$2&lt;3,$B$2,3)))</f>
        <v>2.1190215744435399</v>
      </c>
      <c r="BT105" s="111">
        <f>BC105/SUM(R105:INDEX(R105:T105,$C$2))</f>
        <v>5.8765722882574787</v>
      </c>
      <c r="BU105" s="111">
        <f>BD105/SUM(U105:INDEX(U105:W105,$C$2))</f>
        <v>1.4287881861908125</v>
      </c>
      <c r="BV105" s="111">
        <f t="shared" si="284"/>
        <v>0</v>
      </c>
      <c r="BW105" s="111">
        <f t="shared" si="296"/>
        <v>1.6592092335307054</v>
      </c>
    </row>
    <row r="106" spans="1:75" x14ac:dyDescent="0.25">
      <c r="B106" t="s">
        <v>187</v>
      </c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24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</row>
    <row r="107" spans="1:75" x14ac:dyDescent="0.25">
      <c r="B107" t="s">
        <v>187</v>
      </c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24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</row>
    <row r="108" spans="1:75" s="19" customFormat="1" x14ac:dyDescent="0.25">
      <c r="B108" s="2" t="s">
        <v>9</v>
      </c>
      <c r="C108" s="3">
        <v>42005</v>
      </c>
      <c r="D108" s="3">
        <v>42036</v>
      </c>
      <c r="E108" s="3">
        <v>42064</v>
      </c>
      <c r="F108" s="3">
        <v>42095</v>
      </c>
      <c r="G108" s="3">
        <v>42125</v>
      </c>
      <c r="H108" s="3">
        <v>42156</v>
      </c>
      <c r="I108" s="3">
        <v>42186</v>
      </c>
      <c r="J108" s="3">
        <v>42217</v>
      </c>
      <c r="K108" s="3">
        <v>42248</v>
      </c>
      <c r="L108" s="3">
        <v>42278</v>
      </c>
      <c r="M108" s="3">
        <v>42309</v>
      </c>
      <c r="N108" s="3">
        <v>42339</v>
      </c>
      <c r="O108" s="3">
        <v>42370</v>
      </c>
      <c r="P108" s="3">
        <v>42401</v>
      </c>
      <c r="Q108" s="3">
        <v>42430</v>
      </c>
      <c r="R108" s="3">
        <v>42461</v>
      </c>
      <c r="S108" s="3">
        <v>42491</v>
      </c>
      <c r="T108" s="3">
        <v>42522</v>
      </c>
      <c r="U108" s="3">
        <v>42552</v>
      </c>
      <c r="V108" s="3">
        <v>42583</v>
      </c>
      <c r="W108" s="3">
        <v>42614</v>
      </c>
      <c r="X108" s="3">
        <v>42644</v>
      </c>
      <c r="Y108" s="3">
        <v>42675</v>
      </c>
      <c r="Z108" s="3">
        <v>42705</v>
      </c>
      <c r="AA108" s="29" t="str">
        <f>$AA$89</f>
        <v>YTD 7/16</v>
      </c>
      <c r="AB108" s="29" t="s">
        <v>19</v>
      </c>
      <c r="AC108" s="29" t="s">
        <v>20</v>
      </c>
      <c r="AD108" s="29" t="s">
        <v>21</v>
      </c>
      <c r="AE108" s="29" t="s">
        <v>22</v>
      </c>
      <c r="AF108" s="26" t="s">
        <v>222</v>
      </c>
      <c r="AG108" s="26" t="s">
        <v>23</v>
      </c>
      <c r="AH108" s="26" t="s">
        <v>24</v>
      </c>
      <c r="AI108" s="26" t="s">
        <v>25</v>
      </c>
      <c r="AJ108" s="26" t="s">
        <v>26</v>
      </c>
      <c r="AK108" s="30" t="s">
        <v>27</v>
      </c>
      <c r="AL108" s="30" t="s">
        <v>29</v>
      </c>
      <c r="AM108" s="30" t="s">
        <v>30</v>
      </c>
      <c r="AN108" s="30" t="s">
        <v>31</v>
      </c>
      <c r="AO108" s="30" t="s">
        <v>32</v>
      </c>
      <c r="AP108" s="108">
        <v>42736</v>
      </c>
      <c r="AQ108" s="108">
        <v>42767</v>
      </c>
      <c r="AR108" s="108">
        <v>42795</v>
      </c>
      <c r="AS108" s="108">
        <v>42826</v>
      </c>
      <c r="AT108" s="108">
        <v>42856</v>
      </c>
      <c r="AU108" s="108">
        <v>42887</v>
      </c>
      <c r="AV108" s="108">
        <v>42917</v>
      </c>
      <c r="AW108" s="108">
        <v>42948</v>
      </c>
      <c r="AX108" s="108">
        <v>42979</v>
      </c>
      <c r="AY108" s="108">
        <v>43009</v>
      </c>
      <c r="AZ108" s="108">
        <v>43040</v>
      </c>
      <c r="BA108" s="108">
        <v>43070</v>
      </c>
      <c r="BB108" s="29" t="s">
        <v>123</v>
      </c>
      <c r="BC108" s="29" t="s">
        <v>124</v>
      </c>
      <c r="BD108" s="29" t="s">
        <v>125</v>
      </c>
      <c r="BE108" s="29" t="s">
        <v>126</v>
      </c>
      <c r="BF108" s="29" t="str">
        <f>$BF$3</f>
        <v>YTD 7/17</v>
      </c>
      <c r="BG108" s="121">
        <v>42736</v>
      </c>
      <c r="BH108" s="108">
        <v>42767</v>
      </c>
      <c r="BI108" s="108">
        <v>42795</v>
      </c>
      <c r="BJ108" s="108">
        <v>42826</v>
      </c>
      <c r="BK108" s="108">
        <v>42856</v>
      </c>
      <c r="BL108" s="108">
        <v>42887</v>
      </c>
      <c r="BM108" s="108">
        <v>42917</v>
      </c>
      <c r="BN108" s="108">
        <v>42948</v>
      </c>
      <c r="BO108" s="108">
        <v>42979</v>
      </c>
      <c r="BP108" s="108">
        <v>43009</v>
      </c>
      <c r="BQ108" s="108">
        <v>43040</v>
      </c>
      <c r="BR108" s="108">
        <v>43070</v>
      </c>
      <c r="BS108" s="29" t="s">
        <v>127</v>
      </c>
      <c r="BT108" s="29" t="s">
        <v>128</v>
      </c>
      <c r="BU108" s="29" t="s">
        <v>96</v>
      </c>
      <c r="BV108" s="29" t="s">
        <v>129</v>
      </c>
      <c r="BW108" s="112" t="s">
        <v>130</v>
      </c>
    </row>
    <row r="109" spans="1:75" x14ac:dyDescent="0.25">
      <c r="A109" s="20" t="str">
        <f>$B$108&amp;"_by_designation:"&amp;B109</f>
        <v># Manpower_by_designation:AG</v>
      </c>
      <c r="B109" t="s">
        <v>17</v>
      </c>
      <c r="C109" s="6">
        <f>[25]Ag!F132</f>
        <v>845</v>
      </c>
      <c r="D109">
        <f>[25]Ag!F147</f>
        <v>883</v>
      </c>
      <c r="E109">
        <f>[25]Ag!F162</f>
        <v>997</v>
      </c>
      <c r="F109">
        <f>[25]Ag!F177</f>
        <v>1127</v>
      </c>
      <c r="G109">
        <f>[25]Ag!F191</f>
        <v>1061</v>
      </c>
      <c r="H109">
        <f>[25]Ag!F207</f>
        <v>1105</v>
      </c>
      <c r="I109">
        <f>[25]Ag!F222</f>
        <v>1101</v>
      </c>
      <c r="J109">
        <f>[25]Ag!F237</f>
        <v>1199</v>
      </c>
      <c r="K109">
        <f>[25]Ag!F252</f>
        <v>1297</v>
      </c>
      <c r="L109">
        <f>[25]Ag!F267</f>
        <v>1387</v>
      </c>
      <c r="M109">
        <f>[25]Ag!F282</f>
        <v>1621</v>
      </c>
      <c r="N109">
        <f>[25]Ag!F7</f>
        <v>1704</v>
      </c>
      <c r="O109">
        <f>[25]Ag!F24</f>
        <v>1716</v>
      </c>
      <c r="P109">
        <f>[25]Ag!F40</f>
        <v>1621</v>
      </c>
      <c r="Q109">
        <v>1726</v>
      </c>
      <c r="R109">
        <f>[25]Ag!F72</f>
        <v>1792</v>
      </c>
      <c r="S109">
        <v>2080</v>
      </c>
      <c r="T109">
        <v>2766</v>
      </c>
      <c r="U109">
        <v>3156</v>
      </c>
      <c r="V109">
        <v>3577</v>
      </c>
      <c r="W109">
        <f>VLOOKUP(B109,[26]MP!$Y$29:$Z$34,2,0)</f>
        <v>4038</v>
      </c>
      <c r="X109">
        <f>[14]MP!Z29</f>
        <v>4438</v>
      </c>
      <c r="Y109">
        <f>[24]MP!Z33</f>
        <v>4775</v>
      </c>
      <c r="Z109">
        <f>[15]MP!Z33</f>
        <v>5348</v>
      </c>
      <c r="AA109" s="22">
        <f>INDEX($O109:$Z109,$B$2)</f>
        <v>3156</v>
      </c>
      <c r="AB109" s="22">
        <f t="shared" ref="AB109" si="301">Q109</f>
        <v>1726</v>
      </c>
      <c r="AC109" s="22">
        <f t="shared" ref="AC109" si="302">T109</f>
        <v>2766</v>
      </c>
      <c r="AD109" s="22">
        <f t="shared" ref="AD109" si="303">W109</f>
        <v>4038</v>
      </c>
      <c r="AE109" s="22">
        <f t="shared" ref="AE109" si="304">Z109</f>
        <v>5348</v>
      </c>
      <c r="AF109" s="18">
        <f>INDEX($C109:$N109,$B$2)</f>
        <v>1101</v>
      </c>
      <c r="AG109" s="22">
        <f t="shared" ref="AG109:AG116" si="305">E109</f>
        <v>997</v>
      </c>
      <c r="AH109" s="22">
        <f t="shared" ref="AH109:AH116" si="306">H109</f>
        <v>1105</v>
      </c>
      <c r="AI109" s="22">
        <f t="shared" ref="AI109:AI116" si="307">K109</f>
        <v>1297</v>
      </c>
      <c r="AJ109" s="22">
        <f t="shared" ref="AJ109:AJ116" si="308">N109</f>
        <v>1704</v>
      </c>
      <c r="AK109" s="31">
        <f>AA109/AF109-1</f>
        <v>1.8664850136239783</v>
      </c>
      <c r="AL109" s="31">
        <f t="shared" ref="AL109:AL116" si="309">AB109/AG109-1</f>
        <v>0.73119358074222673</v>
      </c>
      <c r="AM109" s="31">
        <f t="shared" ref="AM109:AM116" si="310">AC109/AH109-1</f>
        <v>1.5031674208144796</v>
      </c>
      <c r="AN109" s="31">
        <f t="shared" ref="AN109:AN116" si="311">AD109/AI109-1</f>
        <v>2.1133384734001543</v>
      </c>
      <c r="AO109" s="31">
        <f t="shared" ref="AO109:AO116" si="312">AE109/AJ109-1</f>
        <v>2.1384976525821595</v>
      </c>
      <c r="AP109" s="22">
        <f>[16]MP!Z33</f>
        <v>5455</v>
      </c>
      <c r="AQ109" s="22">
        <f>[17]MP!Z33</f>
        <v>3696</v>
      </c>
      <c r="AR109" s="22">
        <f>[18]MP!$Z$33</f>
        <v>3844</v>
      </c>
      <c r="AS109" s="22">
        <f>[19]MP!Z33</f>
        <v>3460</v>
      </c>
      <c r="AT109" s="22">
        <f>[20]MP!$Z$33</f>
        <v>3625</v>
      </c>
      <c r="AU109" s="22">
        <f>[21]MP!$Z$33</f>
        <v>4210</v>
      </c>
      <c r="AV109" s="22">
        <f>[22]MP!$Z$33</f>
        <v>4273</v>
      </c>
      <c r="AW109" s="18"/>
      <c r="AX109" s="18"/>
      <c r="AY109" s="18"/>
      <c r="AZ109" s="18"/>
      <c r="BA109" s="18"/>
      <c r="BB109" s="22">
        <f>INDEX(AP109:AR109,IF($B$2&lt;3,$B$2,3))</f>
        <v>3844</v>
      </c>
      <c r="BC109" s="22">
        <f>INDEX(AS109:AU109,IF($B$2&lt;7,$B$2-3,3))</f>
        <v>4210</v>
      </c>
      <c r="BD109" s="18">
        <f>INDEX(AV109:AX109,$AV$2)</f>
        <v>4273</v>
      </c>
      <c r="BE109" s="18"/>
      <c r="BF109" s="22">
        <f>INDEX(AP109:BA109,$B$2)</f>
        <v>4273</v>
      </c>
      <c r="BG109" s="122">
        <f>AP109/O109</f>
        <v>3.178904428904429</v>
      </c>
      <c r="BH109" s="111">
        <f>AQ109/P109</f>
        <v>2.2800740283775447</v>
      </c>
      <c r="BI109" s="111">
        <f t="shared" ref="BI109:BK114" si="313">AR109/Q109</f>
        <v>2.2271147161066049</v>
      </c>
      <c r="BJ109" s="111">
        <f t="shared" si="313"/>
        <v>1.9308035714285714</v>
      </c>
      <c r="BK109" s="111">
        <f t="shared" si="313"/>
        <v>1.7427884615384615</v>
      </c>
      <c r="BL109" s="111">
        <f t="shared" ref="BL109" si="314">AU109/T109</f>
        <v>1.522053506869125</v>
      </c>
      <c r="BM109" s="111">
        <f>AV109/U109</f>
        <v>1.3539290240811153</v>
      </c>
      <c r="BN109" s="18"/>
      <c r="BO109" s="18"/>
      <c r="BP109" s="18"/>
      <c r="BQ109" s="18"/>
      <c r="BR109" s="18"/>
      <c r="BS109" s="111">
        <f>BB109/INDEX(O109:Q109,IF($B$2&lt;3,$B$2,3))</f>
        <v>2.2271147161066049</v>
      </c>
      <c r="BT109" s="111">
        <f>BC109/INDEX(R109:T109,IF($B$2&lt;7,$B$2-3,3))</f>
        <v>1.522053506869125</v>
      </c>
      <c r="BU109" s="111">
        <f>BD109/INDEX(S109:U109,IF($B$2&lt;7,$B$2-3,3))</f>
        <v>1.3539290240811153</v>
      </c>
      <c r="BV109" s="18"/>
      <c r="BW109" s="111">
        <f t="shared" ref="BW109:BW116" si="315">BF109/AA109</f>
        <v>1.3539290240811153</v>
      </c>
    </row>
    <row r="110" spans="1:75" x14ac:dyDescent="0.25">
      <c r="A110" s="20" t="str">
        <f t="shared" ref="A110:A116" si="316">$B$108&amp;"_by_designation:"&amp;B110</f>
        <v># Manpower_by_designation:US</v>
      </c>
      <c r="B110" t="s">
        <v>34</v>
      </c>
      <c r="C110" s="6">
        <f>[25]Ag!F133</f>
        <v>57</v>
      </c>
      <c r="D110">
        <f>[25]Ag!F148</f>
        <v>65</v>
      </c>
      <c r="E110">
        <f>[25]Ag!F163</f>
        <v>65</v>
      </c>
      <c r="F110">
        <f>[25]Ag!F178</f>
        <v>63</v>
      </c>
      <c r="G110">
        <f>[25]Ag!F192</f>
        <v>62</v>
      </c>
      <c r="H110">
        <f>[25]Ag!F208</f>
        <v>49</v>
      </c>
      <c r="I110">
        <f>[25]Ag!F223</f>
        <v>43</v>
      </c>
      <c r="J110">
        <f>[25]Ag!F238</f>
        <v>37</v>
      </c>
      <c r="K110">
        <f>[25]Ag!F253</f>
        <v>39</v>
      </c>
      <c r="L110">
        <f>[25]Ag!F268</f>
        <v>47</v>
      </c>
      <c r="M110">
        <f>[25]Ag!F283</f>
        <v>55</v>
      </c>
      <c r="N110">
        <f>[25]Ag!F8</f>
        <v>58</v>
      </c>
      <c r="O110">
        <f>[25]Ag!F25</f>
        <v>68</v>
      </c>
      <c r="P110">
        <f>[25]Ag!F41</f>
        <v>78</v>
      </c>
      <c r="Q110">
        <v>87</v>
      </c>
      <c r="R110">
        <f>[25]Ag!F73</f>
        <v>110</v>
      </c>
      <c r="S110">
        <v>114</v>
      </c>
      <c r="T110">
        <v>115</v>
      </c>
      <c r="U110">
        <v>127</v>
      </c>
      <c r="V110">
        <v>147</v>
      </c>
      <c r="W110">
        <f>VLOOKUP(B110,[26]MP!$Y$29:$Z$34,2,0)</f>
        <v>178</v>
      </c>
      <c r="X110">
        <f>[14]MP!Z30</f>
        <v>194</v>
      </c>
      <c r="Y110">
        <f>[24]MP!Z34</f>
        <v>206</v>
      </c>
      <c r="Z110">
        <f>[15]MP!Z34</f>
        <v>237</v>
      </c>
      <c r="AA110" s="18">
        <f t="shared" ref="AA110:AA116" si="317">INDEX($O110:$Z110,$B$2)</f>
        <v>127</v>
      </c>
      <c r="AB110" s="22">
        <f>Q110</f>
        <v>87</v>
      </c>
      <c r="AC110" s="22">
        <f>T110</f>
        <v>115</v>
      </c>
      <c r="AD110" s="22">
        <f>W110</f>
        <v>178</v>
      </c>
      <c r="AE110" s="22">
        <f>Z110</f>
        <v>237</v>
      </c>
      <c r="AF110" s="18">
        <f t="shared" ref="AF110:AF116" si="318">INDEX($C110:$N110,$B$2)</f>
        <v>43</v>
      </c>
      <c r="AG110" s="22">
        <f t="shared" si="305"/>
        <v>65</v>
      </c>
      <c r="AH110" s="22">
        <f t="shared" si="306"/>
        <v>49</v>
      </c>
      <c r="AI110" s="22">
        <f t="shared" si="307"/>
        <v>39</v>
      </c>
      <c r="AJ110" s="22">
        <f t="shared" si="308"/>
        <v>58</v>
      </c>
      <c r="AK110" s="31">
        <f t="shared" ref="AK110:AK116" si="319">AA110/AF110-1</f>
        <v>1.9534883720930232</v>
      </c>
      <c r="AL110" s="31">
        <f t="shared" si="309"/>
        <v>0.33846153846153837</v>
      </c>
      <c r="AM110" s="31">
        <f t="shared" si="310"/>
        <v>1.3469387755102042</v>
      </c>
      <c r="AN110" s="31">
        <f t="shared" si="311"/>
        <v>3.5641025641025639</v>
      </c>
      <c r="AO110" s="31">
        <f t="shared" si="312"/>
        <v>3.0862068965517242</v>
      </c>
      <c r="AP110" s="22">
        <f>[16]MP!Z34</f>
        <v>253</v>
      </c>
      <c r="AQ110" s="22">
        <f>[17]MP!Z34</f>
        <v>272</v>
      </c>
      <c r="AR110" s="22">
        <f>[18]MP!$Z$35</f>
        <v>287</v>
      </c>
      <c r="AS110" s="22">
        <f>[19]MP!Z34</f>
        <v>295</v>
      </c>
      <c r="AT110" s="22">
        <f>[20]MP!$Z$35</f>
        <v>313</v>
      </c>
      <c r="AU110" s="22">
        <f>[21]MP!$Z$35</f>
        <v>324</v>
      </c>
      <c r="AV110" s="22">
        <f>[22]MP!$Z$35</f>
        <v>308</v>
      </c>
      <c r="AW110" s="18"/>
      <c r="AX110" s="18"/>
      <c r="AY110" s="18"/>
      <c r="AZ110" s="18"/>
      <c r="BA110" s="18"/>
      <c r="BB110" s="22">
        <f t="shared" ref="BB110:BB115" si="320">INDEX(AP110:AR110,IF($B$2&lt;3,$B$2,3))</f>
        <v>287</v>
      </c>
      <c r="BC110" s="18">
        <f t="shared" ref="BC110:BC115" si="321">INDEX(AS110:AU110,IF($B$2&lt;7,$B$2-3,3))</f>
        <v>324</v>
      </c>
      <c r="BD110" s="18">
        <f t="shared" ref="BD110:BD115" si="322">INDEX(AV110:AX110,$AV$2)</f>
        <v>308</v>
      </c>
      <c r="BE110" s="18"/>
      <c r="BF110" s="22">
        <f t="shared" ref="BF110:BF115" si="323">INDEX(AP110:BA110,$B$2)</f>
        <v>308</v>
      </c>
      <c r="BG110" s="122">
        <f t="shared" ref="BG110:BH116" si="324">AP110/O110</f>
        <v>3.7205882352941178</v>
      </c>
      <c r="BH110" s="111">
        <f t="shared" si="324"/>
        <v>3.4871794871794872</v>
      </c>
      <c r="BI110" s="111">
        <f t="shared" si="313"/>
        <v>3.2988505747126435</v>
      </c>
      <c r="BJ110" s="111">
        <f t="shared" si="313"/>
        <v>2.6818181818181817</v>
      </c>
      <c r="BK110" s="111">
        <f t="shared" si="313"/>
        <v>2.7456140350877192</v>
      </c>
      <c r="BL110" s="111">
        <f t="shared" ref="BL110:BL114" si="325">AU110/T110</f>
        <v>2.8173913043478263</v>
      </c>
      <c r="BM110" s="111">
        <f t="shared" ref="BM110:BM114" si="326">AV110/U110</f>
        <v>2.4251968503937009</v>
      </c>
      <c r="BN110" s="18"/>
      <c r="BO110" s="18"/>
      <c r="BP110" s="18"/>
      <c r="BQ110" s="18"/>
      <c r="BR110" s="18"/>
      <c r="BS110" s="111">
        <f t="shared" ref="BS110:BS116" si="327">BB110/INDEX(O110:Q110,IF($B$2&lt;3,$B$2,3))</f>
        <v>3.2988505747126435</v>
      </c>
      <c r="BT110" s="111">
        <f t="shared" ref="BT110:BT116" si="328">BC110/INDEX(R110:T110,IF($B$2&lt;7,$B$2-3,3))</f>
        <v>2.8173913043478263</v>
      </c>
      <c r="BU110" s="111">
        <f t="shared" ref="BU110:BU116" si="329">BD110/INDEX(S110:U110,IF($B$2&lt;7,$B$2-3,3))</f>
        <v>2.4251968503937009</v>
      </c>
      <c r="BV110" s="18"/>
      <c r="BW110" s="111">
        <f t="shared" si="315"/>
        <v>2.4251968503937009</v>
      </c>
    </row>
    <row r="111" spans="1:75" x14ac:dyDescent="0.25">
      <c r="A111" s="20" t="str">
        <f t="shared" si="316"/>
        <v># Manpower_by_designation:UM</v>
      </c>
      <c r="B111" t="s">
        <v>35</v>
      </c>
      <c r="C111" s="6">
        <f>[25]Ag!F134</f>
        <v>157</v>
      </c>
      <c r="D111">
        <f>[25]Ag!F149</f>
        <v>169</v>
      </c>
      <c r="E111">
        <f>[25]Ag!F164</f>
        <v>175</v>
      </c>
      <c r="F111">
        <f>[25]Ag!F179</f>
        <v>202</v>
      </c>
      <c r="G111">
        <f>[25]Ag!F193</f>
        <v>214</v>
      </c>
      <c r="H111">
        <f>[25]Ag!F209</f>
        <v>208</v>
      </c>
      <c r="I111">
        <f>[25]Ag!F224</f>
        <v>213</v>
      </c>
      <c r="J111">
        <f>[25]Ag!F239</f>
        <v>211</v>
      </c>
      <c r="K111">
        <f>[25]Ag!F254</f>
        <v>253</v>
      </c>
      <c r="L111">
        <f>[25]Ag!F269</f>
        <v>272</v>
      </c>
      <c r="M111">
        <f>[25]Ag!F284</f>
        <v>289</v>
      </c>
      <c r="N111">
        <f>[25]Ag!F9</f>
        <v>288</v>
      </c>
      <c r="O111">
        <f>[25]Ag!F26</f>
        <v>290</v>
      </c>
      <c r="P111">
        <f>[25]Ag!F42</f>
        <v>284</v>
      </c>
      <c r="Q111">
        <v>293</v>
      </c>
      <c r="R111">
        <f>[25]Ag!F74</f>
        <v>311</v>
      </c>
      <c r="S111">
        <v>348</v>
      </c>
      <c r="T111">
        <v>428</v>
      </c>
      <c r="U111">
        <v>444</v>
      </c>
      <c r="V111">
        <v>494</v>
      </c>
      <c r="W111">
        <f>VLOOKUP(B111,[26]MP!$Y$29:$Z$34,2,0)</f>
        <v>568</v>
      </c>
      <c r="X111">
        <f>[14]MP!$Z$34</f>
        <v>640</v>
      </c>
      <c r="Y111">
        <f>[24]MP!$Z$38</f>
        <v>688</v>
      </c>
      <c r="Z111">
        <f>[15]MP!$Z$38</f>
        <v>738</v>
      </c>
      <c r="AA111" s="18">
        <f t="shared" si="317"/>
        <v>444</v>
      </c>
      <c r="AB111" s="18">
        <f t="shared" ref="AB111:AB116" si="330">Q111</f>
        <v>293</v>
      </c>
      <c r="AC111" s="18">
        <f t="shared" ref="AC111:AC116" si="331">T111</f>
        <v>428</v>
      </c>
      <c r="AD111" s="18">
        <f t="shared" ref="AD111:AD116" si="332">W111</f>
        <v>568</v>
      </c>
      <c r="AE111" s="18">
        <f t="shared" ref="AE111:AE116" si="333">Z111</f>
        <v>738</v>
      </c>
      <c r="AF111" s="18">
        <f t="shared" si="318"/>
        <v>213</v>
      </c>
      <c r="AG111" s="22">
        <f t="shared" si="305"/>
        <v>175</v>
      </c>
      <c r="AH111" s="22">
        <f t="shared" si="306"/>
        <v>208</v>
      </c>
      <c r="AI111" s="22">
        <f t="shared" si="307"/>
        <v>253</v>
      </c>
      <c r="AJ111" s="22">
        <f t="shared" si="308"/>
        <v>288</v>
      </c>
      <c r="AK111" s="31">
        <f t="shared" si="319"/>
        <v>1.084507042253521</v>
      </c>
      <c r="AL111" s="31">
        <f t="shared" si="309"/>
        <v>0.67428571428571438</v>
      </c>
      <c r="AM111" s="31">
        <f t="shared" si="310"/>
        <v>1.0576923076923075</v>
      </c>
      <c r="AN111" s="31">
        <f t="shared" si="311"/>
        <v>1.2450592885375493</v>
      </c>
      <c r="AO111" s="31">
        <f t="shared" si="312"/>
        <v>1.5625</v>
      </c>
      <c r="AP111" s="22">
        <f>[16]MP!$Z$38</f>
        <v>722</v>
      </c>
      <c r="AQ111" s="22">
        <f>[17]MP!$Z$38</f>
        <v>749</v>
      </c>
      <c r="AR111" s="22">
        <f>[18]MP!$Z$39</f>
        <v>729</v>
      </c>
      <c r="AS111" s="22">
        <f>[19]MP!Z35</f>
        <v>602</v>
      </c>
      <c r="AT111" s="22">
        <f>[20]MP!$Z$39</f>
        <v>630</v>
      </c>
      <c r="AU111" s="22">
        <f>[21]MP!$Z$39</f>
        <v>634</v>
      </c>
      <c r="AV111" s="22">
        <f>[22]MP!$Z$39</f>
        <v>541</v>
      </c>
      <c r="AW111" s="18"/>
      <c r="AX111" s="18"/>
      <c r="AY111" s="18"/>
      <c r="AZ111" s="18"/>
      <c r="BA111" s="18"/>
      <c r="BB111" s="22">
        <f t="shared" si="320"/>
        <v>729</v>
      </c>
      <c r="BC111" s="18">
        <f t="shared" si="321"/>
        <v>634</v>
      </c>
      <c r="BD111" s="18">
        <f t="shared" si="322"/>
        <v>541</v>
      </c>
      <c r="BE111" s="18"/>
      <c r="BF111" s="22">
        <f t="shared" si="323"/>
        <v>541</v>
      </c>
      <c r="BG111" s="122">
        <f t="shared" si="324"/>
        <v>2.489655172413793</v>
      </c>
      <c r="BH111" s="111">
        <f t="shared" si="324"/>
        <v>2.637323943661972</v>
      </c>
      <c r="BI111" s="111">
        <f t="shared" si="313"/>
        <v>2.4880546075085324</v>
      </c>
      <c r="BJ111" s="111">
        <f t="shared" si="313"/>
        <v>1.9356913183279743</v>
      </c>
      <c r="BK111" s="111">
        <f t="shared" si="313"/>
        <v>1.8103448275862069</v>
      </c>
      <c r="BL111" s="111">
        <f t="shared" si="325"/>
        <v>1.4813084112149533</v>
      </c>
      <c r="BM111" s="111">
        <f t="shared" si="326"/>
        <v>1.2184684684684686</v>
      </c>
      <c r="BN111" s="18"/>
      <c r="BO111" s="18"/>
      <c r="BP111" s="18"/>
      <c r="BQ111" s="18"/>
      <c r="BR111" s="18"/>
      <c r="BS111" s="111">
        <f t="shared" si="327"/>
        <v>2.4880546075085324</v>
      </c>
      <c r="BT111" s="111">
        <f t="shared" si="328"/>
        <v>1.4813084112149533</v>
      </c>
      <c r="BU111" s="111">
        <f t="shared" si="329"/>
        <v>1.2184684684684686</v>
      </c>
      <c r="BV111" s="18"/>
      <c r="BW111" s="111">
        <f t="shared" si="315"/>
        <v>1.2184684684684686</v>
      </c>
    </row>
    <row r="112" spans="1:75" x14ac:dyDescent="0.25">
      <c r="A112" s="20" t="str">
        <f t="shared" si="316"/>
        <v># Manpower_by_designation:SUM</v>
      </c>
      <c r="B112" t="s">
        <v>36</v>
      </c>
      <c r="C112" s="6">
        <f>[25]Ag!F135</f>
        <v>52</v>
      </c>
      <c r="D112">
        <f>[25]Ag!F150</f>
        <v>54</v>
      </c>
      <c r="E112">
        <f>[25]Ag!F165</f>
        <v>60</v>
      </c>
      <c r="F112">
        <f>[25]Ag!F180</f>
        <v>70</v>
      </c>
      <c r="G112">
        <f>[25]Ag!F194</f>
        <v>80</v>
      </c>
      <c r="H112">
        <f>[25]Ag!F210</f>
        <v>81</v>
      </c>
      <c r="I112">
        <f>[25]Ag!F225</f>
        <v>82</v>
      </c>
      <c r="J112">
        <f>[25]Ag!F240</f>
        <v>80</v>
      </c>
      <c r="K112">
        <f>[25]Ag!F255</f>
        <v>94</v>
      </c>
      <c r="L112">
        <f>[25]Ag!F270</f>
        <v>97</v>
      </c>
      <c r="M112">
        <f>[25]Ag!F285</f>
        <v>95</v>
      </c>
      <c r="N112">
        <f>[25]Ag!F10</f>
        <v>93</v>
      </c>
      <c r="O112">
        <f>[25]Ag!F27</f>
        <v>94</v>
      </c>
      <c r="P112">
        <f>[25]Ag!F43</f>
        <v>96</v>
      </c>
      <c r="Q112">
        <v>99</v>
      </c>
      <c r="R112">
        <f>[25]Ag!F75</f>
        <v>114</v>
      </c>
      <c r="S112">
        <v>131</v>
      </c>
      <c r="T112">
        <v>148</v>
      </c>
      <c r="U112">
        <v>156</v>
      </c>
      <c r="V112">
        <v>172</v>
      </c>
      <c r="W112">
        <f>VLOOKUP(B112,[26]MP!$Y$29:$Z$34,2,0)</f>
        <v>197</v>
      </c>
      <c r="X112">
        <f>[14]MP!$Z$33</f>
        <v>210</v>
      </c>
      <c r="Y112">
        <f>[24]MP!$Z$37</f>
        <v>231</v>
      </c>
      <c r="Z112">
        <f>[15]MP!$Z$37</f>
        <v>251</v>
      </c>
      <c r="AA112" s="18">
        <f t="shared" si="317"/>
        <v>156</v>
      </c>
      <c r="AB112" s="18">
        <f t="shared" si="330"/>
        <v>99</v>
      </c>
      <c r="AC112" s="18">
        <f t="shared" si="331"/>
        <v>148</v>
      </c>
      <c r="AD112" s="18">
        <f t="shared" si="332"/>
        <v>197</v>
      </c>
      <c r="AE112" s="18">
        <f t="shared" si="333"/>
        <v>251</v>
      </c>
      <c r="AF112" s="18">
        <f t="shared" si="318"/>
        <v>82</v>
      </c>
      <c r="AG112" s="22">
        <f t="shared" si="305"/>
        <v>60</v>
      </c>
      <c r="AH112" s="22">
        <f t="shared" si="306"/>
        <v>81</v>
      </c>
      <c r="AI112" s="22">
        <f t="shared" si="307"/>
        <v>94</v>
      </c>
      <c r="AJ112" s="22">
        <f t="shared" si="308"/>
        <v>93</v>
      </c>
      <c r="AK112" s="31">
        <f t="shared" si="319"/>
        <v>0.90243902439024382</v>
      </c>
      <c r="AL112" s="31">
        <f t="shared" si="309"/>
        <v>0.64999999999999991</v>
      </c>
      <c r="AM112" s="31">
        <f t="shared" si="310"/>
        <v>0.82716049382716039</v>
      </c>
      <c r="AN112" s="31">
        <f t="shared" si="311"/>
        <v>1.0957446808510638</v>
      </c>
      <c r="AO112" s="31">
        <f t="shared" si="312"/>
        <v>1.6989247311827955</v>
      </c>
      <c r="AP112" s="22">
        <f>[16]MP!$Z$37</f>
        <v>255</v>
      </c>
      <c r="AQ112" s="22">
        <f>[17]MP!$Z$37</f>
        <v>259</v>
      </c>
      <c r="AR112" s="22">
        <f>[18]MP!$Z$38</f>
        <v>249</v>
      </c>
      <c r="AS112" s="22">
        <f>[19]MP!Z36</f>
        <v>238</v>
      </c>
      <c r="AT112" s="22">
        <f>[20]MP!$Z$38</f>
        <v>241</v>
      </c>
      <c r="AU112" s="22">
        <f>[21]MP!$Z$38</f>
        <v>225</v>
      </c>
      <c r="AV112" s="22">
        <f>[22]MP!$Z$38</f>
        <v>216</v>
      </c>
      <c r="AW112" s="18"/>
      <c r="AX112" s="18"/>
      <c r="AY112" s="18"/>
      <c r="AZ112" s="18"/>
      <c r="BA112" s="18"/>
      <c r="BB112" s="22">
        <f t="shared" si="320"/>
        <v>249</v>
      </c>
      <c r="BC112" s="18">
        <f t="shared" si="321"/>
        <v>225</v>
      </c>
      <c r="BD112" s="18">
        <f t="shared" si="322"/>
        <v>216</v>
      </c>
      <c r="BE112" s="18"/>
      <c r="BF112" s="22">
        <f t="shared" si="323"/>
        <v>216</v>
      </c>
      <c r="BG112" s="122">
        <f t="shared" si="324"/>
        <v>2.7127659574468086</v>
      </c>
      <c r="BH112" s="111">
        <f t="shared" si="324"/>
        <v>2.6979166666666665</v>
      </c>
      <c r="BI112" s="111">
        <f t="shared" si="313"/>
        <v>2.5151515151515151</v>
      </c>
      <c r="BJ112" s="111">
        <f t="shared" si="313"/>
        <v>2.0877192982456139</v>
      </c>
      <c r="BK112" s="111">
        <f t="shared" si="313"/>
        <v>1.8396946564885497</v>
      </c>
      <c r="BL112" s="111">
        <f t="shared" si="325"/>
        <v>1.5202702702702702</v>
      </c>
      <c r="BM112" s="111">
        <f t="shared" si="326"/>
        <v>1.3846153846153846</v>
      </c>
      <c r="BN112" s="18"/>
      <c r="BO112" s="18"/>
      <c r="BP112" s="18"/>
      <c r="BQ112" s="18"/>
      <c r="BR112" s="18"/>
      <c r="BS112" s="111">
        <f t="shared" si="327"/>
        <v>2.5151515151515151</v>
      </c>
      <c r="BT112" s="111">
        <f t="shared" si="328"/>
        <v>1.5202702702702702</v>
      </c>
      <c r="BU112" s="111">
        <f t="shared" si="329"/>
        <v>1.3846153846153846</v>
      </c>
      <c r="BV112" s="18"/>
      <c r="BW112" s="111">
        <f t="shared" si="315"/>
        <v>1.3846153846153846</v>
      </c>
    </row>
    <row r="113" spans="1:75" x14ac:dyDescent="0.25">
      <c r="A113" s="20" t="str">
        <f t="shared" si="316"/>
        <v># Manpower_by_designation:BM</v>
      </c>
      <c r="B113" t="s">
        <v>37</v>
      </c>
      <c r="C113" s="6">
        <f>[25]Ag!F136</f>
        <v>24</v>
      </c>
      <c r="D113">
        <f>[25]Ag!F151</f>
        <v>24</v>
      </c>
      <c r="E113">
        <f>[25]Ag!F166</f>
        <v>27</v>
      </c>
      <c r="F113">
        <f>[25]Ag!F181</f>
        <v>31</v>
      </c>
      <c r="G113">
        <f>[25]Ag!F195</f>
        <v>30</v>
      </c>
      <c r="H113">
        <f>[25]Ag!F211</f>
        <v>29</v>
      </c>
      <c r="I113">
        <f>[25]Ag!F226</f>
        <v>29</v>
      </c>
      <c r="J113">
        <f>[25]Ag!F241</f>
        <v>26</v>
      </c>
      <c r="K113">
        <f>[25]Ag!F256</f>
        <v>28</v>
      </c>
      <c r="L113">
        <f>[25]Ag!F271</f>
        <v>29</v>
      </c>
      <c r="M113">
        <f>[25]Ag!F286</f>
        <v>28</v>
      </c>
      <c r="N113">
        <f>[25]Ag!F11</f>
        <v>28</v>
      </c>
      <c r="O113">
        <f>[25]Ag!F28</f>
        <v>30</v>
      </c>
      <c r="P113">
        <f>[25]Ag!F44</f>
        <v>29</v>
      </c>
      <c r="Q113">
        <v>29</v>
      </c>
      <c r="R113">
        <f>[25]Ag!F76</f>
        <v>31</v>
      </c>
      <c r="S113">
        <v>33</v>
      </c>
      <c r="T113">
        <v>36</v>
      </c>
      <c r="U113">
        <v>39</v>
      </c>
      <c r="V113">
        <v>42</v>
      </c>
      <c r="W113">
        <f>VLOOKUP(B113,[26]MP!$Y$29:$Z$34,2,0)</f>
        <v>57</v>
      </c>
      <c r="X113">
        <f>[14]MP!Z31</f>
        <v>67</v>
      </c>
      <c r="Y113">
        <f>[24]MP!Z35</f>
        <v>70</v>
      </c>
      <c r="Z113">
        <f>[15]MP!Z35</f>
        <v>73</v>
      </c>
      <c r="AA113" s="18">
        <f t="shared" si="317"/>
        <v>39</v>
      </c>
      <c r="AB113" s="18">
        <f t="shared" si="330"/>
        <v>29</v>
      </c>
      <c r="AC113" s="18">
        <f t="shared" si="331"/>
        <v>36</v>
      </c>
      <c r="AD113" s="18">
        <f t="shared" si="332"/>
        <v>57</v>
      </c>
      <c r="AE113" s="18">
        <f t="shared" si="333"/>
        <v>73</v>
      </c>
      <c r="AF113" s="18">
        <f t="shared" si="318"/>
        <v>29</v>
      </c>
      <c r="AG113" s="22">
        <f t="shared" si="305"/>
        <v>27</v>
      </c>
      <c r="AH113" s="22">
        <f t="shared" si="306"/>
        <v>29</v>
      </c>
      <c r="AI113" s="22">
        <f t="shared" si="307"/>
        <v>28</v>
      </c>
      <c r="AJ113" s="22">
        <f t="shared" si="308"/>
        <v>28</v>
      </c>
      <c r="AK113" s="31">
        <f t="shared" si="319"/>
        <v>0.34482758620689657</v>
      </c>
      <c r="AL113" s="31">
        <f t="shared" si="309"/>
        <v>7.4074074074074181E-2</v>
      </c>
      <c r="AM113" s="31">
        <f t="shared" si="310"/>
        <v>0.24137931034482762</v>
      </c>
      <c r="AN113" s="31">
        <f t="shared" si="311"/>
        <v>1.0357142857142856</v>
      </c>
      <c r="AO113" s="31">
        <f t="shared" si="312"/>
        <v>1.6071428571428572</v>
      </c>
      <c r="AP113" s="22">
        <f>[16]MP!Z35</f>
        <v>74</v>
      </c>
      <c r="AQ113" s="22">
        <f>[17]MP!Z35</f>
        <v>83</v>
      </c>
      <c r="AR113" s="22">
        <f>[18]MP!Z36</f>
        <v>82</v>
      </c>
      <c r="AS113" s="22">
        <f>[19]MP!Z37</f>
        <v>82</v>
      </c>
      <c r="AT113" s="22">
        <f>[20]MP!Z36</f>
        <v>81</v>
      </c>
      <c r="AU113" s="22">
        <f>[21]MP!Z36</f>
        <v>80</v>
      </c>
      <c r="AV113" s="22">
        <f>[22]MP!$Z$36</f>
        <v>74</v>
      </c>
      <c r="AW113" s="18"/>
      <c r="AX113" s="18"/>
      <c r="AY113" s="18"/>
      <c r="AZ113" s="18"/>
      <c r="BA113" s="18"/>
      <c r="BB113" s="22">
        <f t="shared" si="320"/>
        <v>82</v>
      </c>
      <c r="BC113" s="18">
        <f t="shared" si="321"/>
        <v>80</v>
      </c>
      <c r="BD113" s="18">
        <f t="shared" si="322"/>
        <v>74</v>
      </c>
      <c r="BE113" s="18"/>
      <c r="BF113" s="22">
        <f t="shared" si="323"/>
        <v>74</v>
      </c>
      <c r="BG113" s="122">
        <f t="shared" si="324"/>
        <v>2.4666666666666668</v>
      </c>
      <c r="BH113" s="111">
        <f t="shared" si="324"/>
        <v>2.8620689655172415</v>
      </c>
      <c r="BI113" s="111">
        <f t="shared" si="313"/>
        <v>2.8275862068965516</v>
      </c>
      <c r="BJ113" s="111">
        <f t="shared" si="313"/>
        <v>2.6451612903225805</v>
      </c>
      <c r="BK113" s="111">
        <f t="shared" si="313"/>
        <v>2.4545454545454546</v>
      </c>
      <c r="BL113" s="111">
        <f t="shared" si="325"/>
        <v>2.2222222222222223</v>
      </c>
      <c r="BM113" s="111">
        <f t="shared" si="326"/>
        <v>1.8974358974358974</v>
      </c>
      <c r="BN113" s="18"/>
      <c r="BO113" s="18"/>
      <c r="BP113" s="18"/>
      <c r="BQ113" s="18"/>
      <c r="BR113" s="18"/>
      <c r="BS113" s="111">
        <f t="shared" si="327"/>
        <v>2.8275862068965516</v>
      </c>
      <c r="BT113" s="111">
        <f t="shared" si="328"/>
        <v>2.2222222222222223</v>
      </c>
      <c r="BU113" s="111">
        <f t="shared" si="329"/>
        <v>1.8974358974358974</v>
      </c>
      <c r="BV113" s="18"/>
      <c r="BW113" s="111">
        <f t="shared" si="315"/>
        <v>1.8974358974358974</v>
      </c>
    </row>
    <row r="114" spans="1:75" x14ac:dyDescent="0.25">
      <c r="A114" s="20" t="str">
        <f t="shared" si="316"/>
        <v># Manpower_by_designation:SBM</v>
      </c>
      <c r="B114" t="s">
        <v>38</v>
      </c>
      <c r="C114" s="6">
        <f>[25]Ag!F137</f>
        <v>7</v>
      </c>
      <c r="D114">
        <f>[25]Ag!F152</f>
        <v>8</v>
      </c>
      <c r="E114">
        <f>[25]Ag!F167</f>
        <v>8</v>
      </c>
      <c r="F114">
        <f>[25]Ag!F182</f>
        <v>10</v>
      </c>
      <c r="G114">
        <f>[25]Ag!F196</f>
        <v>12</v>
      </c>
      <c r="H114">
        <f>[25]Ag!F212</f>
        <v>13</v>
      </c>
      <c r="I114">
        <f>[25]Ag!F227</f>
        <v>17</v>
      </c>
      <c r="J114">
        <f>[25]Ag!F242</f>
        <v>19</v>
      </c>
      <c r="K114">
        <f>[25]Ag!F257</f>
        <v>21</v>
      </c>
      <c r="L114">
        <f>[25]Ag!F272</f>
        <v>20</v>
      </c>
      <c r="M114">
        <f>[25]Ag!F287</f>
        <v>20</v>
      </c>
      <c r="N114">
        <f>[25]Ag!F12</f>
        <v>21</v>
      </c>
      <c r="O114">
        <f>[25]Ag!F29</f>
        <v>21</v>
      </c>
      <c r="P114">
        <f>[25]Ag!F45</f>
        <v>22</v>
      </c>
      <c r="Q114">
        <v>25</v>
      </c>
      <c r="R114">
        <f>[25]Ag!F77</f>
        <v>27</v>
      </c>
      <c r="S114">
        <v>27</v>
      </c>
      <c r="T114">
        <v>33</v>
      </c>
      <c r="U114">
        <v>35</v>
      </c>
      <c r="V114">
        <v>38</v>
      </c>
      <c r="W114">
        <f>VLOOKUP(B114,[26]MP!$Y$29:$Z$34,2,0)</f>
        <v>44</v>
      </c>
      <c r="X114">
        <f>[14]MP!Z32</f>
        <v>47</v>
      </c>
      <c r="Y114">
        <f>[24]MP!Z36</f>
        <v>50</v>
      </c>
      <c r="Z114">
        <f>[15]MP!Z36</f>
        <v>54</v>
      </c>
      <c r="AA114" s="18">
        <f t="shared" si="317"/>
        <v>35</v>
      </c>
      <c r="AB114" s="18">
        <f t="shared" si="330"/>
        <v>25</v>
      </c>
      <c r="AC114" s="18">
        <f t="shared" si="331"/>
        <v>33</v>
      </c>
      <c r="AD114" s="18">
        <f t="shared" si="332"/>
        <v>44</v>
      </c>
      <c r="AE114" s="18">
        <f t="shared" si="333"/>
        <v>54</v>
      </c>
      <c r="AF114" s="18">
        <f t="shared" si="318"/>
        <v>17</v>
      </c>
      <c r="AG114" s="22">
        <f t="shared" si="305"/>
        <v>8</v>
      </c>
      <c r="AH114" s="22">
        <f t="shared" si="306"/>
        <v>13</v>
      </c>
      <c r="AI114" s="22">
        <f t="shared" si="307"/>
        <v>21</v>
      </c>
      <c r="AJ114" s="22">
        <f t="shared" si="308"/>
        <v>21</v>
      </c>
      <c r="AK114" s="31">
        <f t="shared" si="319"/>
        <v>1.0588235294117645</v>
      </c>
      <c r="AL114" s="31">
        <f t="shared" si="309"/>
        <v>2.125</v>
      </c>
      <c r="AM114" s="31">
        <f t="shared" si="310"/>
        <v>1.5384615384615383</v>
      </c>
      <c r="AN114" s="31">
        <f t="shared" si="311"/>
        <v>1.0952380952380953</v>
      </c>
      <c r="AO114" s="31">
        <f t="shared" si="312"/>
        <v>1.5714285714285716</v>
      </c>
      <c r="AP114" s="22">
        <f>[16]MP!Z36</f>
        <v>51</v>
      </c>
      <c r="AQ114" s="22">
        <f>[17]MP!Z36</f>
        <v>53</v>
      </c>
      <c r="AR114" s="22">
        <f>[18]MP!Z37</f>
        <v>52</v>
      </c>
      <c r="AS114" s="22">
        <f>[19]MP!Z38</f>
        <v>53</v>
      </c>
      <c r="AT114" s="22">
        <f>[20]MP!Z37</f>
        <v>54</v>
      </c>
      <c r="AU114" s="22">
        <f>[21]MP!Z37</f>
        <v>51</v>
      </c>
      <c r="AV114" s="22">
        <f>[22]MP!$Z$37</f>
        <v>41</v>
      </c>
      <c r="AW114" s="18"/>
      <c r="AX114" s="18"/>
      <c r="AY114" s="18"/>
      <c r="AZ114" s="18"/>
      <c r="BA114" s="18"/>
      <c r="BB114" s="22">
        <f t="shared" si="320"/>
        <v>52</v>
      </c>
      <c r="BC114" s="18">
        <f t="shared" si="321"/>
        <v>51</v>
      </c>
      <c r="BD114" s="18">
        <f t="shared" si="322"/>
        <v>41</v>
      </c>
      <c r="BE114" s="18"/>
      <c r="BF114" s="22">
        <f t="shared" si="323"/>
        <v>41</v>
      </c>
      <c r="BG114" s="122">
        <f t="shared" si="324"/>
        <v>2.4285714285714284</v>
      </c>
      <c r="BH114" s="111">
        <f t="shared" si="324"/>
        <v>2.4090909090909092</v>
      </c>
      <c r="BI114" s="111">
        <f t="shared" si="313"/>
        <v>2.08</v>
      </c>
      <c r="BJ114" s="111">
        <f t="shared" si="313"/>
        <v>1.962962962962963</v>
      </c>
      <c r="BK114" s="111">
        <f t="shared" si="313"/>
        <v>2</v>
      </c>
      <c r="BL114" s="111">
        <f t="shared" si="325"/>
        <v>1.5454545454545454</v>
      </c>
      <c r="BM114" s="111">
        <f t="shared" si="326"/>
        <v>1.1714285714285715</v>
      </c>
      <c r="BN114" s="18"/>
      <c r="BO114" s="18"/>
      <c r="BP114" s="18"/>
      <c r="BQ114" s="18"/>
      <c r="BR114" s="18"/>
      <c r="BS114" s="111">
        <f t="shared" si="327"/>
        <v>2.08</v>
      </c>
      <c r="BT114" s="111">
        <f t="shared" si="328"/>
        <v>1.5454545454545454</v>
      </c>
      <c r="BU114" s="111">
        <f t="shared" si="329"/>
        <v>1.1714285714285715</v>
      </c>
      <c r="BV114" s="18"/>
      <c r="BW114" s="111">
        <f t="shared" si="315"/>
        <v>1.1714285714285715</v>
      </c>
    </row>
    <row r="115" spans="1:75" x14ac:dyDescent="0.25">
      <c r="A115" s="20" t="str">
        <f t="shared" si="316"/>
        <v># Manpower_by_designation:SA</v>
      </c>
      <c r="B115" s="135" t="s">
        <v>136</v>
      </c>
      <c r="C115" s="6"/>
      <c r="AA115" s="18"/>
      <c r="AB115" s="18"/>
      <c r="AC115" s="18"/>
      <c r="AD115" s="18"/>
      <c r="AE115" s="18"/>
      <c r="AF115" s="18"/>
      <c r="AG115" s="22"/>
      <c r="AH115" s="22"/>
      <c r="AI115" s="22"/>
      <c r="AJ115" s="22"/>
      <c r="AK115" s="31"/>
      <c r="AL115" s="31"/>
      <c r="AM115" s="31"/>
      <c r="AN115" s="31"/>
      <c r="AO115" s="31"/>
      <c r="AP115" s="22"/>
      <c r="AQ115" s="22">
        <f>[17]MP!$Z$39</f>
        <v>1555</v>
      </c>
      <c r="AR115" s="22">
        <f>[18]MP!$Z$34</f>
        <v>1709</v>
      </c>
      <c r="AS115" s="22">
        <f>[19]MP!Z39</f>
        <v>2366</v>
      </c>
      <c r="AT115" s="22">
        <f>[20]MP!$Z$34</f>
        <v>2740</v>
      </c>
      <c r="AU115" s="22">
        <f>[21]MP!$Z$34</f>
        <v>3299</v>
      </c>
      <c r="AV115" s="22">
        <f>[22]MP!$Z$34</f>
        <v>4093</v>
      </c>
      <c r="AW115" s="18"/>
      <c r="AX115" s="18"/>
      <c r="AY115" s="18"/>
      <c r="AZ115" s="18"/>
      <c r="BA115" s="18"/>
      <c r="BB115" s="22">
        <f t="shared" si="320"/>
        <v>1709</v>
      </c>
      <c r="BC115" s="18">
        <f t="shared" si="321"/>
        <v>3299</v>
      </c>
      <c r="BD115" s="18">
        <f t="shared" si="322"/>
        <v>4093</v>
      </c>
      <c r="BE115" s="18"/>
      <c r="BF115" s="22">
        <f t="shared" si="323"/>
        <v>4093</v>
      </c>
      <c r="BG115" s="122"/>
      <c r="BH115" s="111"/>
      <c r="BI115" s="111"/>
      <c r="BJ115" s="111"/>
      <c r="BK115" s="111"/>
      <c r="BL115" s="18"/>
      <c r="BM115" s="18"/>
      <c r="BN115" s="18"/>
      <c r="BO115" s="18"/>
      <c r="BP115" s="18"/>
      <c r="BQ115" s="18"/>
      <c r="BR115" s="18"/>
      <c r="BS115" s="111"/>
      <c r="BT115" s="111"/>
      <c r="BU115" s="111"/>
      <c r="BV115" s="18"/>
      <c r="BW115" s="111"/>
    </row>
    <row r="116" spans="1:75" s="19" customFormat="1" x14ac:dyDescent="0.25">
      <c r="A116" s="20" t="str">
        <f t="shared" si="316"/>
        <v># Manpower_by_designation:Total (excl. SA)</v>
      </c>
      <c r="B116" s="1" t="s">
        <v>137</v>
      </c>
      <c r="C116" s="7">
        <f t="shared" ref="C116:Z116" si="334">SUM(C109:C114)</f>
        <v>1142</v>
      </c>
      <c r="D116" s="7">
        <f t="shared" si="334"/>
        <v>1203</v>
      </c>
      <c r="E116" s="7">
        <f t="shared" si="334"/>
        <v>1332</v>
      </c>
      <c r="F116" s="7">
        <f t="shared" si="334"/>
        <v>1503</v>
      </c>
      <c r="G116" s="7">
        <f t="shared" si="334"/>
        <v>1459</v>
      </c>
      <c r="H116" s="7">
        <f t="shared" si="334"/>
        <v>1485</v>
      </c>
      <c r="I116" s="7">
        <f t="shared" si="334"/>
        <v>1485</v>
      </c>
      <c r="J116" s="7">
        <f t="shared" si="334"/>
        <v>1572</v>
      </c>
      <c r="K116" s="7">
        <f t="shared" si="334"/>
        <v>1732</v>
      </c>
      <c r="L116" s="7">
        <f t="shared" si="334"/>
        <v>1852</v>
      </c>
      <c r="M116" s="7">
        <f t="shared" si="334"/>
        <v>2108</v>
      </c>
      <c r="N116" s="7">
        <f t="shared" si="334"/>
        <v>2192</v>
      </c>
      <c r="O116" s="7">
        <f t="shared" si="334"/>
        <v>2219</v>
      </c>
      <c r="P116" s="7">
        <f t="shared" si="334"/>
        <v>2130</v>
      </c>
      <c r="Q116" s="7">
        <f t="shared" si="334"/>
        <v>2259</v>
      </c>
      <c r="R116" s="7">
        <f t="shared" si="334"/>
        <v>2385</v>
      </c>
      <c r="S116" s="7">
        <f t="shared" si="334"/>
        <v>2733</v>
      </c>
      <c r="T116" s="7">
        <f t="shared" si="334"/>
        <v>3526</v>
      </c>
      <c r="U116" s="7">
        <f t="shared" si="334"/>
        <v>3957</v>
      </c>
      <c r="V116" s="7">
        <f t="shared" si="334"/>
        <v>4470</v>
      </c>
      <c r="W116" s="7">
        <f t="shared" si="334"/>
        <v>5082</v>
      </c>
      <c r="X116" s="7">
        <f t="shared" si="334"/>
        <v>5596</v>
      </c>
      <c r="Y116" s="7">
        <f t="shared" si="334"/>
        <v>6020</v>
      </c>
      <c r="Z116" s="7">
        <f t="shared" si="334"/>
        <v>6701</v>
      </c>
      <c r="AA116" s="17">
        <f t="shared" si="317"/>
        <v>3957</v>
      </c>
      <c r="AB116" s="17">
        <f t="shared" si="330"/>
        <v>2259</v>
      </c>
      <c r="AC116" s="17">
        <f t="shared" si="331"/>
        <v>3526</v>
      </c>
      <c r="AD116" s="17">
        <f t="shared" si="332"/>
        <v>5082</v>
      </c>
      <c r="AE116" s="17">
        <f t="shared" si="333"/>
        <v>6701</v>
      </c>
      <c r="AF116" s="17">
        <f t="shared" si="318"/>
        <v>1485</v>
      </c>
      <c r="AG116" s="27">
        <f t="shared" si="305"/>
        <v>1332</v>
      </c>
      <c r="AH116" s="27">
        <f t="shared" si="306"/>
        <v>1485</v>
      </c>
      <c r="AI116" s="27">
        <f t="shared" si="307"/>
        <v>1732</v>
      </c>
      <c r="AJ116" s="27">
        <f t="shared" si="308"/>
        <v>2192</v>
      </c>
      <c r="AK116" s="32">
        <f t="shared" si="319"/>
        <v>1.6646464646464647</v>
      </c>
      <c r="AL116" s="32">
        <f t="shared" si="309"/>
        <v>0.69594594594594605</v>
      </c>
      <c r="AM116" s="32">
        <f t="shared" si="310"/>
        <v>1.3744107744107743</v>
      </c>
      <c r="AN116" s="32">
        <f t="shared" si="311"/>
        <v>1.9341801385681294</v>
      </c>
      <c r="AO116" s="32">
        <f t="shared" si="312"/>
        <v>2.0570255474452557</v>
      </c>
      <c r="AP116" s="115">
        <f t="shared" ref="AP116:AV116" si="335">SUM(AP109:AP114)</f>
        <v>6810</v>
      </c>
      <c r="AQ116" s="115">
        <f t="shared" si="335"/>
        <v>5112</v>
      </c>
      <c r="AR116" s="115">
        <f t="shared" si="335"/>
        <v>5243</v>
      </c>
      <c r="AS116" s="115">
        <f t="shared" si="335"/>
        <v>4730</v>
      </c>
      <c r="AT116" s="115">
        <f t="shared" si="335"/>
        <v>4944</v>
      </c>
      <c r="AU116" s="115">
        <f t="shared" si="335"/>
        <v>5524</v>
      </c>
      <c r="AV116" s="115">
        <f t="shared" si="335"/>
        <v>5453</v>
      </c>
      <c r="AW116" s="18"/>
      <c r="AX116" s="18"/>
      <c r="AY116" s="18"/>
      <c r="AZ116" s="18"/>
      <c r="BA116" s="18"/>
      <c r="BB116" s="114">
        <f t="shared" ref="BB116:BF116" si="336">SUM(BB109:BB114)</f>
        <v>5243</v>
      </c>
      <c r="BC116" s="114">
        <f t="shared" si="336"/>
        <v>5524</v>
      </c>
      <c r="BD116" s="114">
        <f>SUM(BD109:BD114)</f>
        <v>5453</v>
      </c>
      <c r="BE116" s="114">
        <f t="shared" si="336"/>
        <v>0</v>
      </c>
      <c r="BF116" s="114">
        <f t="shared" si="336"/>
        <v>5453</v>
      </c>
      <c r="BG116" s="123">
        <f t="shared" si="324"/>
        <v>3.0689499774673275</v>
      </c>
      <c r="BH116" s="118">
        <f t="shared" si="324"/>
        <v>2.4</v>
      </c>
      <c r="BI116" s="118">
        <f t="shared" ref="BI116" si="337">AR116/Q116</f>
        <v>2.3209384683488268</v>
      </c>
      <c r="BJ116" s="118">
        <f t="shared" ref="BJ116" si="338">AS116/R116</f>
        <v>1.9832285115303983</v>
      </c>
      <c r="BK116" s="118">
        <f t="shared" ref="BK116" si="339">AT116/S116</f>
        <v>1.8090010976948407</v>
      </c>
      <c r="BL116" s="118">
        <f t="shared" ref="BL116" si="340">AU116/T116</f>
        <v>1.5666477595008508</v>
      </c>
      <c r="BM116" s="118">
        <f t="shared" ref="BM116" si="341">AV116/U116</f>
        <v>1.3780641900429618</v>
      </c>
      <c r="BN116" s="37"/>
      <c r="BO116" s="37"/>
      <c r="BP116" s="37"/>
      <c r="BQ116" s="37"/>
      <c r="BR116" s="37"/>
      <c r="BS116" s="118">
        <f t="shared" si="327"/>
        <v>2.3209384683488268</v>
      </c>
      <c r="BT116" s="111">
        <f t="shared" si="328"/>
        <v>1.5666477595008508</v>
      </c>
      <c r="BU116" s="111">
        <f t="shared" si="329"/>
        <v>1.3780641900429618</v>
      </c>
      <c r="BV116" s="37"/>
      <c r="BW116" s="118">
        <f t="shared" si="315"/>
        <v>1.3780641900429618</v>
      </c>
    </row>
    <row r="117" spans="1:75" x14ac:dyDescent="0.25">
      <c r="A117" s="20" t="s">
        <v>160</v>
      </c>
      <c r="B117" t="s">
        <v>187</v>
      </c>
      <c r="C117" s="6">
        <f t="shared" ref="C117:S117" si="342">C26</f>
        <v>1142</v>
      </c>
      <c r="D117" s="6">
        <f t="shared" si="342"/>
        <v>1203</v>
      </c>
      <c r="E117" s="6">
        <f t="shared" si="342"/>
        <v>1331</v>
      </c>
      <c r="F117" s="6">
        <f t="shared" si="342"/>
        <v>1503</v>
      </c>
      <c r="G117" s="6">
        <f t="shared" si="342"/>
        <v>1459</v>
      </c>
      <c r="H117" s="6">
        <f t="shared" si="342"/>
        <v>1485</v>
      </c>
      <c r="I117" s="6">
        <f t="shared" si="342"/>
        <v>1485</v>
      </c>
      <c r="J117" s="6">
        <f t="shared" si="342"/>
        <v>1572</v>
      </c>
      <c r="K117" s="6">
        <f t="shared" si="342"/>
        <v>1732</v>
      </c>
      <c r="L117" s="6">
        <f t="shared" si="342"/>
        <v>1852</v>
      </c>
      <c r="M117" s="6">
        <f t="shared" si="342"/>
        <v>2108</v>
      </c>
      <c r="N117" s="6">
        <f t="shared" si="342"/>
        <v>2192</v>
      </c>
      <c r="O117" s="6">
        <f t="shared" si="342"/>
        <v>2219</v>
      </c>
      <c r="P117" s="6">
        <f t="shared" si="342"/>
        <v>2130</v>
      </c>
      <c r="Q117" s="6">
        <f t="shared" si="342"/>
        <v>2259</v>
      </c>
      <c r="R117" s="6">
        <f t="shared" si="342"/>
        <v>2385</v>
      </c>
      <c r="S117" s="6">
        <f t="shared" si="342"/>
        <v>2733</v>
      </c>
      <c r="T117" s="6">
        <f>T26</f>
        <v>3526</v>
      </c>
      <c r="U117">
        <f>SUM(U109:U115)</f>
        <v>3957</v>
      </c>
      <c r="V117">
        <f t="shared" ref="V117:Z117" si="343">SUM(V109:V115)</f>
        <v>4470</v>
      </c>
      <c r="W117">
        <f t="shared" si="343"/>
        <v>5082</v>
      </c>
      <c r="X117">
        <f t="shared" si="343"/>
        <v>5596</v>
      </c>
      <c r="Y117">
        <f t="shared" si="343"/>
        <v>6020</v>
      </c>
      <c r="Z117">
        <f t="shared" si="343"/>
        <v>6701</v>
      </c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24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</row>
    <row r="118" spans="1:75" x14ac:dyDescent="0.25">
      <c r="A118" s="20" t="s">
        <v>228</v>
      </c>
      <c r="B118" t="s">
        <v>187</v>
      </c>
      <c r="C118" s="6">
        <f>C110+C111+C112+C113+C114</f>
        <v>297</v>
      </c>
      <c r="D118" s="6">
        <f t="shared" ref="D118:S118" si="344">D110+D111+D112+D113+D114</f>
        <v>320</v>
      </c>
      <c r="E118" s="6">
        <f t="shared" si="344"/>
        <v>335</v>
      </c>
      <c r="F118" s="6">
        <f t="shared" si="344"/>
        <v>376</v>
      </c>
      <c r="G118" s="6">
        <f t="shared" si="344"/>
        <v>398</v>
      </c>
      <c r="H118" s="6">
        <f t="shared" si="344"/>
        <v>380</v>
      </c>
      <c r="I118" s="6">
        <f t="shared" si="344"/>
        <v>384</v>
      </c>
      <c r="J118" s="6">
        <f t="shared" si="344"/>
        <v>373</v>
      </c>
      <c r="K118" s="6">
        <f t="shared" si="344"/>
        <v>435</v>
      </c>
      <c r="L118" s="6">
        <f t="shared" si="344"/>
        <v>465</v>
      </c>
      <c r="M118" s="6">
        <f t="shared" si="344"/>
        <v>487</v>
      </c>
      <c r="N118" s="6">
        <f t="shared" si="344"/>
        <v>488</v>
      </c>
      <c r="O118" s="6">
        <f t="shared" si="344"/>
        <v>503</v>
      </c>
      <c r="P118" s="6">
        <f t="shared" si="344"/>
        <v>509</v>
      </c>
      <c r="Q118" s="6">
        <f t="shared" si="344"/>
        <v>533</v>
      </c>
      <c r="R118" s="6">
        <f t="shared" si="344"/>
        <v>593</v>
      </c>
      <c r="S118" s="6">
        <f t="shared" si="344"/>
        <v>653</v>
      </c>
      <c r="T118" s="6">
        <f>T110+T111+T112+T113+T114</f>
        <v>760</v>
      </c>
      <c r="U118" s="6">
        <f>U110+U111+U112+U113+U114</f>
        <v>801</v>
      </c>
      <c r="V118" s="6">
        <f t="shared" ref="V118:Y118" si="345">V110+V111+V112+V113+V114</f>
        <v>893</v>
      </c>
      <c r="W118" s="6">
        <f t="shared" si="345"/>
        <v>1044</v>
      </c>
      <c r="X118" s="6">
        <f t="shared" si="345"/>
        <v>1158</v>
      </c>
      <c r="Y118" s="6">
        <f t="shared" si="345"/>
        <v>1245</v>
      </c>
      <c r="Z118" s="6">
        <f>Z110+Z111+Z112+Z113+Z114</f>
        <v>1353</v>
      </c>
      <c r="AP118" s="6">
        <f>AP110+AP111+AP112+AP113+AP114</f>
        <v>1355</v>
      </c>
      <c r="AQ118" s="6">
        <f t="shared" ref="AQ118:AW118" si="346">AQ110+AQ111+AQ112+AQ113+AQ114</f>
        <v>1416</v>
      </c>
      <c r="AR118" s="6">
        <f t="shared" si="346"/>
        <v>1399</v>
      </c>
      <c r="AS118" s="6">
        <f t="shared" si="346"/>
        <v>1270</v>
      </c>
      <c r="AT118" s="6">
        <f t="shared" si="346"/>
        <v>1319</v>
      </c>
      <c r="AU118" s="6">
        <f t="shared" si="346"/>
        <v>1314</v>
      </c>
      <c r="AV118" s="6">
        <f t="shared" si="346"/>
        <v>1180</v>
      </c>
      <c r="AW118" s="6">
        <f t="shared" si="346"/>
        <v>0</v>
      </c>
      <c r="AX118" s="18"/>
      <c r="AY118" s="18"/>
      <c r="AZ118" s="18"/>
      <c r="BA118" s="18"/>
      <c r="BB118" s="18"/>
      <c r="BC118" s="18"/>
      <c r="BD118" s="18"/>
      <c r="BE118" s="18"/>
      <c r="BF118" s="18"/>
      <c r="BG118" s="124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</row>
    <row r="119" spans="1:75" x14ac:dyDescent="0.25"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24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</row>
    <row r="120" spans="1:75" x14ac:dyDescent="0.25">
      <c r="B120" s="2" t="s">
        <v>15</v>
      </c>
      <c r="C120" s="3">
        <v>42005</v>
      </c>
      <c r="D120" s="3">
        <v>42036</v>
      </c>
      <c r="E120" s="3">
        <v>42064</v>
      </c>
      <c r="F120" s="3">
        <v>42095</v>
      </c>
      <c r="G120" s="3">
        <v>42125</v>
      </c>
      <c r="H120" s="3">
        <v>42156</v>
      </c>
      <c r="I120" s="3">
        <v>42186</v>
      </c>
      <c r="J120" s="3">
        <v>42217</v>
      </c>
      <c r="K120" s="3">
        <v>42248</v>
      </c>
      <c r="L120" s="3">
        <v>42278</v>
      </c>
      <c r="M120" s="3">
        <v>42309</v>
      </c>
      <c r="N120" s="3">
        <v>42339</v>
      </c>
      <c r="O120" s="3">
        <v>42370</v>
      </c>
      <c r="P120" s="3">
        <v>42401</v>
      </c>
      <c r="Q120" s="3">
        <v>42430</v>
      </c>
      <c r="R120" s="3">
        <v>42461</v>
      </c>
      <c r="S120" s="3">
        <v>42491</v>
      </c>
      <c r="T120" s="3">
        <v>42522</v>
      </c>
      <c r="U120" s="3">
        <v>42552</v>
      </c>
      <c r="V120" s="3">
        <v>42583</v>
      </c>
      <c r="W120" s="3">
        <v>42614</v>
      </c>
      <c r="X120" s="3">
        <v>42644</v>
      </c>
      <c r="Y120" s="3">
        <v>42675</v>
      </c>
      <c r="Z120" s="3">
        <v>42705</v>
      </c>
      <c r="AA120" s="29" t="str">
        <f>$AA$89</f>
        <v>YTD 7/16</v>
      </c>
      <c r="AB120" s="29" t="s">
        <v>19</v>
      </c>
      <c r="AC120" s="29" t="s">
        <v>20</v>
      </c>
      <c r="AD120" s="29" t="s">
        <v>21</v>
      </c>
      <c r="AE120" s="29" t="s">
        <v>22</v>
      </c>
      <c r="AF120" s="26" t="s">
        <v>222</v>
      </c>
      <c r="AG120" s="26" t="s">
        <v>23</v>
      </c>
      <c r="AH120" s="26" t="s">
        <v>24</v>
      </c>
      <c r="AI120" s="26" t="s">
        <v>25</v>
      </c>
      <c r="AJ120" s="26" t="s">
        <v>26</v>
      </c>
      <c r="AK120" s="30" t="s">
        <v>27</v>
      </c>
      <c r="AL120" s="30" t="s">
        <v>29</v>
      </c>
      <c r="AM120" s="30" t="s">
        <v>30</v>
      </c>
      <c r="AN120" s="30" t="s">
        <v>31</v>
      </c>
      <c r="AO120" s="30" t="s">
        <v>32</v>
      </c>
      <c r="AP120" s="108">
        <v>42736</v>
      </c>
      <c r="AQ120" s="108">
        <v>42767</v>
      </c>
      <c r="AR120" s="108">
        <v>42795</v>
      </c>
      <c r="AS120" s="108">
        <v>42826</v>
      </c>
      <c r="AT120" s="108">
        <v>42856</v>
      </c>
      <c r="AU120" s="108">
        <v>42887</v>
      </c>
      <c r="AV120" s="108">
        <v>42917</v>
      </c>
      <c r="AW120" s="108">
        <v>42948</v>
      </c>
      <c r="AX120" s="108">
        <v>42979</v>
      </c>
      <c r="AY120" s="108">
        <v>43009</v>
      </c>
      <c r="AZ120" s="108">
        <v>43040</v>
      </c>
      <c r="BA120" s="108">
        <v>43070</v>
      </c>
      <c r="BB120" s="29" t="s">
        <v>123</v>
      </c>
      <c r="BC120" s="29" t="s">
        <v>124</v>
      </c>
      <c r="BD120" s="29" t="s">
        <v>125</v>
      </c>
      <c r="BE120" s="29" t="s">
        <v>126</v>
      </c>
      <c r="BF120" s="29" t="str">
        <f>$BF$3</f>
        <v>YTD 7/17</v>
      </c>
      <c r="BG120" s="121">
        <v>42736</v>
      </c>
      <c r="BH120" s="108">
        <v>42767</v>
      </c>
      <c r="BI120" s="108">
        <v>42795</v>
      </c>
      <c r="BJ120" s="108">
        <v>42826</v>
      </c>
      <c r="BK120" s="108">
        <v>42856</v>
      </c>
      <c r="BL120" s="108">
        <v>42887</v>
      </c>
      <c r="BM120" s="108">
        <v>42917</v>
      </c>
      <c r="BN120" s="108">
        <v>42948</v>
      </c>
      <c r="BO120" s="108">
        <v>42979</v>
      </c>
      <c r="BP120" s="108">
        <v>43009</v>
      </c>
      <c r="BQ120" s="108">
        <v>43040</v>
      </c>
      <c r="BR120" s="108">
        <v>43070</v>
      </c>
      <c r="BS120" s="29" t="s">
        <v>127</v>
      </c>
      <c r="BT120" s="29" t="s">
        <v>128</v>
      </c>
      <c r="BU120" s="29" t="s">
        <v>96</v>
      </c>
      <c r="BV120" s="29" t="s">
        <v>129</v>
      </c>
      <c r="BW120" s="112" t="s">
        <v>130</v>
      </c>
    </row>
    <row r="121" spans="1:75" x14ac:dyDescent="0.25">
      <c r="A121" s="20" t="str">
        <f>$B$120&amp;"_by_designation:"&amp;B121</f>
        <v>Recruit_by_designation:AG</v>
      </c>
      <c r="B121" t="s">
        <v>17</v>
      </c>
      <c r="C121" s="6">
        <f>[25]Ag!L132</f>
        <v>175</v>
      </c>
      <c r="D121" s="6">
        <f>[25]Ag!L147</f>
        <v>125</v>
      </c>
      <c r="E121" s="6">
        <f>[25]Ag!L162</f>
        <v>208</v>
      </c>
      <c r="F121" s="6">
        <f>[25]Ag!L177</f>
        <v>233</v>
      </c>
      <c r="G121" s="6">
        <f>[25]Ag!L191</f>
        <v>216</v>
      </c>
      <c r="H121" s="6">
        <f>[25]Ag!$L$207</f>
        <v>206</v>
      </c>
      <c r="I121" s="6">
        <f>[25]Ag!$L$222</f>
        <v>240</v>
      </c>
      <c r="J121" s="6">
        <f>[25]Ag!$L$237</f>
        <v>224</v>
      </c>
      <c r="K121" s="6">
        <f>[25]Ag!$L$252</f>
        <v>285</v>
      </c>
      <c r="L121" s="6">
        <f>[25]Ag!$L$267</f>
        <v>246</v>
      </c>
      <c r="M121" s="6">
        <f>[25]Ag!$L$282</f>
        <v>450</v>
      </c>
      <c r="N121" s="6">
        <f>[25]Ag!$M$7</f>
        <v>316</v>
      </c>
      <c r="O121" s="6">
        <f>[25]Ag!$M$24</f>
        <v>126</v>
      </c>
      <c r="P121" s="6">
        <f>[25]Ag!$M$40</f>
        <v>116</v>
      </c>
      <c r="Q121" s="6">
        <f>[25]Ag!$M$56</f>
        <v>338</v>
      </c>
      <c r="R121" s="6">
        <f>[25]Ag!$M$72</f>
        <v>288</v>
      </c>
      <c r="S121" s="6">
        <f>[25]Ag!$L$88</f>
        <v>448</v>
      </c>
      <c r="T121" s="6">
        <f>[25]Ag!$L$103</f>
        <v>854</v>
      </c>
      <c r="U121" s="6">
        <f>[25]Ag!$L$117</f>
        <v>602</v>
      </c>
      <c r="V121" s="6">
        <v>738</v>
      </c>
      <c r="W121" s="6">
        <f>IFERROR(VLOOKUP(B121,[26]Recruit!$I$43:$L$47,2,0),0)</f>
        <v>794</v>
      </c>
      <c r="X121" s="6">
        <f>[14]Recruit!$J$43</f>
        <v>761</v>
      </c>
      <c r="Y121" s="6">
        <f>[24]Recruit!$J$43</f>
        <v>793</v>
      </c>
      <c r="Z121" s="6">
        <f>[15]Recruit!$J$43</f>
        <v>1010</v>
      </c>
      <c r="AA121" s="22">
        <f>SUM(O121:INDEX(O121:Z121,$B$2))</f>
        <v>2772</v>
      </c>
      <c r="AB121" s="22">
        <f t="shared" ref="AB121:AB126" si="347">SUM(O121:Q121)</f>
        <v>580</v>
      </c>
      <c r="AC121" s="22">
        <f t="shared" ref="AC121:AC126" si="348">SUM(R121:T121)</f>
        <v>1590</v>
      </c>
      <c r="AD121" s="22">
        <f t="shared" ref="AD121:AD126" si="349">SUM(U121:W121)</f>
        <v>2134</v>
      </c>
      <c r="AE121" s="22">
        <f t="shared" ref="AE121:AE126" si="350">SUM(X121:Z121)</f>
        <v>2564</v>
      </c>
      <c r="AF121" s="22">
        <f>SUM(C121                                                                                : INDEX(C121:N121,$B$2))</f>
        <v>1403</v>
      </c>
      <c r="AG121" s="22">
        <f t="shared" ref="AG121:AG127" si="351">SUM(C121:E121)</f>
        <v>508</v>
      </c>
      <c r="AH121" s="22">
        <f t="shared" ref="AH121:AH127" si="352">SUM(F121:H121)</f>
        <v>655</v>
      </c>
      <c r="AI121" s="22">
        <f t="shared" ref="AI121:AI127" si="353">SUM(I121:K121)</f>
        <v>749</v>
      </c>
      <c r="AJ121" s="22">
        <f t="shared" ref="AJ121:AJ127" si="354">SUM(L121:N121)</f>
        <v>1012</v>
      </c>
      <c r="AK121" s="31">
        <f>AA121/AF121-1</f>
        <v>0.97576621525302931</v>
      </c>
      <c r="AL121" s="31">
        <f t="shared" ref="AL121:AL127" si="355">AB121/AG121-1</f>
        <v>0.1417322834645669</v>
      </c>
      <c r="AM121" s="31">
        <f t="shared" ref="AM121:AM127" si="356">AC121/AH121-1</f>
        <v>1.4274809160305342</v>
      </c>
      <c r="AN121" s="31">
        <f t="shared" ref="AN121:AN127" si="357">AD121/AI121-1</f>
        <v>1.8491321762349799</v>
      </c>
      <c r="AO121" s="31">
        <f t="shared" ref="AO121:AO127" si="358">AE121/AJ121-1</f>
        <v>1.5335968379446641</v>
      </c>
      <c r="AP121" s="113">
        <f>[16]Recruit!$J$43</f>
        <v>281</v>
      </c>
      <c r="AQ121" s="113">
        <f>[17]Recruit!$J$43</f>
        <v>597</v>
      </c>
      <c r="AR121" s="113">
        <f>[18]Recruit!$J$43</f>
        <v>823</v>
      </c>
      <c r="AS121" s="113">
        <f>[19]Recruit!$J$43</f>
        <v>633</v>
      </c>
      <c r="AT121" s="113">
        <f>[20]Recruit!$J$43</f>
        <v>565</v>
      </c>
      <c r="AU121" s="113">
        <f>[21]Recruit!$J$43</f>
        <v>1292</v>
      </c>
      <c r="AV121" s="18">
        <f>[22]Recruit!$J$37</f>
        <v>794</v>
      </c>
      <c r="AW121" s="113"/>
      <c r="AX121" s="113"/>
      <c r="AY121" s="113"/>
      <c r="AZ121" s="113"/>
      <c r="BA121" s="113"/>
      <c r="BB121" s="113">
        <f>SUM(AP121:INDEX(AP121:AR121,IF($B$2&lt;3,$B$2,3)))</f>
        <v>1701</v>
      </c>
      <c r="BC121" s="113">
        <f>SUM(AS121:INDEX(AS121:AU121,IF(AND($B$2&gt;3,B118&lt;7),$B$2-3,0)))</f>
        <v>2490</v>
      </c>
      <c r="BD121" s="113">
        <f>SUM(AV121:INDEX(AV121:AX121,IF(AND($B$2&gt;6,$B$2&lt;10),$B$2-6,0)))</f>
        <v>794</v>
      </c>
      <c r="BE121" s="113">
        <f>SUM(AY121:INDEX(AY121:BA121,IF($B$2&gt;9,$B$2-9,0)))</f>
        <v>0</v>
      </c>
      <c r="BF121" s="113">
        <f>SUM($AP121:INDEX(AP121:BA121,$B$2))</f>
        <v>4985</v>
      </c>
      <c r="BG121" s="122">
        <f>IFERROR(AP121/O121,0)</f>
        <v>2.2301587301587302</v>
      </c>
      <c r="BH121" s="111">
        <f t="shared" ref="BH121:BR126" si="359">IFERROR(AQ121/P121,0)</f>
        <v>5.1465517241379306</v>
      </c>
      <c r="BI121" s="111">
        <f t="shared" si="359"/>
        <v>2.4349112426035502</v>
      </c>
      <c r="BJ121" s="111">
        <f t="shared" si="359"/>
        <v>2.1979166666666665</v>
      </c>
      <c r="BK121" s="111">
        <f t="shared" si="359"/>
        <v>1.2611607142857142</v>
      </c>
      <c r="BL121" s="111">
        <f t="shared" si="359"/>
        <v>1.5128805620608898</v>
      </c>
      <c r="BM121" s="111">
        <f t="shared" si="359"/>
        <v>1.3189368770764121</v>
      </c>
      <c r="BN121" s="111">
        <f t="shared" si="359"/>
        <v>0</v>
      </c>
      <c r="BO121" s="111">
        <f t="shared" si="359"/>
        <v>0</v>
      </c>
      <c r="BP121" s="111">
        <f t="shared" si="359"/>
        <v>0</v>
      </c>
      <c r="BQ121" s="111">
        <f t="shared" si="359"/>
        <v>0</v>
      </c>
      <c r="BR121" s="111">
        <f t="shared" si="359"/>
        <v>0</v>
      </c>
      <c r="BS121" s="111">
        <f>IFERROR(BB121/SUM(O121:INDEX(O121:Q121,IF($B$2&lt;3,$B$2,3))),0)</f>
        <v>2.932758620689655</v>
      </c>
      <c r="BT121" s="111">
        <f>IFERROR(BC121/SUM(R121:INDEX(R121:T121,IF($C$2&lt;3,$C$2,3))),0)</f>
        <v>8.6458333333333339</v>
      </c>
      <c r="BU121" s="111">
        <f>IFERROR(BD121/SUM(U121:INDEX(U121:W121,IF($C$2&lt;3,$C$2,3))),0)</f>
        <v>1.3189368770764121</v>
      </c>
      <c r="BV121" s="111">
        <f>IFERROR(BE121/SUM(X121:INDEX(X121:Z121,IF($B$2&lt;3,$B$2,3))),0)</f>
        <v>0</v>
      </c>
      <c r="BW121" s="111">
        <f>IFERROR(BF121/AA121,0)</f>
        <v>1.7983405483405484</v>
      </c>
    </row>
    <row r="122" spans="1:75" x14ac:dyDescent="0.25">
      <c r="A122" s="20" t="str">
        <f t="shared" ref="A122:A127" si="360">$B$120&amp;"_by_designation:"&amp;B122</f>
        <v>Recruit_by_designation:US</v>
      </c>
      <c r="B122" t="s">
        <v>34</v>
      </c>
      <c r="C122" s="6">
        <f>[25]Ag!L133</f>
        <v>8</v>
      </c>
      <c r="D122" s="6">
        <f>[25]Ag!L148</f>
        <v>4</v>
      </c>
      <c r="E122" s="6">
        <f>[25]Ag!L163</f>
        <v>2</v>
      </c>
      <c r="F122" s="6">
        <f>[25]Ag!L178</f>
        <v>1</v>
      </c>
      <c r="G122" s="6">
        <f>[25]Ag!L192</f>
        <v>1</v>
      </c>
      <c r="H122" s="6"/>
      <c r="I122" s="6"/>
      <c r="J122" s="6"/>
      <c r="K122" s="6"/>
      <c r="L122" s="6"/>
      <c r="M122" s="6"/>
      <c r="N122" s="6">
        <v>0</v>
      </c>
      <c r="O122" s="6"/>
      <c r="P122" s="6"/>
      <c r="Q122" s="6"/>
      <c r="R122" s="6"/>
      <c r="S122" s="6"/>
      <c r="T122" s="6"/>
      <c r="U122" s="6"/>
      <c r="V122" s="6"/>
      <c r="W122" s="6">
        <f>IFERROR(VLOOKUP(B122,[26]Recruit!$I$43:$L$47,2,0),0)</f>
        <v>0</v>
      </c>
      <c r="X122" s="6"/>
      <c r="Y122" s="6"/>
      <c r="Z122" s="6"/>
      <c r="AA122" s="22">
        <f>SUM(O122:INDEX(O122:Z122,$B$2))</f>
        <v>0</v>
      </c>
      <c r="AB122" s="22">
        <f t="shared" si="347"/>
        <v>0</v>
      </c>
      <c r="AC122" s="22">
        <f t="shared" si="348"/>
        <v>0</v>
      </c>
      <c r="AD122" s="22">
        <f t="shared" si="349"/>
        <v>0</v>
      </c>
      <c r="AE122" s="22">
        <f t="shared" si="350"/>
        <v>0</v>
      </c>
      <c r="AF122" s="22">
        <f>SUM(C122                                                                                : INDEX(C122:N122,$B$2))</f>
        <v>16</v>
      </c>
      <c r="AG122" s="22">
        <f t="shared" ref="AG122" si="361">SUM(C122:E122)</f>
        <v>14</v>
      </c>
      <c r="AH122" s="22">
        <f t="shared" ref="AH122" si="362">SUM(F122:H122)</f>
        <v>2</v>
      </c>
      <c r="AI122" s="22">
        <f t="shared" ref="AI122" si="363">SUM(I122:K122)</f>
        <v>0</v>
      </c>
      <c r="AJ122" s="22">
        <f t="shared" ref="AJ122" si="364">SUM(L122:N122)</f>
        <v>0</v>
      </c>
      <c r="AK122" s="31">
        <f t="shared" ref="AK122" si="365">AA122/AF122-1</f>
        <v>-1</v>
      </c>
      <c r="AL122" s="31">
        <f t="shared" ref="AL122" si="366">AB122/AG122-1</f>
        <v>-1</v>
      </c>
      <c r="AM122" s="31">
        <f t="shared" ref="AM122" si="367">AC122/AH122-1</f>
        <v>-1</v>
      </c>
      <c r="AN122" s="31">
        <f>IFERROR(AD122/AI122-1,0)</f>
        <v>0</v>
      </c>
      <c r="AO122" s="31">
        <f>IFERROR(AE122/AJ122-1,0)</f>
        <v>0</v>
      </c>
      <c r="AP122" s="113"/>
      <c r="AQ122" s="113">
        <f>[17]Recruit!$J$48</f>
        <v>1</v>
      </c>
      <c r="AR122" s="113"/>
      <c r="AS122" s="113"/>
      <c r="AT122" s="113"/>
      <c r="AU122" s="113">
        <f>[21]Recruit!$J$48</f>
        <v>2</v>
      </c>
      <c r="AV122" s="113">
        <v>0</v>
      </c>
      <c r="AW122" s="113"/>
      <c r="AX122" s="113"/>
      <c r="AY122" s="113"/>
      <c r="AZ122" s="113"/>
      <c r="BA122" s="113"/>
      <c r="BB122" s="113">
        <f>SUM(AP122:INDEX(AP122:AR122,IF($B$2&lt;3,$B$2,3)))</f>
        <v>1</v>
      </c>
      <c r="BC122" s="113">
        <f>SUM(AS122:INDEX(AS122:AU122,IF(AND($B$2&gt;3,B120&lt;7),$B$2-3,0)))</f>
        <v>2</v>
      </c>
      <c r="BD122" s="113">
        <f>SUM(AV122:INDEX(AV122:AX122,IF(AND($B$2&gt;6,$B$2&lt;10),$B$2-6,0)))</f>
        <v>0</v>
      </c>
      <c r="BE122" s="113">
        <f>SUM(AY122:INDEX(AY122:BA122,IF($B$2&gt;9,$B$2-9,0)))</f>
        <v>0</v>
      </c>
      <c r="BF122" s="113">
        <f>SUM($AP122:INDEX(AP122:BA122,$B$2))</f>
        <v>3</v>
      </c>
      <c r="BG122" s="122">
        <f t="shared" ref="BG122:BG126" si="368">IFERROR(AP122/O122,0)</f>
        <v>0</v>
      </c>
      <c r="BH122" s="111">
        <f t="shared" si="359"/>
        <v>0</v>
      </c>
      <c r="BI122" s="111">
        <f t="shared" si="359"/>
        <v>0</v>
      </c>
      <c r="BJ122" s="111">
        <f t="shared" si="359"/>
        <v>0</v>
      </c>
      <c r="BK122" s="111">
        <f t="shared" si="359"/>
        <v>0</v>
      </c>
      <c r="BL122" s="111">
        <f t="shared" si="359"/>
        <v>0</v>
      </c>
      <c r="BM122" s="111">
        <f t="shared" si="359"/>
        <v>0</v>
      </c>
      <c r="BN122" s="111">
        <f t="shared" si="359"/>
        <v>0</v>
      </c>
      <c r="BO122" s="111">
        <f t="shared" si="359"/>
        <v>0</v>
      </c>
      <c r="BP122" s="111">
        <f t="shared" si="359"/>
        <v>0</v>
      </c>
      <c r="BQ122" s="111">
        <f t="shared" si="359"/>
        <v>0</v>
      </c>
      <c r="BR122" s="111">
        <f t="shared" si="359"/>
        <v>0</v>
      </c>
      <c r="BS122" s="111">
        <f>IFERROR(BB122/SUM(O122:INDEX(O122:Q122,IF($B$2&lt;3,$B$2,3))),0)</f>
        <v>0</v>
      </c>
      <c r="BT122" s="111">
        <f>IFERROR(BC122/SUM(R122:INDEX(R122:T122,IF($C$2&lt;3,$C$2,3))),0)</f>
        <v>0</v>
      </c>
      <c r="BU122" s="111">
        <f>IFERROR(BD122/SUM(U122:INDEX(U122:W122,IF($C$2&lt;3,$C$2,3))),0)</f>
        <v>0</v>
      </c>
      <c r="BV122" s="111">
        <f>IFERROR(BE122/SUM(X122:INDEX(X122:Z122,IF($B$2&lt;3,$B$2,3))),0)</f>
        <v>0</v>
      </c>
      <c r="BW122" s="111">
        <f t="shared" ref="BW122:BW127" si="369">IFERROR(BF122/AA122,0)</f>
        <v>0</v>
      </c>
    </row>
    <row r="123" spans="1:75" x14ac:dyDescent="0.25">
      <c r="A123" s="20" t="str">
        <f t="shared" si="360"/>
        <v>Recruit_by_designation:UM</v>
      </c>
      <c r="B123" t="s">
        <v>35</v>
      </c>
      <c r="C123" s="6">
        <f>[25]Ag!L134</f>
        <v>28</v>
      </c>
      <c r="D123" s="6">
        <f>[25]Ag!L149</f>
        <v>11</v>
      </c>
      <c r="E123" s="6">
        <f>[25]Ag!L164</f>
        <v>13</v>
      </c>
      <c r="F123" s="6">
        <f>[25]Ag!L179</f>
        <v>34</v>
      </c>
      <c r="G123" s="6">
        <f>[25]Ag!L193</f>
        <v>23</v>
      </c>
      <c r="H123" s="6">
        <f>[25]Ag!L208</f>
        <v>28</v>
      </c>
      <c r="I123" s="6">
        <f>[25]Ag!L223</f>
        <v>25</v>
      </c>
      <c r="J123" s="6">
        <f>[25]Ag!L238</f>
        <v>30</v>
      </c>
      <c r="K123" s="6">
        <f>[25]Ag!L253</f>
        <v>48</v>
      </c>
      <c r="L123" s="6">
        <f>[25]Ag!L268</f>
        <v>28</v>
      </c>
      <c r="M123" s="6">
        <f>[25]Ag!L283</f>
        <v>40</v>
      </c>
      <c r="N123" s="6">
        <f>[25]Ag!N8</f>
        <v>24</v>
      </c>
      <c r="O123" s="6">
        <f>[25]Ag!N25</f>
        <v>7</v>
      </c>
      <c r="P123" s="6">
        <f>[25]Ag!N41</f>
        <v>4</v>
      </c>
      <c r="Q123" s="6">
        <f>[25]Ag!N57</f>
        <v>22</v>
      </c>
      <c r="R123" s="6">
        <f>[25]Ag!N73</f>
        <v>37</v>
      </c>
      <c r="S123" s="6">
        <f>[25]Ag!L89</f>
        <v>67</v>
      </c>
      <c r="T123" s="6">
        <f>[25]Ag!L104</f>
        <v>102</v>
      </c>
      <c r="U123" s="6">
        <f>[25]Ag!L118</f>
        <v>62</v>
      </c>
      <c r="V123" s="6">
        <v>61</v>
      </c>
      <c r="W123" s="6">
        <f>IFERROR(VLOOKUP(B123,[26]Recruit!$I$43:$L$47,2,0),0)</f>
        <v>98</v>
      </c>
      <c r="X123" s="6">
        <f>[14]Recruit!$J$47</f>
        <v>90</v>
      </c>
      <c r="Y123" s="6">
        <f>[24]Recruit!$J$47</f>
        <v>109</v>
      </c>
      <c r="Z123" s="6">
        <f>[15]Recruit!$J$47</f>
        <v>84</v>
      </c>
      <c r="AA123" s="22">
        <f>SUM(O123:INDEX(O123:Z123,$B$2))</f>
        <v>301</v>
      </c>
      <c r="AB123" s="22">
        <f t="shared" si="347"/>
        <v>33</v>
      </c>
      <c r="AC123" s="22">
        <f t="shared" si="348"/>
        <v>206</v>
      </c>
      <c r="AD123" s="22">
        <f t="shared" si="349"/>
        <v>221</v>
      </c>
      <c r="AE123" s="22">
        <f t="shared" si="350"/>
        <v>283</v>
      </c>
      <c r="AF123" s="22">
        <f>SUM(C123                                                                                : INDEX(C123:N123,$B$2))</f>
        <v>162</v>
      </c>
      <c r="AG123" s="22">
        <f t="shared" si="351"/>
        <v>52</v>
      </c>
      <c r="AH123" s="22">
        <f t="shared" si="352"/>
        <v>85</v>
      </c>
      <c r="AI123" s="22">
        <f t="shared" si="353"/>
        <v>103</v>
      </c>
      <c r="AJ123" s="22">
        <f t="shared" si="354"/>
        <v>92</v>
      </c>
      <c r="AK123" s="31">
        <f t="shared" ref="AK123:AK124" si="370">AA123/AF123-1</f>
        <v>0.85802469135802473</v>
      </c>
      <c r="AL123" s="31">
        <f t="shared" si="355"/>
        <v>-0.36538461538461542</v>
      </c>
      <c r="AM123" s="31">
        <f t="shared" si="356"/>
        <v>1.4235294117647057</v>
      </c>
      <c r="AN123" s="31">
        <f t="shared" si="357"/>
        <v>1.145631067961165</v>
      </c>
      <c r="AO123" s="31">
        <f t="shared" si="358"/>
        <v>2.0760869565217392</v>
      </c>
      <c r="AP123" s="113">
        <f>[16]Recruit!$J$46</f>
        <v>30</v>
      </c>
      <c r="AQ123" s="113">
        <f>[17]Recruit!$J$47</f>
        <v>48</v>
      </c>
      <c r="AR123" s="113">
        <f>[18]Recruit!$J$46</f>
        <v>27</v>
      </c>
      <c r="AS123" s="113">
        <f>[19]Recruit!$J$47</f>
        <v>27</v>
      </c>
      <c r="AT123" s="113">
        <f>[20]Recruit!$J$47</f>
        <v>23</v>
      </c>
      <c r="AU123" s="113">
        <f>[21]Recruit!$J$47</f>
        <v>28</v>
      </c>
      <c r="AV123" s="14">
        <v>23</v>
      </c>
      <c r="AW123" s="113"/>
      <c r="AX123" s="113"/>
      <c r="AY123" s="113"/>
      <c r="AZ123" s="113"/>
      <c r="BA123" s="113"/>
      <c r="BB123" s="113">
        <f>SUM(AP123:INDEX(AP123:AR123,IF($B$2&lt;3,$B$2,3)))</f>
        <v>105</v>
      </c>
      <c r="BC123" s="113">
        <f>SUM(AS123:INDEX(AS123:AU123,IF(AND($B$2&gt;3,B121&lt;7),$B$2-3,0)))</f>
        <v>78</v>
      </c>
      <c r="BD123" s="113">
        <f>SUM(AV123:INDEX(AV123:AX123,IF(AND($B$2&gt;6,$B$2&lt;10),$B$2-6,0)))</f>
        <v>23</v>
      </c>
      <c r="BE123" s="113">
        <f>SUM(AY123:INDEX(AY123:BA123,IF($B$2&gt;9,$B$2-9,0)))</f>
        <v>0</v>
      </c>
      <c r="BF123" s="113">
        <f>SUM($AP123:INDEX(AP123:BA123,$B$2))</f>
        <v>206</v>
      </c>
      <c r="BG123" s="122">
        <f t="shared" si="368"/>
        <v>4.2857142857142856</v>
      </c>
      <c r="BH123" s="111">
        <f t="shared" si="359"/>
        <v>12</v>
      </c>
      <c r="BI123" s="111">
        <f t="shared" si="359"/>
        <v>1.2272727272727273</v>
      </c>
      <c r="BJ123" s="111">
        <f t="shared" si="359"/>
        <v>0.72972972972972971</v>
      </c>
      <c r="BK123" s="111">
        <f t="shared" si="359"/>
        <v>0.34328358208955223</v>
      </c>
      <c r="BL123" s="111">
        <f t="shared" si="359"/>
        <v>0.27450980392156865</v>
      </c>
      <c r="BM123" s="111">
        <f t="shared" si="359"/>
        <v>0.37096774193548387</v>
      </c>
      <c r="BN123" s="111">
        <f t="shared" si="359"/>
        <v>0</v>
      </c>
      <c r="BO123" s="111">
        <f t="shared" si="359"/>
        <v>0</v>
      </c>
      <c r="BP123" s="111">
        <f t="shared" si="359"/>
        <v>0</v>
      </c>
      <c r="BQ123" s="111">
        <f t="shared" si="359"/>
        <v>0</v>
      </c>
      <c r="BR123" s="111">
        <f t="shared" si="359"/>
        <v>0</v>
      </c>
      <c r="BS123" s="111">
        <f>IFERROR(BB123/SUM(O123:INDEX(O123:Q123,IF($B$2&lt;3,$B$2,3))),0)</f>
        <v>3.1818181818181817</v>
      </c>
      <c r="BT123" s="111">
        <f>IFERROR(BC123/SUM(R123:INDEX(R123:T123,IF($C$2&lt;3,$C$2,3))),0)</f>
        <v>2.1081081081081079</v>
      </c>
      <c r="BU123" s="111">
        <f>IFERROR(BD123/SUM(U123:INDEX(U123:W123,IF($C$2&lt;3,$C$2,3))),0)</f>
        <v>0.37096774193548387</v>
      </c>
      <c r="BV123" s="111">
        <f>IFERROR(BE123/SUM(X123:INDEX(X123:Z123,IF($B$2&lt;3,$B$2,3))),0)</f>
        <v>0</v>
      </c>
      <c r="BW123" s="111">
        <f t="shared" si="369"/>
        <v>0.68438538205980071</v>
      </c>
    </row>
    <row r="124" spans="1:75" x14ac:dyDescent="0.25">
      <c r="A124" s="20" t="str">
        <f t="shared" si="360"/>
        <v>Recruit_by_designation:SUM</v>
      </c>
      <c r="B124" t="s">
        <v>36</v>
      </c>
      <c r="C124" s="6">
        <f>[25]Ag!L135</f>
        <v>7</v>
      </c>
      <c r="D124" s="6">
        <f>[25]Ag!L150</f>
        <v>1</v>
      </c>
      <c r="E124" s="6">
        <f>[25]Ag!L165</f>
        <v>4</v>
      </c>
      <c r="F124" s="6">
        <f>[25]Ag!L180</f>
        <v>11</v>
      </c>
      <c r="G124" s="6">
        <f>[25]Ag!L194</f>
        <v>8</v>
      </c>
      <c r="H124" s="6">
        <f>[25]Ag!L209</f>
        <v>10</v>
      </c>
      <c r="I124" s="6">
        <f>[25]Ag!L224</f>
        <v>8</v>
      </c>
      <c r="J124" s="6">
        <f>[25]Ag!L239</f>
        <v>7</v>
      </c>
      <c r="K124" s="6">
        <f>[25]Ag!L254</f>
        <v>14</v>
      </c>
      <c r="L124" s="6">
        <f>[25]Ag!L269</f>
        <v>3</v>
      </c>
      <c r="M124" s="6">
        <f>[25]Ag!L284</f>
        <v>7</v>
      </c>
      <c r="N124" s="6">
        <f>[25]Ag!N9</f>
        <v>6</v>
      </c>
      <c r="O124" s="6">
        <f>[25]Ag!N26</f>
        <v>1</v>
      </c>
      <c r="P124" s="6">
        <f>[25]Ag!N42</f>
        <v>1</v>
      </c>
      <c r="Q124" s="6">
        <f>[25]Ag!N58</f>
        <v>7</v>
      </c>
      <c r="R124" s="6">
        <f>[25]Ag!N74</f>
        <v>16</v>
      </c>
      <c r="S124" s="6">
        <f>[25]Ag!L90</f>
        <v>16</v>
      </c>
      <c r="T124" s="6">
        <f>[25]Ag!L105</f>
        <v>22</v>
      </c>
      <c r="U124" s="6">
        <f>[25]Ag!L119</f>
        <v>13</v>
      </c>
      <c r="V124" s="6">
        <v>14</v>
      </c>
      <c r="W124" s="6">
        <f>IFERROR(VLOOKUP(B124,[26]Recruit!$I$43:$L$47,2,0),0)</f>
        <v>31</v>
      </c>
      <c r="X124" s="6">
        <f>[14]Recruit!$J$46</f>
        <v>18</v>
      </c>
      <c r="Y124" s="6">
        <f>[24]Recruit!$J$46</f>
        <v>28</v>
      </c>
      <c r="Z124" s="6">
        <f>[15]Recruit!$J$46</f>
        <v>22</v>
      </c>
      <c r="AA124" s="22">
        <f>SUM(O124:INDEX(O124:Z124,$B$2))</f>
        <v>76</v>
      </c>
      <c r="AB124" s="22">
        <f t="shared" si="347"/>
        <v>9</v>
      </c>
      <c r="AC124" s="22">
        <f t="shared" si="348"/>
        <v>54</v>
      </c>
      <c r="AD124" s="22">
        <f t="shared" si="349"/>
        <v>58</v>
      </c>
      <c r="AE124" s="22">
        <f t="shared" si="350"/>
        <v>68</v>
      </c>
      <c r="AF124" s="22">
        <f>SUM(C124                                                                                : INDEX(C124:N124,$B$2))</f>
        <v>49</v>
      </c>
      <c r="AG124" s="22">
        <f t="shared" ref="AG124" si="371">SUM(C124:E124)</f>
        <v>12</v>
      </c>
      <c r="AH124" s="22">
        <f t="shared" ref="AH124" si="372">SUM(F124:H124)</f>
        <v>29</v>
      </c>
      <c r="AI124" s="22">
        <f t="shared" ref="AI124" si="373">SUM(I124:K124)</f>
        <v>29</v>
      </c>
      <c r="AJ124" s="22">
        <f t="shared" ref="AJ124" si="374">SUM(L124:N124)</f>
        <v>16</v>
      </c>
      <c r="AK124" s="31">
        <f t="shared" si="370"/>
        <v>0.55102040816326525</v>
      </c>
      <c r="AL124" s="31">
        <f t="shared" ref="AL124" si="375">AB124/AG124-1</f>
        <v>-0.25</v>
      </c>
      <c r="AM124" s="31">
        <f t="shared" ref="AM124" si="376">AC124/AH124-1</f>
        <v>0.86206896551724133</v>
      </c>
      <c r="AN124" s="31">
        <f t="shared" si="357"/>
        <v>1</v>
      </c>
      <c r="AO124" s="31">
        <f t="shared" si="358"/>
        <v>3.25</v>
      </c>
      <c r="AP124" s="113">
        <f>[16]Recruit!$J$45</f>
        <v>8</v>
      </c>
      <c r="AQ124" s="113">
        <f>[17]Recruit!$J$46</f>
        <v>15</v>
      </c>
      <c r="AR124" s="113">
        <f>[18]Recruit!$J$45</f>
        <v>10</v>
      </c>
      <c r="AS124" s="113">
        <f>[19]Recruit!$J$46</f>
        <v>4</v>
      </c>
      <c r="AT124" s="113">
        <f>[20]Recruit!$J$46</f>
        <v>8</v>
      </c>
      <c r="AU124" s="113">
        <f>[21]Recruit!$J$46</f>
        <v>2</v>
      </c>
      <c r="AV124" s="14">
        <v>4</v>
      </c>
      <c r="AW124" s="113"/>
      <c r="AX124" s="113"/>
      <c r="AY124" s="113"/>
      <c r="AZ124" s="113"/>
      <c r="BA124" s="113"/>
      <c r="BB124" s="113">
        <f>SUM(AP124:INDEX(AP124:AR124,IF($B$2&lt;3,$B$2,3)))</f>
        <v>33</v>
      </c>
      <c r="BC124" s="113">
        <f>SUM(AS124:INDEX(AS124:AU124,IF(AND($B$2&gt;3,B122&lt;7),$B$2-3,0)))</f>
        <v>14</v>
      </c>
      <c r="BD124" s="113">
        <f>SUM(AV124:INDEX(AV124:AX124,IF(AND($B$2&gt;6,$B$2&lt;10),$B$2-6,0)))</f>
        <v>4</v>
      </c>
      <c r="BE124" s="113">
        <f>SUM(AY124:INDEX(AY124:BA124,IF($B$2&gt;9,$B$2-9,0)))</f>
        <v>0</v>
      </c>
      <c r="BF124" s="113">
        <f>SUM($AP124:INDEX(AP124:BA124,$B$2))</f>
        <v>51</v>
      </c>
      <c r="BG124" s="122">
        <f t="shared" si="368"/>
        <v>8</v>
      </c>
      <c r="BH124" s="111">
        <f t="shared" si="359"/>
        <v>15</v>
      </c>
      <c r="BI124" s="111">
        <f t="shared" si="359"/>
        <v>1.4285714285714286</v>
      </c>
      <c r="BJ124" s="111">
        <f t="shared" si="359"/>
        <v>0.25</v>
      </c>
      <c r="BK124" s="111">
        <f t="shared" si="359"/>
        <v>0.5</v>
      </c>
      <c r="BL124" s="111">
        <f t="shared" si="359"/>
        <v>9.0909090909090912E-2</v>
      </c>
      <c r="BM124" s="111">
        <f t="shared" si="359"/>
        <v>0.30769230769230771</v>
      </c>
      <c r="BN124" s="111">
        <f t="shared" si="359"/>
        <v>0</v>
      </c>
      <c r="BO124" s="111">
        <f t="shared" si="359"/>
        <v>0</v>
      </c>
      <c r="BP124" s="111">
        <f t="shared" si="359"/>
        <v>0</v>
      </c>
      <c r="BQ124" s="111">
        <f t="shared" si="359"/>
        <v>0</v>
      </c>
      <c r="BR124" s="111">
        <f t="shared" si="359"/>
        <v>0</v>
      </c>
      <c r="BS124" s="111">
        <f>IFERROR(BB124/SUM(O124:INDEX(O124:Q124,IF($B$2&lt;3,$B$2,3))),0)</f>
        <v>3.6666666666666665</v>
      </c>
      <c r="BT124" s="111">
        <f>IFERROR(BC124/SUM(R124:INDEX(R124:T124,IF($C$2&lt;3,$C$2,3))),0)</f>
        <v>0.875</v>
      </c>
      <c r="BU124" s="111">
        <f>IFERROR(BD124/SUM(U124:INDEX(U124:W124,IF($C$2&lt;3,$C$2,3))),0)</f>
        <v>0.30769230769230771</v>
      </c>
      <c r="BV124" s="111">
        <f>IFERROR(BE124/SUM(X124:INDEX(X124:Z124,IF($B$2&lt;3,$B$2,3))),0)</f>
        <v>0</v>
      </c>
      <c r="BW124" s="111">
        <f t="shared" si="369"/>
        <v>0.67105263157894735</v>
      </c>
    </row>
    <row r="125" spans="1:75" x14ac:dyDescent="0.25">
      <c r="A125" s="20" t="str">
        <f t="shared" si="360"/>
        <v>Recruit_by_designation:BM</v>
      </c>
      <c r="B125" t="s">
        <v>37</v>
      </c>
      <c r="C125" s="6">
        <f>[25]Ag!L136</f>
        <v>4</v>
      </c>
      <c r="D125" s="6">
        <f>[25]Ag!L151</f>
        <v>1</v>
      </c>
      <c r="E125" s="6">
        <f>[25]Ag!L166</f>
        <v>3</v>
      </c>
      <c r="F125" s="6">
        <f>[25]Ag!L181</f>
        <v>2</v>
      </c>
      <c r="G125" s="6">
        <f>[25]Ag!L195</f>
        <v>1</v>
      </c>
      <c r="H125" s="6">
        <f>[25]Ag!L210</f>
        <v>1</v>
      </c>
      <c r="I125" s="6">
        <f>[25]Ag!L225</f>
        <v>1</v>
      </c>
      <c r="J125" s="6">
        <f>[25]Ag!L240</f>
        <v>1</v>
      </c>
      <c r="K125" s="6">
        <f>[25]Ag!L255</f>
        <v>3</v>
      </c>
      <c r="L125" s="6">
        <f>[25]Ag!L270</f>
        <v>2</v>
      </c>
      <c r="M125" s="6">
        <f>[25]Ag!L285</f>
        <v>2</v>
      </c>
      <c r="N125" s="6">
        <f>[25]Ag!N10</f>
        <v>1</v>
      </c>
      <c r="O125" s="6"/>
      <c r="P125" s="6">
        <f>[25]Ag!N43</f>
        <v>1</v>
      </c>
      <c r="Q125" s="6"/>
      <c r="R125" s="6">
        <f>[25]Ag!N75</f>
        <v>2</v>
      </c>
      <c r="S125" s="6">
        <f>[25]Ag!L91</f>
        <v>5</v>
      </c>
      <c r="T125" s="6">
        <f>[25]Ag!L106</f>
        <v>6</v>
      </c>
      <c r="U125" s="6">
        <f>[25]Ag!L120</f>
        <v>3</v>
      </c>
      <c r="V125" s="6">
        <v>5</v>
      </c>
      <c r="W125" s="6">
        <f>IFERROR(VLOOKUP(B125,[26]Recruit!$I$43:$L$47,2,0),0)</f>
        <v>15</v>
      </c>
      <c r="X125" s="6">
        <f>[14]Recruit!$J$44</f>
        <v>10</v>
      </c>
      <c r="Y125" s="6">
        <f>[24]Recruit!$J$44</f>
        <v>8</v>
      </c>
      <c r="Z125" s="6">
        <f>[15]Recruit!J44</f>
        <v>4</v>
      </c>
      <c r="AA125" s="22">
        <f>SUM(O125:INDEX(O125:Z125,$B$2))</f>
        <v>17</v>
      </c>
      <c r="AB125" s="22">
        <f t="shared" si="347"/>
        <v>1</v>
      </c>
      <c r="AC125" s="22">
        <f t="shared" si="348"/>
        <v>13</v>
      </c>
      <c r="AD125" s="22">
        <f t="shared" si="349"/>
        <v>23</v>
      </c>
      <c r="AE125" s="22">
        <f t="shared" si="350"/>
        <v>22</v>
      </c>
      <c r="AF125" s="22">
        <f>SUM(C125                                                                                : INDEX(C125:N125,$B$2))</f>
        <v>13</v>
      </c>
      <c r="AG125" s="22">
        <f t="shared" ref="AG125" si="377">SUM(C125:E125)</f>
        <v>8</v>
      </c>
      <c r="AH125" s="22">
        <f t="shared" ref="AH125" si="378">SUM(F125:H125)</f>
        <v>4</v>
      </c>
      <c r="AI125" s="22">
        <f t="shared" ref="AI125" si="379">SUM(I125:K125)</f>
        <v>5</v>
      </c>
      <c r="AJ125" s="22">
        <f t="shared" ref="AJ125" si="380">SUM(L125:N125)</f>
        <v>5</v>
      </c>
      <c r="AK125" s="31">
        <f t="shared" ref="AK125" si="381">AA125/AF125-1</f>
        <v>0.30769230769230771</v>
      </c>
      <c r="AL125" s="31">
        <f t="shared" ref="AL125" si="382">AB125/AG125-1</f>
        <v>-0.875</v>
      </c>
      <c r="AM125" s="31">
        <f t="shared" ref="AM125" si="383">AC125/AH125-1</f>
        <v>2.25</v>
      </c>
      <c r="AN125" s="31">
        <f t="shared" si="357"/>
        <v>3.5999999999999996</v>
      </c>
      <c r="AO125" s="31">
        <f t="shared" si="358"/>
        <v>3.4000000000000004</v>
      </c>
      <c r="AP125" s="113">
        <f>[16]Recruit!$J$44</f>
        <v>1</v>
      </c>
      <c r="AQ125" s="113">
        <f>[17]Recruit!J44</f>
        <v>8</v>
      </c>
      <c r="AR125" s="113">
        <f>[18]Recruit!$J$44</f>
        <v>1</v>
      </c>
      <c r="AS125" s="113">
        <f>[19]Recruit!J44</f>
        <v>1</v>
      </c>
      <c r="AT125" s="113">
        <f>[20]Recruit!J44</f>
        <v>4</v>
      </c>
      <c r="AU125" s="113">
        <f>[21]Recruit!J44</f>
        <v>2</v>
      </c>
      <c r="AV125" s="14">
        <v>3</v>
      </c>
      <c r="AW125" s="113"/>
      <c r="AX125" s="113"/>
      <c r="AY125" s="113"/>
      <c r="AZ125" s="113"/>
      <c r="BA125" s="113"/>
      <c r="BB125" s="113">
        <f>SUM(AP125:INDEX(AP125:AR125,IF($B$2&lt;3,$B$2,3)))</f>
        <v>10</v>
      </c>
      <c r="BC125" s="113">
        <f>SUM(AS125:INDEX(AS125:AU125,IF(AND($B$2&gt;3,B123&lt;7),$B$2-3,0)))</f>
        <v>7</v>
      </c>
      <c r="BD125" s="113">
        <f>SUM(AV125:INDEX(AV125:AX125,IF(AND($B$2&gt;6,$B$2&lt;10),$B$2-6,0)))</f>
        <v>3</v>
      </c>
      <c r="BE125" s="113">
        <f>SUM(AY125:INDEX(AY125:BA125,IF($B$2&gt;9,$B$2-9,0)))</f>
        <v>0</v>
      </c>
      <c r="BF125" s="113">
        <f>SUM($AP125:INDEX(AP125:BA125,$B$2))</f>
        <v>20</v>
      </c>
      <c r="BG125" s="122">
        <f t="shared" si="368"/>
        <v>0</v>
      </c>
      <c r="BH125" s="111">
        <f t="shared" si="359"/>
        <v>8</v>
      </c>
      <c r="BI125" s="111">
        <f t="shared" si="359"/>
        <v>0</v>
      </c>
      <c r="BJ125" s="111">
        <f t="shared" si="359"/>
        <v>0.5</v>
      </c>
      <c r="BK125" s="111">
        <f t="shared" si="359"/>
        <v>0.8</v>
      </c>
      <c r="BL125" s="111">
        <f t="shared" si="359"/>
        <v>0.33333333333333331</v>
      </c>
      <c r="BM125" s="111">
        <f t="shared" si="359"/>
        <v>1</v>
      </c>
      <c r="BN125" s="111">
        <f t="shared" si="359"/>
        <v>0</v>
      </c>
      <c r="BO125" s="111">
        <f t="shared" si="359"/>
        <v>0</v>
      </c>
      <c r="BP125" s="111">
        <f t="shared" si="359"/>
        <v>0</v>
      </c>
      <c r="BQ125" s="111">
        <f t="shared" si="359"/>
        <v>0</v>
      </c>
      <c r="BR125" s="111">
        <f t="shared" si="359"/>
        <v>0</v>
      </c>
      <c r="BS125" s="111">
        <f>IFERROR(BB125/SUM(O125:INDEX(O125:Q125,IF($B$2&lt;3,$B$2,3))),0)</f>
        <v>10</v>
      </c>
      <c r="BT125" s="111">
        <f>IFERROR(BC125/SUM(R125:INDEX(R125:T125,IF($C$2&lt;3,$C$2,3))),0)</f>
        <v>3.5</v>
      </c>
      <c r="BU125" s="111">
        <f>IFERROR(BD125/SUM(U125:INDEX(U125:W125,IF($C$2&lt;3,$C$2,3))),0)</f>
        <v>1</v>
      </c>
      <c r="BV125" s="111">
        <f>IFERROR(BE125/SUM(X125:INDEX(X125:Z125,IF($B$2&lt;3,$B$2,3))),0)</f>
        <v>0</v>
      </c>
      <c r="BW125" s="111">
        <f t="shared" si="369"/>
        <v>1.1764705882352942</v>
      </c>
    </row>
    <row r="126" spans="1:75" x14ac:dyDescent="0.25">
      <c r="A126" s="20" t="str">
        <f t="shared" si="360"/>
        <v>Recruit_by_designation:SBM</v>
      </c>
      <c r="B126" t="s">
        <v>38</v>
      </c>
      <c r="C126" s="6"/>
      <c r="D126" s="6">
        <f>[25]Ag!L152</f>
        <v>1</v>
      </c>
      <c r="E126" s="6"/>
      <c r="F126" s="6">
        <f>[25]Ag!L182</f>
        <v>2</v>
      </c>
      <c r="G126" s="6">
        <f>[25]Ag!L196</f>
        <v>1</v>
      </c>
      <c r="H126" s="6">
        <f>[25]Ag!L211</f>
        <v>1</v>
      </c>
      <c r="I126" s="6">
        <f>[25]Ag!L226</f>
        <v>2</v>
      </c>
      <c r="J126" s="6">
        <f>[25]Ag!L241</f>
        <v>1</v>
      </c>
      <c r="K126" s="6">
        <f>[25]Ag!L256</f>
        <v>2</v>
      </c>
      <c r="L126" s="6">
        <f>[25]Ag!L271</f>
        <v>1</v>
      </c>
      <c r="M126" s="6"/>
      <c r="N126" s="6">
        <f>[25]Ag!N11</f>
        <v>1</v>
      </c>
      <c r="O126" s="6"/>
      <c r="P126" s="6">
        <f>[25]Ag!N44</f>
        <v>1</v>
      </c>
      <c r="Q126" s="6">
        <f>[25]Ag!$N$59</f>
        <v>3</v>
      </c>
      <c r="R126" s="6">
        <f>[25]Ag!N76</f>
        <v>3</v>
      </c>
      <c r="S126" s="6">
        <f>[25]Ag!L92</f>
        <v>2</v>
      </c>
      <c r="T126" s="6">
        <f>[25]Ag!L107</f>
        <v>6</v>
      </c>
      <c r="U126" s="6">
        <f>[25]Ag!L121</f>
        <v>3</v>
      </c>
      <c r="V126" s="6">
        <v>4</v>
      </c>
      <c r="W126" s="6">
        <f>IFERROR(VLOOKUP(B126,[26]Recruit!$I$43:$L$47,2,0),0)</f>
        <v>7</v>
      </c>
      <c r="X126" s="6">
        <f>[14]Recruit!$J$45</f>
        <v>4</v>
      </c>
      <c r="Y126" s="6">
        <f>[24]Recruit!$J$45</f>
        <v>4</v>
      </c>
      <c r="Z126" s="6">
        <f>[15]Recruit!J45</f>
        <v>4</v>
      </c>
      <c r="AA126" s="22">
        <f>SUM(O126:INDEX(O126:Z126,$B$2))</f>
        <v>18</v>
      </c>
      <c r="AB126" s="22">
        <f t="shared" si="347"/>
        <v>4</v>
      </c>
      <c r="AC126" s="22">
        <f t="shared" si="348"/>
        <v>11</v>
      </c>
      <c r="AD126" s="22">
        <f t="shared" si="349"/>
        <v>14</v>
      </c>
      <c r="AE126" s="22">
        <f t="shared" si="350"/>
        <v>12</v>
      </c>
      <c r="AF126" s="22">
        <f>SUM(C126                                                                                : INDEX(C126:N126,$B$2))</f>
        <v>7</v>
      </c>
      <c r="AG126" s="22">
        <f t="shared" si="351"/>
        <v>1</v>
      </c>
      <c r="AH126" s="22">
        <f t="shared" si="352"/>
        <v>4</v>
      </c>
      <c r="AI126" s="22">
        <f t="shared" si="353"/>
        <v>5</v>
      </c>
      <c r="AJ126" s="22">
        <f t="shared" si="354"/>
        <v>2</v>
      </c>
      <c r="AK126" s="31">
        <f t="shared" ref="AK126:AK127" si="384">AA126/AF126-1</f>
        <v>1.5714285714285716</v>
      </c>
      <c r="AL126" s="31">
        <f t="shared" si="355"/>
        <v>3</v>
      </c>
      <c r="AM126" s="31">
        <f t="shared" si="356"/>
        <v>1.75</v>
      </c>
      <c r="AN126" s="31">
        <f t="shared" si="357"/>
        <v>1.7999999999999998</v>
      </c>
      <c r="AO126" s="31">
        <f t="shared" si="358"/>
        <v>5</v>
      </c>
      <c r="AP126" s="113"/>
      <c r="AQ126" s="113">
        <f>[17]Recruit!J45</f>
        <v>2</v>
      </c>
      <c r="AR126" s="113"/>
      <c r="AS126" s="113">
        <f>[19]Recruit!J45</f>
        <v>3</v>
      </c>
      <c r="AT126" s="113">
        <f>[20]Recruit!J45</f>
        <v>1</v>
      </c>
      <c r="AU126" s="113">
        <f>[21]Recruit!J45</f>
        <v>1</v>
      </c>
      <c r="AV126" s="14">
        <v>2</v>
      </c>
      <c r="AW126" s="113"/>
      <c r="AX126" s="113"/>
      <c r="AY126" s="113"/>
      <c r="AZ126" s="113"/>
      <c r="BA126" s="113"/>
      <c r="BB126" s="113">
        <f>SUM(AP126:INDEX(AP126:AR126,IF($B$2&lt;3,$B$2,3)))</f>
        <v>2</v>
      </c>
      <c r="BC126" s="113">
        <f>SUM(AS126:INDEX(AS126:AU126,IF(AND($B$2&gt;3,B124&lt;7),$B$2-3,0)))</f>
        <v>5</v>
      </c>
      <c r="BD126" s="113">
        <f>SUM(AV126:INDEX(AV126:AX126,IF(AND($B$2&gt;6,$B$2&lt;10),$B$2-6,0)))</f>
        <v>2</v>
      </c>
      <c r="BE126" s="113">
        <f>SUM(AY126:INDEX(AY126:BA126,IF($B$2&gt;9,$B$2-9,0)))</f>
        <v>0</v>
      </c>
      <c r="BF126" s="113">
        <f>SUM($AP126:INDEX(AP126:BA126,$B$2))</f>
        <v>9</v>
      </c>
      <c r="BG126" s="122">
        <f t="shared" si="368"/>
        <v>0</v>
      </c>
      <c r="BH126" s="111">
        <f t="shared" si="359"/>
        <v>2</v>
      </c>
      <c r="BI126" s="111">
        <f t="shared" si="359"/>
        <v>0</v>
      </c>
      <c r="BJ126" s="111">
        <f t="shared" si="359"/>
        <v>1</v>
      </c>
      <c r="BK126" s="111">
        <f t="shared" si="359"/>
        <v>0.5</v>
      </c>
      <c r="BL126" s="111">
        <f t="shared" si="359"/>
        <v>0.16666666666666666</v>
      </c>
      <c r="BM126" s="111">
        <f t="shared" si="359"/>
        <v>0.66666666666666663</v>
      </c>
      <c r="BN126" s="111">
        <f t="shared" si="359"/>
        <v>0</v>
      </c>
      <c r="BO126" s="111">
        <f t="shared" si="359"/>
        <v>0</v>
      </c>
      <c r="BP126" s="111">
        <f t="shared" si="359"/>
        <v>0</v>
      </c>
      <c r="BQ126" s="111">
        <f t="shared" si="359"/>
        <v>0</v>
      </c>
      <c r="BR126" s="111">
        <f t="shared" si="359"/>
        <v>0</v>
      </c>
      <c r="BS126" s="111">
        <f>IFERROR(BB126/SUM(O126:INDEX(O126:Q126,IF($B$2&lt;3,$B$2,3))),0)</f>
        <v>0.5</v>
      </c>
      <c r="BT126" s="111">
        <f>IFERROR(BC126/SUM(R126:INDEX(R126:T126,IF($C$2&lt;3,$C$2,3))),0)</f>
        <v>1.6666666666666667</v>
      </c>
      <c r="BU126" s="111">
        <f>IFERROR(BD126/SUM(U126:INDEX(U126:W126,IF($C$2&lt;3,$C$2,3))),0)</f>
        <v>0.66666666666666663</v>
      </c>
      <c r="BV126" s="111">
        <f>IFERROR(BE126/SUM(X126:INDEX(X126:Z126,IF($B$2&lt;3,$B$2,3))),0)</f>
        <v>0</v>
      </c>
      <c r="BW126" s="111">
        <f t="shared" si="369"/>
        <v>0.5</v>
      </c>
    </row>
    <row r="127" spans="1:75" x14ac:dyDescent="0.25">
      <c r="A127" s="20" t="str">
        <f t="shared" si="360"/>
        <v>Recruit_by_designation:Total</v>
      </c>
      <c r="B127" s="1" t="s">
        <v>186</v>
      </c>
      <c r="C127" s="7">
        <f t="shared" ref="C127:Z127" si="385">SUM(C121:C126)</f>
        <v>222</v>
      </c>
      <c r="D127" s="7">
        <f t="shared" si="385"/>
        <v>143</v>
      </c>
      <c r="E127" s="7">
        <f t="shared" si="385"/>
        <v>230</v>
      </c>
      <c r="F127" s="7">
        <f t="shared" si="385"/>
        <v>283</v>
      </c>
      <c r="G127" s="7">
        <f t="shared" si="385"/>
        <v>250</v>
      </c>
      <c r="H127" s="7">
        <f t="shared" si="385"/>
        <v>246</v>
      </c>
      <c r="I127" s="7">
        <f t="shared" si="385"/>
        <v>276</v>
      </c>
      <c r="J127" s="7">
        <f t="shared" si="385"/>
        <v>263</v>
      </c>
      <c r="K127" s="7">
        <f t="shared" si="385"/>
        <v>352</v>
      </c>
      <c r="L127" s="7">
        <f t="shared" si="385"/>
        <v>280</v>
      </c>
      <c r="M127" s="7">
        <f t="shared" si="385"/>
        <v>499</v>
      </c>
      <c r="N127" s="7">
        <f t="shared" si="385"/>
        <v>348</v>
      </c>
      <c r="O127" s="7">
        <f t="shared" si="385"/>
        <v>134</v>
      </c>
      <c r="P127" s="7">
        <f t="shared" si="385"/>
        <v>123</v>
      </c>
      <c r="Q127" s="7">
        <f t="shared" si="385"/>
        <v>370</v>
      </c>
      <c r="R127" s="7">
        <f t="shared" si="385"/>
        <v>346</v>
      </c>
      <c r="S127" s="7">
        <f t="shared" si="385"/>
        <v>538</v>
      </c>
      <c r="T127" s="7">
        <f t="shared" si="385"/>
        <v>990</v>
      </c>
      <c r="U127" s="7">
        <f t="shared" si="385"/>
        <v>683</v>
      </c>
      <c r="V127" s="7">
        <f t="shared" si="385"/>
        <v>822</v>
      </c>
      <c r="W127" s="7">
        <f t="shared" si="385"/>
        <v>945</v>
      </c>
      <c r="X127" s="7">
        <f t="shared" si="385"/>
        <v>883</v>
      </c>
      <c r="Y127" s="7">
        <f t="shared" si="385"/>
        <v>942</v>
      </c>
      <c r="Z127" s="7">
        <f t="shared" si="385"/>
        <v>1124</v>
      </c>
      <c r="AA127" s="7">
        <f t="shared" ref="AA127" si="386">SUM(AA121:AA126)</f>
        <v>3184</v>
      </c>
      <c r="AB127" s="7">
        <f>SUM(AB121:AB126)</f>
        <v>627</v>
      </c>
      <c r="AC127" s="7">
        <f>SUM(AC121:AC126)</f>
        <v>1874</v>
      </c>
      <c r="AD127" s="7">
        <f>SUM(AD121:AD126)</f>
        <v>2450</v>
      </c>
      <c r="AE127" s="7">
        <f>SUM(AE121:AE126)</f>
        <v>2949</v>
      </c>
      <c r="AF127" s="7">
        <f>SUM(C127                                                                                : INDEX(C127:N127,$B$2))</f>
        <v>1650</v>
      </c>
      <c r="AG127" s="7">
        <f t="shared" si="351"/>
        <v>595</v>
      </c>
      <c r="AH127" s="7">
        <f t="shared" si="352"/>
        <v>779</v>
      </c>
      <c r="AI127" s="7">
        <f t="shared" si="353"/>
        <v>891</v>
      </c>
      <c r="AJ127" s="7">
        <f t="shared" si="354"/>
        <v>1127</v>
      </c>
      <c r="AK127" s="32">
        <f t="shared" si="384"/>
        <v>0.92969696969696969</v>
      </c>
      <c r="AL127" s="32">
        <f t="shared" si="355"/>
        <v>5.3781512605042048E-2</v>
      </c>
      <c r="AM127" s="32">
        <f t="shared" si="356"/>
        <v>1.4056482670089858</v>
      </c>
      <c r="AN127" s="32">
        <f t="shared" si="357"/>
        <v>1.7497194163860832</v>
      </c>
      <c r="AO127" s="32">
        <f t="shared" si="358"/>
        <v>1.616681455190772</v>
      </c>
      <c r="AP127" s="113">
        <f t="shared" ref="AP127:AV127" si="387">SUM(AP121:AP126)</f>
        <v>320</v>
      </c>
      <c r="AQ127" s="113">
        <f t="shared" si="387"/>
        <v>671</v>
      </c>
      <c r="AR127" s="113">
        <f t="shared" si="387"/>
        <v>861</v>
      </c>
      <c r="AS127" s="113">
        <f t="shared" si="387"/>
        <v>668</v>
      </c>
      <c r="AT127" s="113">
        <f t="shared" si="387"/>
        <v>601</v>
      </c>
      <c r="AU127" s="113">
        <f t="shared" si="387"/>
        <v>1327</v>
      </c>
      <c r="AV127" s="113">
        <f t="shared" si="387"/>
        <v>826</v>
      </c>
      <c r="AW127" s="113"/>
      <c r="AX127" s="113"/>
      <c r="AY127" s="113"/>
      <c r="AZ127" s="113"/>
      <c r="BA127" s="113"/>
      <c r="BB127" s="117">
        <f>SUM(BB121:BB126)</f>
        <v>1852</v>
      </c>
      <c r="BC127" s="117">
        <f>SUM(AS127:INDEX(AS127:AU127,IF(AND($B$2&gt;3,B125&lt;7),$B$2-3,0)))</f>
        <v>2596</v>
      </c>
      <c r="BD127" s="117">
        <f>SUM(AV127:INDEX(AV127:AX127,IF(AND($B$2&gt;6,$B$2&lt;10),$B$2-6,0)))</f>
        <v>826</v>
      </c>
      <c r="BE127" s="117">
        <f>SUM(AY127:INDEX(AY127:BA127,IF($B$2&gt;9,$B$2-9,0)))</f>
        <v>0</v>
      </c>
      <c r="BF127" s="117">
        <f>SUM($AP127:INDEX(AP127:BA127,$B$2))</f>
        <v>5274</v>
      </c>
      <c r="BG127" s="123">
        <f t="shared" ref="BG127:BR127" si="388">AP127/O127</f>
        <v>2.3880597014925371</v>
      </c>
      <c r="BH127" s="118">
        <f t="shared" si="388"/>
        <v>5.4552845528455283</v>
      </c>
      <c r="BI127" s="118">
        <f t="shared" si="388"/>
        <v>2.327027027027027</v>
      </c>
      <c r="BJ127" s="118">
        <f t="shared" si="388"/>
        <v>1.9306358381502891</v>
      </c>
      <c r="BK127" s="118">
        <f t="shared" si="388"/>
        <v>1.1171003717472119</v>
      </c>
      <c r="BL127" s="118">
        <f t="shared" si="388"/>
        <v>1.3404040404040405</v>
      </c>
      <c r="BM127" s="118">
        <f t="shared" si="388"/>
        <v>1.2093704245973647</v>
      </c>
      <c r="BN127" s="118">
        <f t="shared" si="388"/>
        <v>0</v>
      </c>
      <c r="BO127" s="118">
        <f t="shared" si="388"/>
        <v>0</v>
      </c>
      <c r="BP127" s="118">
        <f t="shared" si="388"/>
        <v>0</v>
      </c>
      <c r="BQ127" s="118">
        <f t="shared" si="388"/>
        <v>0</v>
      </c>
      <c r="BR127" s="118">
        <f t="shared" si="388"/>
        <v>0</v>
      </c>
      <c r="BS127" s="118">
        <f>IFERROR(BB127/SUM(O127:INDEX(O127:Q127,IF($B$2&lt;3,$B$2,3))),0)</f>
        <v>2.9537480063795853</v>
      </c>
      <c r="BT127" s="118">
        <f>IFERROR(BC127/SUM(R127:INDEX(R127:T127,IF($C$2&lt;3,$C$2,3))),0)</f>
        <v>7.502890173410405</v>
      </c>
      <c r="BU127" s="118">
        <f>IFERROR(BD127/SUM(U127:INDEX(U127:W127,IF($C$2&lt;3,$C$2,3))),0)</f>
        <v>1.2093704245973647</v>
      </c>
      <c r="BV127" s="118">
        <f>IFERROR(BE127/SUM(X127:INDEX(X127:Z127,IF($B$2&lt;3,$B$2,3))),0)</f>
        <v>0</v>
      </c>
      <c r="BW127" s="118">
        <f t="shared" si="369"/>
        <v>1.6564070351758795</v>
      </c>
    </row>
    <row r="128" spans="1:75" x14ac:dyDescent="0.25">
      <c r="B128" t="s">
        <v>187</v>
      </c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24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</row>
    <row r="129" spans="1:75" x14ac:dyDescent="0.25">
      <c r="B129" t="s">
        <v>187</v>
      </c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24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</row>
    <row r="130" spans="1:75" s="19" customFormat="1" x14ac:dyDescent="0.25">
      <c r="B130" s="2" t="s">
        <v>121</v>
      </c>
      <c r="C130" s="3">
        <v>42005</v>
      </c>
      <c r="D130" s="3">
        <v>42036</v>
      </c>
      <c r="E130" s="3">
        <v>42064</v>
      </c>
      <c r="F130" s="3">
        <v>42095</v>
      </c>
      <c r="G130" s="3">
        <v>42125</v>
      </c>
      <c r="H130" s="3">
        <v>42156</v>
      </c>
      <c r="I130" s="3">
        <v>42186</v>
      </c>
      <c r="J130" s="3">
        <v>42217</v>
      </c>
      <c r="K130" s="3">
        <v>42248</v>
      </c>
      <c r="L130" s="3">
        <v>42278</v>
      </c>
      <c r="M130" s="3">
        <v>42309</v>
      </c>
      <c r="N130" s="3">
        <v>42339</v>
      </c>
      <c r="O130" s="3">
        <v>42370</v>
      </c>
      <c r="P130" s="3">
        <v>42401</v>
      </c>
      <c r="Q130" s="3">
        <v>42430</v>
      </c>
      <c r="R130" s="3">
        <v>42461</v>
      </c>
      <c r="S130" s="3">
        <v>42491</v>
      </c>
      <c r="T130" s="3">
        <v>42522</v>
      </c>
      <c r="U130" s="3">
        <v>42552</v>
      </c>
      <c r="V130" s="3">
        <v>42583</v>
      </c>
      <c r="W130" s="3">
        <v>42614</v>
      </c>
      <c r="X130" s="3">
        <v>42644</v>
      </c>
      <c r="Y130" s="3">
        <v>42675</v>
      </c>
      <c r="Z130" s="3">
        <v>42705</v>
      </c>
      <c r="AA130" s="29" t="str">
        <f>$AA$89</f>
        <v>YTD 7/16</v>
      </c>
      <c r="AB130" s="29" t="s">
        <v>19</v>
      </c>
      <c r="AC130" s="29" t="s">
        <v>20</v>
      </c>
      <c r="AD130" s="29" t="s">
        <v>21</v>
      </c>
      <c r="AE130" s="29" t="s">
        <v>22</v>
      </c>
      <c r="AF130" s="26" t="str">
        <f>"YTD " &amp; B129 &amp;"/15"</f>
        <v>YTD /15</v>
      </c>
      <c r="AG130" s="26" t="s">
        <v>23</v>
      </c>
      <c r="AH130" s="26" t="s">
        <v>24</v>
      </c>
      <c r="AI130" s="26" t="s">
        <v>25</v>
      </c>
      <c r="AJ130" s="26" t="s">
        <v>26</v>
      </c>
      <c r="AK130" s="30" t="s">
        <v>27</v>
      </c>
      <c r="AL130" s="30" t="s">
        <v>29</v>
      </c>
      <c r="AM130" s="30" t="s">
        <v>30</v>
      </c>
      <c r="AN130" s="30" t="s">
        <v>31</v>
      </c>
      <c r="AO130" s="30" t="s">
        <v>32</v>
      </c>
      <c r="AP130" s="108">
        <v>42736</v>
      </c>
      <c r="AQ130" s="108">
        <v>42767</v>
      </c>
      <c r="AR130" s="108">
        <v>42795</v>
      </c>
      <c r="AS130" s="108">
        <v>42826</v>
      </c>
      <c r="AT130" s="108">
        <v>42856</v>
      </c>
      <c r="AU130" s="108">
        <v>42887</v>
      </c>
      <c r="AV130" s="108">
        <v>42917</v>
      </c>
      <c r="AW130" s="108">
        <v>42948</v>
      </c>
      <c r="AX130" s="108">
        <v>42979</v>
      </c>
      <c r="AY130" s="108">
        <v>43009</v>
      </c>
      <c r="AZ130" s="108">
        <v>43040</v>
      </c>
      <c r="BA130" s="108">
        <v>43070</v>
      </c>
      <c r="BB130" s="29" t="s">
        <v>123</v>
      </c>
      <c r="BC130" s="29" t="s">
        <v>124</v>
      </c>
      <c r="BD130" s="29" t="s">
        <v>125</v>
      </c>
      <c r="BE130" s="29" t="s">
        <v>126</v>
      </c>
      <c r="BF130" s="29" t="str">
        <f>$BF$3</f>
        <v>YTD 7/17</v>
      </c>
      <c r="BG130" s="121">
        <v>42736</v>
      </c>
      <c r="BH130" s="108">
        <v>42767</v>
      </c>
      <c r="BI130" s="108">
        <v>42795</v>
      </c>
      <c r="BJ130" s="108">
        <v>42826</v>
      </c>
      <c r="BK130" s="108">
        <v>42856</v>
      </c>
      <c r="BL130" s="108">
        <v>42887</v>
      </c>
      <c r="BM130" s="108">
        <v>42917</v>
      </c>
      <c r="BN130" s="108">
        <v>42948</v>
      </c>
      <c r="BO130" s="108">
        <v>42979</v>
      </c>
      <c r="BP130" s="108">
        <v>43009</v>
      </c>
      <c r="BQ130" s="108">
        <v>43040</v>
      </c>
      <c r="BR130" s="108">
        <v>43070</v>
      </c>
      <c r="BS130" s="29" t="s">
        <v>127</v>
      </c>
      <c r="BT130" s="29" t="s">
        <v>128</v>
      </c>
      <c r="BU130" s="29" t="s">
        <v>96</v>
      </c>
      <c r="BV130" s="29" t="s">
        <v>129</v>
      </c>
      <c r="BW130" s="112" t="s">
        <v>130</v>
      </c>
    </row>
    <row r="131" spans="1:75" x14ac:dyDescent="0.25">
      <c r="A131" s="20" t="str">
        <f>$B$130&amp;"_by_rookie_mdrt:"&amp;B131</f>
        <v>RYP_by_rookie_mdrt:MDRT</v>
      </c>
      <c r="B131" t="s">
        <v>4</v>
      </c>
      <c r="C131" s="14">
        <f>[25]Sheet2!L31</f>
        <v>0</v>
      </c>
      <c r="D131" s="14">
        <f>[25]Sheet2!M31</f>
        <v>38.981000000000002</v>
      </c>
      <c r="E131" s="14">
        <f>[25]Sheet2!N31</f>
        <v>54.692</v>
      </c>
      <c r="F131" s="14">
        <f>[25]Sheet2!O31</f>
        <v>15.205</v>
      </c>
      <c r="G131" s="14">
        <f>[25]Sheet2!P31</f>
        <v>25.751999999999999</v>
      </c>
      <c r="H131" s="14">
        <f>[25]Sheet2!Q31</f>
        <v>138.16300000000001</v>
      </c>
      <c r="I131" s="14">
        <f>[25]Sheet2!R31</f>
        <v>64.921999999999997</v>
      </c>
      <c r="J131" s="14">
        <f>[25]Sheet2!S31</f>
        <v>338.40600000000001</v>
      </c>
      <c r="K131" s="14">
        <f>[25]Sheet2!T31</f>
        <v>128.56</v>
      </c>
      <c r="L131" s="14">
        <f>[25]Sheet2!U31</f>
        <v>420.976</v>
      </c>
      <c r="M131" s="14">
        <f>[25]Sheet2!V31</f>
        <v>322.42599999999999</v>
      </c>
      <c r="N131" s="14">
        <f>[25]Sheet2!W31</f>
        <v>854.05</v>
      </c>
      <c r="O131" s="14">
        <f>[25]Sheet2!X31</f>
        <v>1089.6388999999999</v>
      </c>
      <c r="P131" s="14">
        <f>[25]Sheet2!Y31</f>
        <v>920.47199999999998</v>
      </c>
      <c r="Q131" s="14">
        <f>[25]Sheet2!Z31</f>
        <v>802.16279999999995</v>
      </c>
      <c r="R131" s="14">
        <f>[25]Sheet2!AA31</f>
        <v>631.58320000000003</v>
      </c>
      <c r="S131" s="14">
        <f>[25]Sheet2!AB31</f>
        <v>646.73500000000001</v>
      </c>
      <c r="T131">
        <f>[25]Sheet2!AC31</f>
        <v>1141.4159999999999</v>
      </c>
      <c r="U131" s="6">
        <f>[25]Sheet2!AD31</f>
        <v>1048.3018</v>
      </c>
      <c r="V131">
        <f>[25]Sheet2!AE31</f>
        <v>1143.1768</v>
      </c>
      <c r="W131">
        <f>[25]Sheet2!AF31</f>
        <v>906.13699999999994</v>
      </c>
      <c r="X131" s="6">
        <f>[25]Sheet2!AG31</f>
        <v>871.71799999999996</v>
      </c>
      <c r="Y131" s="6">
        <f>[25]Sheet2!AH31</f>
        <v>2081.0279999999998</v>
      </c>
      <c r="Z131" s="6">
        <f>[15]APE!L27</f>
        <v>2156.2512999999999</v>
      </c>
      <c r="AA131" s="22">
        <f>SUM(O131:INDEX(O131:Z131,$B$2))</f>
        <v>6280.3096999999998</v>
      </c>
      <c r="AB131" s="22">
        <f>SUM(O131:Q131)</f>
        <v>2812.2736999999997</v>
      </c>
      <c r="AC131" s="22">
        <f>SUM(R131:T131)</f>
        <v>2419.7341999999999</v>
      </c>
      <c r="AD131" s="22">
        <f>SUM(U131:W131)</f>
        <v>3097.6156000000001</v>
      </c>
      <c r="AE131" s="22">
        <f>SUM(X131:Z131)</f>
        <v>5108.9972999999991</v>
      </c>
      <c r="AF131" s="22">
        <f>SUM(C131                                                                                : INDEX(C131:N131,$B$2))</f>
        <v>337.71500000000003</v>
      </c>
      <c r="AG131" s="22">
        <f>SUM(C131:E131)</f>
        <v>93.673000000000002</v>
      </c>
      <c r="AH131" s="22">
        <f>SUM(F131:H131)</f>
        <v>179.12</v>
      </c>
      <c r="AI131" s="22">
        <f>SUM(I131:K131)</f>
        <v>531.88799999999992</v>
      </c>
      <c r="AJ131" s="22">
        <f>SUM(L131:N131)</f>
        <v>1597.452</v>
      </c>
      <c r="AK131" s="31">
        <f>AA131/AF131-1</f>
        <v>17.596478391543162</v>
      </c>
      <c r="AL131" s="31">
        <f t="shared" ref="AL131:AL139" si="389">AB131/AG131-1</f>
        <v>29.022244403403324</v>
      </c>
      <c r="AM131" s="31">
        <f t="shared" ref="AM131:AM139" si="390">AC131/AH131-1</f>
        <v>12.50901183564091</v>
      </c>
      <c r="AN131" s="31">
        <f t="shared" ref="AN131:AN139" si="391">AD131/AI131-1</f>
        <v>4.8238117799235942</v>
      </c>
      <c r="AO131" s="31">
        <f t="shared" ref="AO131:AO139" si="392">AE131/AJ131-1</f>
        <v>2.198216472232029</v>
      </c>
      <c r="AP131" s="6">
        <f>[16]APE!L27</f>
        <v>1686.0008</v>
      </c>
      <c r="AQ131" s="6">
        <f>[17]APE!L27</f>
        <v>2554.1039000000001</v>
      </c>
      <c r="AR131" s="6">
        <f>[18]APE!L27</f>
        <v>1955.31</v>
      </c>
      <c r="AS131" s="6">
        <f>[19]APE!L28</f>
        <v>1661.2629999999999</v>
      </c>
      <c r="AT131" s="6">
        <f>[20]APE!L28</f>
        <v>4506.82</v>
      </c>
      <c r="AU131" s="6">
        <f>[21]APE!L28</f>
        <v>2498.86</v>
      </c>
      <c r="AV131" s="6">
        <f>[22]APE!L28</f>
        <v>2234.1870999999978</v>
      </c>
      <c r="AW131" s="6"/>
      <c r="AX131" s="6"/>
      <c r="AY131" s="6"/>
      <c r="AZ131" s="6"/>
      <c r="BA131" s="6"/>
      <c r="BB131" s="110">
        <f>SUM(AP131:INDEX(AP131:AR131,IF($B$2&lt;3,$B$2,3)))</f>
        <v>6195.4146999999994</v>
      </c>
      <c r="BC131" s="110">
        <f>SUM(AS131:INDEX(AS131:AU131,IF(AND($B$2&gt;3,$B$2&lt;7),$B$2-3,0)))</f>
        <v>8666.9429999999993</v>
      </c>
      <c r="BD131" s="110">
        <f>SUM(AV131:INDEX(AV131:AX131,IF(AND($B$2&gt;6,$B$2&lt;10),$B$2-6,0)))</f>
        <v>2234.1870999999978</v>
      </c>
      <c r="BE131" s="110">
        <f>SUM(AY131:INDEX(AY131:BA131,IF($B$2&gt;9,$B$2-9,0)))</f>
        <v>0</v>
      </c>
      <c r="BF131" s="110">
        <f>SUM($AP131:INDEX(AP131:BA131,$B$2))</f>
        <v>17096.5448</v>
      </c>
      <c r="BG131" s="125">
        <f>IFERROR(AP131/O131,0)</f>
        <v>1.5473023218976489</v>
      </c>
      <c r="BH131" s="111">
        <f t="shared" ref="BH131:BH139" si="393">IFERROR(AQ131/P131,0)</f>
        <v>2.7747763104146568</v>
      </c>
      <c r="BI131" s="111">
        <f t="shared" ref="BI131:BI139" si="394">IFERROR(AR131/Q131,0)</f>
        <v>2.4375475900901913</v>
      </c>
      <c r="BJ131" s="111">
        <f t="shared" ref="BJ131:BJ139" si="395">IFERROR(AS131/R131,0)</f>
        <v>2.6303153725431581</v>
      </c>
      <c r="BK131" s="111">
        <f t="shared" ref="BK131:BK139" si="396">IFERROR(AT131/S131,0)</f>
        <v>6.9685729085328605</v>
      </c>
      <c r="BL131" s="111">
        <f t="shared" ref="BL131:BL139" si="397">IFERROR(AU131/T131,0)</f>
        <v>2.1892631608458268</v>
      </c>
      <c r="BM131" s="111">
        <f>IFERROR(AV131/U131,0)</f>
        <v>2.1312441703333889</v>
      </c>
      <c r="BN131" s="111">
        <f t="shared" ref="BN131:BN139" si="398">IFERROR(AW131/V131,0)</f>
        <v>0</v>
      </c>
      <c r="BO131" s="111">
        <f t="shared" ref="BO131:BO139" si="399">IFERROR(AX131/W131,0)</f>
        <v>0</v>
      </c>
      <c r="BP131" s="111">
        <f t="shared" ref="BP131:BP139" si="400">IFERROR(AY131/X131,0)</f>
        <v>0</v>
      </c>
      <c r="BQ131" s="111">
        <f t="shared" ref="BQ131:BQ139" si="401">IFERROR(AZ131/Y131,0)</f>
        <v>0</v>
      </c>
      <c r="BR131" s="111">
        <f t="shared" ref="BR131:BR139" si="402">IFERROR(BA131/Z131,0)</f>
        <v>0</v>
      </c>
      <c r="BS131" s="111">
        <f>IFERROR(BB131/SUM(O131:INDEX(O131:Q131,IF($B$2&lt;3,$B$2,3))),0)</f>
        <v>2.2029913731369746</v>
      </c>
      <c r="BT131" s="111">
        <f>IFERROR(BC131/SUM(R131:INDEX(R131:T131,IF($B$2&lt;7,$B$2-3,3))),0)</f>
        <v>3.5817748081586811</v>
      </c>
      <c r="BU131" s="111">
        <f>IFERROR(BD131/SUM(U131:INDEX(U131:W131,IF($C$2&lt;3,$C$2,3))),0)</f>
        <v>2.1312441703333889</v>
      </c>
      <c r="BV131" s="111">
        <f>IFERROR(BE131/SUM(R131:INDEX(R131:T131,IF($B$2&lt;3,$B$2,3))),0)</f>
        <v>0</v>
      </c>
      <c r="BW131" s="111">
        <f>IFERROR(BF131/AA131,0)</f>
        <v>2.7222454969059888</v>
      </c>
    </row>
    <row r="132" spans="1:75" x14ac:dyDescent="0.25">
      <c r="A132" s="20" t="str">
        <f t="shared" ref="A132:A139" si="403">$B$130&amp;"_by_rookie_mdrt:"&amp;B132</f>
        <v>RYP_by_rookie_mdrt:Rookie in month</v>
      </c>
      <c r="B132" t="s">
        <v>5</v>
      </c>
      <c r="C132" s="14">
        <f>[25]Sheet2!L32</f>
        <v>0</v>
      </c>
      <c r="D132" s="14">
        <f>[25]Sheet2!M32</f>
        <v>0</v>
      </c>
      <c r="E132" s="14">
        <f>[25]Sheet2!N32</f>
        <v>0</v>
      </c>
      <c r="F132" s="14">
        <f>[25]Sheet2!O32</f>
        <v>0</v>
      </c>
      <c r="G132" s="14">
        <f>[25]Sheet2!P32</f>
        <v>0</v>
      </c>
      <c r="H132" s="14">
        <f>[25]Sheet2!Q32</f>
        <v>0</v>
      </c>
      <c r="I132" s="14">
        <f>[25]Sheet2!R32</f>
        <v>0</v>
      </c>
      <c r="J132" s="14">
        <f>[25]Sheet2!S32</f>
        <v>0</v>
      </c>
      <c r="K132" s="14">
        <f>[25]Sheet2!T32</f>
        <v>0</v>
      </c>
      <c r="L132" s="14">
        <f>[25]Sheet2!U32</f>
        <v>0</v>
      </c>
      <c r="M132" s="14">
        <f>[25]Sheet2!V32</f>
        <v>0</v>
      </c>
      <c r="N132" s="14">
        <f>[25]Sheet2!W32</f>
        <v>0</v>
      </c>
      <c r="O132" s="14">
        <f>[25]Sheet2!X32</f>
        <v>0</v>
      </c>
      <c r="P132" s="14">
        <f>[25]Sheet2!Y32</f>
        <v>0</v>
      </c>
      <c r="Q132" s="14">
        <f>[25]Sheet2!Z32</f>
        <v>0</v>
      </c>
      <c r="R132" s="14">
        <f>[25]Sheet2!AA32</f>
        <v>0</v>
      </c>
      <c r="S132" s="14">
        <f>[25]Sheet2!AB32</f>
        <v>0</v>
      </c>
      <c r="T132">
        <f>[25]Sheet2!AC32</f>
        <v>0</v>
      </c>
      <c r="U132" s="6">
        <f>[25]Sheet2!AD32</f>
        <v>0</v>
      </c>
      <c r="V132">
        <f>[25]Sheet2!AE32</f>
        <v>0</v>
      </c>
      <c r="W132">
        <f>[25]Sheet2!AF32</f>
        <v>0</v>
      </c>
      <c r="X132" s="6">
        <f>[25]Sheet2!AG32</f>
        <v>0</v>
      </c>
      <c r="Y132" s="6">
        <f>[25]Sheet2!AH32</f>
        <v>0</v>
      </c>
      <c r="Z132" s="6">
        <f>[15]APE!L28</f>
        <v>0</v>
      </c>
      <c r="AA132" s="22">
        <f>SUM(O132:INDEX(O132:Z132,$B$2))</f>
        <v>0</v>
      </c>
      <c r="AB132" s="22">
        <f t="shared" ref="AB132:AB137" si="404">SUM(O132:Q132)</f>
        <v>0</v>
      </c>
      <c r="AC132" s="22">
        <f t="shared" ref="AC132:AC137" si="405">SUM(R132:T132)</f>
        <v>0</v>
      </c>
      <c r="AD132" s="22">
        <f t="shared" ref="AD132:AD137" si="406">SUM(U132:W132)</f>
        <v>0</v>
      </c>
      <c r="AE132" s="22">
        <f t="shared" ref="AE132:AE137" si="407">SUM(X132:Z132)</f>
        <v>0</v>
      </c>
      <c r="AF132" s="22">
        <f>SUM(C132                                                                                : INDEX(C132:N132,$B$2))</f>
        <v>0</v>
      </c>
      <c r="AG132" s="22">
        <f t="shared" ref="AG132:AG137" si="408">SUM(C132:E132)</f>
        <v>0</v>
      </c>
      <c r="AH132" s="22">
        <f t="shared" ref="AH132:AH137" si="409">SUM(F132:H132)</f>
        <v>0</v>
      </c>
      <c r="AI132" s="22">
        <f t="shared" ref="AI132:AI137" si="410">SUM(I132:K132)</f>
        <v>0</v>
      </c>
      <c r="AJ132" s="22">
        <f t="shared" ref="AJ132:AJ137" si="411">SUM(L132:N132)</f>
        <v>0</v>
      </c>
      <c r="AK132" s="31">
        <f>IFERROR(AA132/AF132-1,0)</f>
        <v>0</v>
      </c>
      <c r="AL132" s="31">
        <f t="shared" ref="AL132:AO133" si="412">IFERROR(AB132/AG132-1,0)</f>
        <v>0</v>
      </c>
      <c r="AM132" s="31">
        <f t="shared" si="412"/>
        <v>0</v>
      </c>
      <c r="AN132" s="31">
        <f t="shared" si="412"/>
        <v>0</v>
      </c>
      <c r="AO132" s="31">
        <f t="shared" si="412"/>
        <v>0</v>
      </c>
      <c r="AP132" s="6">
        <f>[16]APE!L28</f>
        <v>0</v>
      </c>
      <c r="AQ132" s="6">
        <f>[17]APE!L28</f>
        <v>0</v>
      </c>
      <c r="AR132" s="6">
        <f>[18]APE!L28</f>
        <v>0</v>
      </c>
      <c r="AS132" s="6">
        <f>[19]APE!L29</f>
        <v>0</v>
      </c>
      <c r="AT132" s="6">
        <f>[20]APE!L29</f>
        <v>0</v>
      </c>
      <c r="AU132" s="6">
        <f>[21]APE!L29</f>
        <v>0</v>
      </c>
      <c r="AV132" s="6">
        <f>[22]APE!L29</f>
        <v>0</v>
      </c>
      <c r="AW132" s="6"/>
      <c r="AX132" s="6"/>
      <c r="AY132" s="6"/>
      <c r="AZ132" s="6"/>
      <c r="BA132" s="6"/>
      <c r="BB132" s="110">
        <f>SUM(AP132:INDEX(AP132:AR132,IF($B$2&lt;3,$B$2,3)))</f>
        <v>0</v>
      </c>
      <c r="BC132" s="110">
        <f>SUM(AS132:INDEX(AS132:AU132,IF(AND($B$2&gt;3,$B$2&lt;7),$B$2-3,0)))</f>
        <v>0</v>
      </c>
      <c r="BD132" s="110">
        <f>SUM(AV132:INDEX(AV132:AX132,IF(AND($B$2&gt;6,$B$2&lt;10),$B$2-6,0)))</f>
        <v>0</v>
      </c>
      <c r="BE132" s="110">
        <f>SUM(AY132:INDEX(AY132:BA132,IF($B$2&gt;9,$B$2-9,0)))</f>
        <v>0</v>
      </c>
      <c r="BF132" s="110">
        <f>SUM($AP132:INDEX(AP132:BA132,$B$2))</f>
        <v>0</v>
      </c>
      <c r="BG132" s="125">
        <f t="shared" ref="BG132:BG139" si="413">IFERROR(AP132/O132,0)</f>
        <v>0</v>
      </c>
      <c r="BH132" s="111">
        <f t="shared" si="393"/>
        <v>0</v>
      </c>
      <c r="BI132" s="111">
        <f t="shared" si="394"/>
        <v>0</v>
      </c>
      <c r="BJ132" s="111">
        <f t="shared" si="395"/>
        <v>0</v>
      </c>
      <c r="BK132" s="111">
        <f t="shared" si="396"/>
        <v>0</v>
      </c>
      <c r="BL132" s="111">
        <f t="shared" si="397"/>
        <v>0</v>
      </c>
      <c r="BM132" s="111">
        <f t="shared" ref="BM132:BM139" si="414">IFERROR(AV132/U132,0)</f>
        <v>0</v>
      </c>
      <c r="BN132" s="111">
        <f t="shared" si="398"/>
        <v>0</v>
      </c>
      <c r="BO132" s="111">
        <f t="shared" si="399"/>
        <v>0</v>
      </c>
      <c r="BP132" s="111">
        <f t="shared" si="400"/>
        <v>0</v>
      </c>
      <c r="BQ132" s="111">
        <f t="shared" si="401"/>
        <v>0</v>
      </c>
      <c r="BR132" s="111">
        <f t="shared" si="402"/>
        <v>0</v>
      </c>
      <c r="BS132" s="111">
        <f>IFERROR(BB132/SUM(O132:INDEX(O132:Q132,IF($B$2&lt;3,$B$2,3))),0)</f>
        <v>0</v>
      </c>
      <c r="BT132" s="111">
        <f>IFERROR(BC132/SUM(R132:INDEX(R132:T132,IF($B$2&lt;7,$B$2-3,3))),0)</f>
        <v>0</v>
      </c>
      <c r="BU132" s="111">
        <f>IFERROR(BD132/SUM(U132:INDEX(U132:W132,IF($C$2&lt;3,$C$2,3))),0)</f>
        <v>0</v>
      </c>
      <c r="BV132" s="111">
        <f>IFERROR(BE132/SUM(R132:INDEX(R132:T132,IF($B$2&lt;3,$B$2,3))),0)</f>
        <v>0</v>
      </c>
      <c r="BW132" s="111">
        <f t="shared" ref="BW132:BW139" si="415">IFERROR(BF132/AA132,0)</f>
        <v>0</v>
      </c>
    </row>
    <row r="133" spans="1:75" x14ac:dyDescent="0.25">
      <c r="A133" s="20" t="str">
        <f t="shared" si="403"/>
        <v>RYP_by_rookie_mdrt:Rookie last month</v>
      </c>
      <c r="B133" t="s">
        <v>6</v>
      </c>
      <c r="C133" s="14">
        <f>[25]Sheet2!L33</f>
        <v>0</v>
      </c>
      <c r="D133" s="14">
        <f>[25]Sheet2!M33</f>
        <v>0</v>
      </c>
      <c r="E133" s="14">
        <f>[25]Sheet2!N33</f>
        <v>0</v>
      </c>
      <c r="F133" s="14">
        <f>[25]Sheet2!O33</f>
        <v>0</v>
      </c>
      <c r="G133" s="14">
        <f>[25]Sheet2!P33</f>
        <v>75.644000000000005</v>
      </c>
      <c r="H133" s="14">
        <f>[25]Sheet2!Q33</f>
        <v>0</v>
      </c>
      <c r="I133" s="14">
        <f>[25]Sheet2!R33</f>
        <v>0</v>
      </c>
      <c r="J133" s="14">
        <f>[25]Sheet2!S33</f>
        <v>0</v>
      </c>
      <c r="K133" s="14">
        <f>[25]Sheet2!T33</f>
        <v>0</v>
      </c>
      <c r="L133" s="14">
        <f>[25]Sheet2!U33</f>
        <v>0</v>
      </c>
      <c r="M133" s="14">
        <f>[25]Sheet2!V33</f>
        <v>0</v>
      </c>
      <c r="N133" s="14">
        <f>[25]Sheet2!W33</f>
        <v>0</v>
      </c>
      <c r="O133" s="14">
        <f>[25]Sheet2!X33</f>
        <v>0</v>
      </c>
      <c r="P133" s="14">
        <f>[25]Sheet2!Y33</f>
        <v>0</v>
      </c>
      <c r="Q133" s="14">
        <f>[25]Sheet2!Z33</f>
        <v>0</v>
      </c>
      <c r="R133" s="14">
        <f>[25]Sheet2!AA33</f>
        <v>0</v>
      </c>
      <c r="S133" s="14">
        <f>[25]Sheet2!AB33</f>
        <v>0</v>
      </c>
      <c r="T133">
        <f>[25]Sheet2!AC33</f>
        <v>0</v>
      </c>
      <c r="U133" s="6">
        <f>[25]Sheet2!AD33</f>
        <v>0</v>
      </c>
      <c r="V133">
        <f>[25]Sheet2!AE33</f>
        <v>0</v>
      </c>
      <c r="W133">
        <f>[25]Sheet2!AF33</f>
        <v>0</v>
      </c>
      <c r="X133" s="6">
        <f>[25]Sheet2!AG33</f>
        <v>0</v>
      </c>
      <c r="Y133" s="6">
        <f>[25]Sheet2!AH33</f>
        <v>8.9440000000000008</v>
      </c>
      <c r="Z133" s="6">
        <f>[15]APE!L29</f>
        <v>0</v>
      </c>
      <c r="AA133" s="22">
        <f>SUM(O133:INDEX(O133:Z133,$B$2))</f>
        <v>0</v>
      </c>
      <c r="AB133" s="22">
        <f t="shared" si="404"/>
        <v>0</v>
      </c>
      <c r="AC133" s="22">
        <f t="shared" si="405"/>
        <v>0</v>
      </c>
      <c r="AD133" s="22">
        <f t="shared" si="406"/>
        <v>0</v>
      </c>
      <c r="AE133" s="22">
        <f t="shared" si="407"/>
        <v>8.9440000000000008</v>
      </c>
      <c r="AF133" s="22">
        <f>SUM(C133                                                                                : INDEX(C133:N133,$B$2))</f>
        <v>75.644000000000005</v>
      </c>
      <c r="AG133" s="22">
        <f t="shared" si="408"/>
        <v>0</v>
      </c>
      <c r="AH133" s="22">
        <f t="shared" si="409"/>
        <v>75.644000000000005</v>
      </c>
      <c r="AI133" s="22">
        <f t="shared" si="410"/>
        <v>0</v>
      </c>
      <c r="AJ133" s="22">
        <f t="shared" si="411"/>
        <v>0</v>
      </c>
      <c r="AK133" s="31">
        <f t="shared" ref="AK133:AK139" si="416">AA133/AF133-1</f>
        <v>-1</v>
      </c>
      <c r="AL133" s="31">
        <f>IFERROR(AB133/AG133-1,0)</f>
        <v>0</v>
      </c>
      <c r="AM133" s="31">
        <f t="shared" si="412"/>
        <v>-1</v>
      </c>
      <c r="AN133" s="31">
        <f t="shared" si="412"/>
        <v>0</v>
      </c>
      <c r="AO133" s="31">
        <f t="shared" si="412"/>
        <v>0</v>
      </c>
      <c r="AP133" s="6">
        <f>[16]APE!L29</f>
        <v>0</v>
      </c>
      <c r="AQ133" s="6">
        <f>[17]APE!L29</f>
        <v>0</v>
      </c>
      <c r="AR133" s="6">
        <f>[18]APE!L29</f>
        <v>0</v>
      </c>
      <c r="AS133" s="6">
        <f>[19]APE!L30</f>
        <v>0</v>
      </c>
      <c r="AT133" s="6">
        <f>[20]APE!L30</f>
        <v>0</v>
      </c>
      <c r="AU133" s="6">
        <f>[21]APE!L30</f>
        <v>0</v>
      </c>
      <c r="AV133" s="6">
        <f>[22]APE!L30</f>
        <v>0</v>
      </c>
      <c r="AW133" s="6"/>
      <c r="AX133" s="6"/>
      <c r="AY133" s="6"/>
      <c r="AZ133" s="6"/>
      <c r="BA133" s="6"/>
      <c r="BB133" s="110">
        <f>SUM(AP133:INDEX(AP133:AR133,IF($B$2&lt;3,$B$2,3)))</f>
        <v>0</v>
      </c>
      <c r="BC133" s="110">
        <f>SUM(AS133:INDEX(AS133:AU133,IF(AND($B$2&gt;3,$B$2&lt;7),$B$2-3,0)))</f>
        <v>0</v>
      </c>
      <c r="BD133" s="110">
        <f>SUM(AV133:INDEX(AV133:AX133,IF(AND($B$2&gt;6,$B$2&lt;10),$B$2-6,0)))</f>
        <v>0</v>
      </c>
      <c r="BE133" s="110">
        <f>SUM(AY133:INDEX(AY133:BA133,IF($B$2&gt;9,$B$2-9,0)))</f>
        <v>0</v>
      </c>
      <c r="BF133" s="110">
        <f>SUM($AP133:INDEX(AP133:BA133,$B$2))</f>
        <v>0</v>
      </c>
      <c r="BG133" s="125">
        <f t="shared" si="413"/>
        <v>0</v>
      </c>
      <c r="BH133" s="111">
        <f t="shared" si="393"/>
        <v>0</v>
      </c>
      <c r="BI133" s="111">
        <f t="shared" si="394"/>
        <v>0</v>
      </c>
      <c r="BJ133" s="111">
        <f t="shared" si="395"/>
        <v>0</v>
      </c>
      <c r="BK133" s="111">
        <f t="shared" si="396"/>
        <v>0</v>
      </c>
      <c r="BL133" s="111">
        <f t="shared" si="397"/>
        <v>0</v>
      </c>
      <c r="BM133" s="111">
        <f t="shared" si="414"/>
        <v>0</v>
      </c>
      <c r="BN133" s="111">
        <f t="shared" si="398"/>
        <v>0</v>
      </c>
      <c r="BO133" s="111">
        <f t="shared" si="399"/>
        <v>0</v>
      </c>
      <c r="BP133" s="111">
        <f t="shared" si="400"/>
        <v>0</v>
      </c>
      <c r="BQ133" s="111">
        <f t="shared" si="401"/>
        <v>0</v>
      </c>
      <c r="BR133" s="111">
        <f t="shared" si="402"/>
        <v>0</v>
      </c>
      <c r="BS133" s="111">
        <f>IFERROR(BB133/SUM(O133:INDEX(O133:Q133,IF($B$2&lt;3,$B$2,3))),0)</f>
        <v>0</v>
      </c>
      <c r="BT133" s="111">
        <f>IFERROR(BC133/SUM(R133:INDEX(R133:T133,IF($B$2&lt;7,$B$2-3,3))),0)</f>
        <v>0</v>
      </c>
      <c r="BU133" s="111">
        <f>IFERROR(BD133/SUM(U133:INDEX(U133:W133,IF($C$2&lt;3,$C$2,3))),0)</f>
        <v>0</v>
      </c>
      <c r="BV133" s="111">
        <f>IFERROR(BE133/SUM(R133:INDEX(R133:T133,IF($B$2&lt;3,$B$2,3))),0)</f>
        <v>0</v>
      </c>
      <c r="BW133" s="111">
        <f t="shared" si="415"/>
        <v>0</v>
      </c>
    </row>
    <row r="134" spans="1:75" x14ac:dyDescent="0.25">
      <c r="A134" s="20" t="str">
        <f t="shared" si="403"/>
        <v>RYP_by_rookie_mdrt:2-3 months</v>
      </c>
      <c r="B134" t="s">
        <v>7</v>
      </c>
      <c r="C134" s="14">
        <f>[25]Sheet2!L34</f>
        <v>140.71199999999999</v>
      </c>
      <c r="D134" s="14">
        <f>[25]Sheet2!M34</f>
        <v>0</v>
      </c>
      <c r="E134" s="14">
        <f>[25]Sheet2!N34</f>
        <v>0</v>
      </c>
      <c r="F134" s="14">
        <f>[25]Sheet2!O34</f>
        <v>0</v>
      </c>
      <c r="G134" s="14">
        <f>[25]Sheet2!P34</f>
        <v>0</v>
      </c>
      <c r="H134" s="14">
        <f>[25]Sheet2!Q34</f>
        <v>41.707999999999998</v>
      </c>
      <c r="I134" s="14">
        <f>[25]Sheet2!R34</f>
        <v>60.921999999999997</v>
      </c>
      <c r="J134" s="14">
        <f>[25]Sheet2!S34</f>
        <v>0</v>
      </c>
      <c r="K134" s="14">
        <f>[25]Sheet2!T34</f>
        <v>0</v>
      </c>
      <c r="L134" s="14">
        <f>[25]Sheet2!U34</f>
        <v>0</v>
      </c>
      <c r="M134" s="14">
        <f>[25]Sheet2!V34</f>
        <v>0</v>
      </c>
      <c r="N134" s="14">
        <f>[25]Sheet2!W34</f>
        <v>4.1219999999999999</v>
      </c>
      <c r="O134" s="14">
        <f>[25]Sheet2!X34</f>
        <v>0</v>
      </c>
      <c r="P134" s="14">
        <f>[25]Sheet2!Y34</f>
        <v>0</v>
      </c>
      <c r="Q134" s="14">
        <f>[25]Sheet2!Z34</f>
        <v>0</v>
      </c>
      <c r="R134" s="14">
        <f>[25]Sheet2!AA34</f>
        <v>20.843</v>
      </c>
      <c r="S134" s="14">
        <f>[25]Sheet2!AB34</f>
        <v>0</v>
      </c>
      <c r="T134">
        <f>[25]Sheet2!AC34</f>
        <v>15.375999999999999</v>
      </c>
      <c r="U134" s="6">
        <f>[25]Sheet2!AD34</f>
        <v>130.374</v>
      </c>
      <c r="V134">
        <f>[25]Sheet2!AE34</f>
        <v>11.826000000000001</v>
      </c>
      <c r="W134">
        <f>[25]Sheet2!AF34</f>
        <v>0</v>
      </c>
      <c r="X134" s="6">
        <f>[25]Sheet2!AG34</f>
        <v>0</v>
      </c>
      <c r="Y134" s="6">
        <f>[25]Sheet2!AH34</f>
        <v>24.841999999999999</v>
      </c>
      <c r="Z134" s="6">
        <f>[15]APE!L30</f>
        <v>26.196999999999999</v>
      </c>
      <c r="AA134" s="22">
        <f>SUM(O134:INDEX(O134:Z134,$B$2))</f>
        <v>166.59299999999999</v>
      </c>
      <c r="AB134" s="22">
        <f t="shared" si="404"/>
        <v>0</v>
      </c>
      <c r="AC134" s="22">
        <f t="shared" si="405"/>
        <v>36.219000000000001</v>
      </c>
      <c r="AD134" s="22">
        <f t="shared" si="406"/>
        <v>142.19999999999999</v>
      </c>
      <c r="AE134" s="22">
        <f t="shared" si="407"/>
        <v>51.039000000000001</v>
      </c>
      <c r="AF134" s="22">
        <f>SUM(C134                                                                                : INDEX(C134:N134,$B$2))</f>
        <v>243.34199999999998</v>
      </c>
      <c r="AG134" s="22">
        <f t="shared" si="408"/>
        <v>140.71199999999999</v>
      </c>
      <c r="AH134" s="22">
        <f t="shared" si="409"/>
        <v>41.707999999999998</v>
      </c>
      <c r="AI134" s="22">
        <f t="shared" si="410"/>
        <v>60.921999999999997</v>
      </c>
      <c r="AJ134" s="22">
        <f t="shared" si="411"/>
        <v>4.1219999999999999</v>
      </c>
      <c r="AK134" s="31">
        <f t="shared" si="416"/>
        <v>-0.31539561604655175</v>
      </c>
      <c r="AL134" s="31">
        <f t="shared" si="389"/>
        <v>-1</v>
      </c>
      <c r="AM134" s="31">
        <f t="shared" si="390"/>
        <v>-0.13160544739618296</v>
      </c>
      <c r="AN134" s="31">
        <f t="shared" si="391"/>
        <v>1.3341321690029875</v>
      </c>
      <c r="AO134" s="31">
        <f t="shared" si="392"/>
        <v>11.382096069868997</v>
      </c>
      <c r="AP134" s="6">
        <f>[16]APE!L30</f>
        <v>10.595000000000001</v>
      </c>
      <c r="AQ134" s="6">
        <f>[17]APE!L30</f>
        <v>0</v>
      </c>
      <c r="AR134" s="6">
        <f>[18]APE!L30</f>
        <v>0</v>
      </c>
      <c r="AS134" s="6">
        <f>[19]APE!L31</f>
        <v>0</v>
      </c>
      <c r="AT134" s="6">
        <f>[20]APE!L31</f>
        <v>0</v>
      </c>
      <c r="AU134" s="6">
        <f>[21]APE!L31</f>
        <v>0</v>
      </c>
      <c r="AV134" s="6">
        <f>[22]APE!L31</f>
        <v>11.364000000000001</v>
      </c>
      <c r="AW134" s="6"/>
      <c r="AX134" s="6"/>
      <c r="AY134" s="6"/>
      <c r="AZ134" s="6"/>
      <c r="BA134" s="6"/>
      <c r="BB134" s="110">
        <f>SUM(AP134:INDEX(AP134:AR134,IF($B$2&lt;3,$B$2,3)))</f>
        <v>10.595000000000001</v>
      </c>
      <c r="BC134" s="110">
        <f>SUM(AS134:INDEX(AS134:AU134,IF(AND($B$2&gt;3,$B$2&lt;7),$B$2-3,0)))</f>
        <v>0</v>
      </c>
      <c r="BD134" s="110">
        <f>SUM(AV134:INDEX(AV134:AX134,IF(AND($B$2&gt;6,$B$2&lt;10),$B$2-6,0)))</f>
        <v>11.364000000000001</v>
      </c>
      <c r="BE134" s="110">
        <f>SUM(AY134:INDEX(AY134:BA134,IF($B$2&gt;9,$B$2-9,0)))</f>
        <v>0</v>
      </c>
      <c r="BF134" s="110">
        <f>SUM($AP134:INDEX(AP134:BA134,$B$2))</f>
        <v>21.959000000000003</v>
      </c>
      <c r="BG134" s="125">
        <f t="shared" si="413"/>
        <v>0</v>
      </c>
      <c r="BH134" s="111">
        <f t="shared" si="393"/>
        <v>0</v>
      </c>
      <c r="BI134" s="111">
        <f t="shared" si="394"/>
        <v>0</v>
      </c>
      <c r="BJ134" s="111">
        <f t="shared" si="395"/>
        <v>0</v>
      </c>
      <c r="BK134" s="111">
        <f t="shared" si="396"/>
        <v>0</v>
      </c>
      <c r="BL134" s="111">
        <f t="shared" si="397"/>
        <v>0</v>
      </c>
      <c r="BM134" s="111">
        <f t="shared" si="414"/>
        <v>8.7164618712319952E-2</v>
      </c>
      <c r="BN134" s="111">
        <f t="shared" si="398"/>
        <v>0</v>
      </c>
      <c r="BO134" s="111">
        <f t="shared" si="399"/>
        <v>0</v>
      </c>
      <c r="BP134" s="111">
        <f t="shared" si="400"/>
        <v>0</v>
      </c>
      <c r="BQ134" s="111">
        <f t="shared" si="401"/>
        <v>0</v>
      </c>
      <c r="BR134" s="111">
        <f t="shared" si="402"/>
        <v>0</v>
      </c>
      <c r="BS134" s="111">
        <f>IFERROR(BB134/SUM(O134:INDEX(O134:Q134,IF($B$2&lt;3,$B$2,3))),0)</f>
        <v>0</v>
      </c>
      <c r="BT134" s="111">
        <f>IFERROR(BC134/SUM(R134:INDEX(R134:T134,IF($B$2&lt;7,$B$2-3,3))),0)</f>
        <v>0</v>
      </c>
      <c r="BU134" s="111">
        <f>IFERROR(BD134/SUM(U134:INDEX(U134:W134,IF($C$2&lt;3,$C$2,3))),0)</f>
        <v>8.7164618712319952E-2</v>
      </c>
      <c r="BV134" s="111">
        <f>IFERROR(BE134/SUM(R134:INDEX(R134:T134,IF($B$2&lt;3,$B$2,3))),0)</f>
        <v>0</v>
      </c>
      <c r="BW134" s="111">
        <f t="shared" si="415"/>
        <v>0.1318122610193706</v>
      </c>
    </row>
    <row r="135" spans="1:75" x14ac:dyDescent="0.25">
      <c r="A135" s="20" t="str">
        <f t="shared" si="403"/>
        <v>RYP_by_rookie_mdrt:4 - 6 mths</v>
      </c>
      <c r="B135" t="s">
        <v>8</v>
      </c>
      <c r="C135" s="14">
        <f>[25]Sheet2!L35</f>
        <v>0</v>
      </c>
      <c r="D135" s="14">
        <f>[25]Sheet2!M35</f>
        <v>30.324999999999999</v>
      </c>
      <c r="E135" s="14">
        <f>[25]Sheet2!N35</f>
        <v>63.204999999999998</v>
      </c>
      <c r="F135" s="14">
        <f>[25]Sheet2!O35</f>
        <v>59.848999999999997</v>
      </c>
      <c r="G135" s="14">
        <f>[25]Sheet2!P35</f>
        <v>0</v>
      </c>
      <c r="H135" s="14">
        <f>[25]Sheet2!Q35</f>
        <v>0</v>
      </c>
      <c r="I135" s="14">
        <f>[25]Sheet2!R35</f>
        <v>26.620999999999999</v>
      </c>
      <c r="J135" s="14">
        <f>[25]Sheet2!S35</f>
        <v>104.059</v>
      </c>
      <c r="K135" s="14">
        <f>[25]Sheet2!T35</f>
        <v>55.418999999999997</v>
      </c>
      <c r="L135" s="14">
        <f>[25]Sheet2!U35</f>
        <v>75.891999999999996</v>
      </c>
      <c r="M135" s="14">
        <f>[25]Sheet2!V35</f>
        <v>0</v>
      </c>
      <c r="N135" s="14">
        <f>[25]Sheet2!W35</f>
        <v>99.341999999999999</v>
      </c>
      <c r="O135" s="14">
        <f>[25]Sheet2!X35</f>
        <v>56.762999999999998</v>
      </c>
      <c r="P135" s="14">
        <f>[25]Sheet2!Y35</f>
        <v>23.695</v>
      </c>
      <c r="Q135" s="14">
        <f>[25]Sheet2!Z35</f>
        <v>16.265000000000001</v>
      </c>
      <c r="R135" s="14">
        <f>[25]Sheet2!AA35</f>
        <v>0</v>
      </c>
      <c r="S135" s="14">
        <f>[25]Sheet2!AB35</f>
        <v>0</v>
      </c>
      <c r="T135">
        <f>[25]Sheet2!AC35</f>
        <v>0</v>
      </c>
      <c r="U135" s="6">
        <f>[25]Sheet2!AD35</f>
        <v>7.16</v>
      </c>
      <c r="V135">
        <f>[25]Sheet2!AE35</f>
        <v>85.843999999999994</v>
      </c>
      <c r="W135">
        <f>[25]Sheet2!AF35</f>
        <v>231.91900000000001</v>
      </c>
      <c r="X135" s="6">
        <f>[25]Sheet2!AG35</f>
        <v>87.126999999999995</v>
      </c>
      <c r="Y135" s="6">
        <f>[25]Sheet2!AH35</f>
        <v>59.091000000000001</v>
      </c>
      <c r="Z135" s="6">
        <f>[15]APE!L31</f>
        <v>75.369</v>
      </c>
      <c r="AA135" s="22">
        <f>SUM(O135:INDEX(O135:Z135,$B$2))</f>
        <v>103.883</v>
      </c>
      <c r="AB135" s="22">
        <f t="shared" si="404"/>
        <v>96.722999999999999</v>
      </c>
      <c r="AC135" s="22">
        <f t="shared" si="405"/>
        <v>0</v>
      </c>
      <c r="AD135" s="22">
        <f t="shared" si="406"/>
        <v>324.923</v>
      </c>
      <c r="AE135" s="22">
        <f t="shared" si="407"/>
        <v>221.58699999999999</v>
      </c>
      <c r="AF135" s="22">
        <f>SUM(C135                                                                                : INDEX(C135:N135,$B$2))</f>
        <v>180</v>
      </c>
      <c r="AG135" s="22">
        <f t="shared" si="408"/>
        <v>93.53</v>
      </c>
      <c r="AH135" s="22">
        <f t="shared" si="409"/>
        <v>59.848999999999997</v>
      </c>
      <c r="AI135" s="22">
        <f t="shared" si="410"/>
        <v>186.09899999999999</v>
      </c>
      <c r="AJ135" s="22">
        <f t="shared" si="411"/>
        <v>175.23399999999998</v>
      </c>
      <c r="AK135" s="31">
        <f t="shared" si="416"/>
        <v>-0.4228722222222222</v>
      </c>
      <c r="AL135" s="31">
        <f t="shared" si="389"/>
        <v>3.4138779001389841E-2</v>
      </c>
      <c r="AM135" s="31">
        <f t="shared" si="390"/>
        <v>-1</v>
      </c>
      <c r="AN135" s="31">
        <f t="shared" si="391"/>
        <v>0.74596854362462994</v>
      </c>
      <c r="AO135" s="31">
        <f t="shared" si="392"/>
        <v>0.26452058390495004</v>
      </c>
      <c r="AP135" s="6">
        <f>[16]APE!L31</f>
        <v>10.239000000000001</v>
      </c>
      <c r="AQ135" s="6">
        <f>[17]APE!L31</f>
        <v>21.611000000000001</v>
      </c>
      <c r="AR135" s="6">
        <f>[18]APE!L31</f>
        <v>26.43</v>
      </c>
      <c r="AS135" s="6">
        <f>[19]APE!L32</f>
        <v>10.554</v>
      </c>
      <c r="AT135" s="6">
        <f>[20]APE!L32</f>
        <v>2.48</v>
      </c>
      <c r="AU135" s="6">
        <f>[21]APE!L32</f>
        <v>0</v>
      </c>
      <c r="AV135" s="6">
        <f>[22]APE!L32</f>
        <v>0</v>
      </c>
      <c r="AW135" s="6"/>
      <c r="AX135" s="6"/>
      <c r="AY135" s="6"/>
      <c r="AZ135" s="6"/>
      <c r="BA135" s="6"/>
      <c r="BB135" s="110">
        <f>SUM(AP135:INDEX(AP135:AR135,IF($B$2&lt;3,$B$2,3)))</f>
        <v>58.28</v>
      </c>
      <c r="BC135" s="110">
        <f>SUM(AS135:INDEX(AS135:AU135,IF(AND($B$2&gt;3,$B$2&lt;7),$B$2-3,0)))</f>
        <v>13.034000000000001</v>
      </c>
      <c r="BD135" s="110">
        <f>SUM(AV135:INDEX(AV135:AX135,IF(AND($B$2&gt;6,$B$2&lt;10),$B$2-6,0)))</f>
        <v>0</v>
      </c>
      <c r="BE135" s="110">
        <f>SUM(AY135:INDEX(AY135:BA135,IF($B$2&gt;9,$B$2-9,0)))</f>
        <v>0</v>
      </c>
      <c r="BF135" s="110">
        <f>SUM($AP135:INDEX(AP135:BA135,$B$2))</f>
        <v>71.314000000000007</v>
      </c>
      <c r="BG135" s="125">
        <f t="shared" si="413"/>
        <v>0.18038158659690293</v>
      </c>
      <c r="BH135" s="111">
        <f t="shared" si="393"/>
        <v>0.91204895547583875</v>
      </c>
      <c r="BI135" s="111">
        <f t="shared" si="394"/>
        <v>1.6249615739317553</v>
      </c>
      <c r="BJ135" s="111">
        <f t="shared" si="395"/>
        <v>0</v>
      </c>
      <c r="BK135" s="111">
        <f t="shared" si="396"/>
        <v>0</v>
      </c>
      <c r="BL135" s="111">
        <f t="shared" si="397"/>
        <v>0</v>
      </c>
      <c r="BM135" s="111">
        <f t="shared" si="414"/>
        <v>0</v>
      </c>
      <c r="BN135" s="111">
        <f t="shared" si="398"/>
        <v>0</v>
      </c>
      <c r="BO135" s="111">
        <f t="shared" si="399"/>
        <v>0</v>
      </c>
      <c r="BP135" s="111">
        <f t="shared" si="400"/>
        <v>0</v>
      </c>
      <c r="BQ135" s="111">
        <f t="shared" si="401"/>
        <v>0</v>
      </c>
      <c r="BR135" s="111">
        <f t="shared" si="402"/>
        <v>0</v>
      </c>
      <c r="BS135" s="111">
        <f>IFERROR(BB135/SUM(O135:INDEX(O135:Q135,IF($B$2&lt;3,$B$2,3))),0)</f>
        <v>0.60254541319024435</v>
      </c>
      <c r="BT135" s="111">
        <f>IFERROR(BC135/SUM(R135:INDEX(R135:T135,IF($B$2&lt;7,$B$2-3,3))),0)</f>
        <v>0</v>
      </c>
      <c r="BU135" s="111">
        <f>IFERROR(BD135/SUM(U135:INDEX(U135:W135,IF($C$2&lt;3,$C$2,3))),0)</f>
        <v>0</v>
      </c>
      <c r="BV135" s="111">
        <f>IFERROR(BE135/SUM(R135:INDEX(R135:T135,IF($B$2&lt;3,$B$2,3))),0)</f>
        <v>0</v>
      </c>
      <c r="BW135" s="111">
        <f t="shared" si="415"/>
        <v>0.68648383277340863</v>
      </c>
    </row>
    <row r="136" spans="1:75" x14ac:dyDescent="0.25">
      <c r="A136" s="20" t="str">
        <f t="shared" si="403"/>
        <v>RYP_by_rookie_mdrt:7-12mth</v>
      </c>
      <c r="B136" t="s">
        <v>1</v>
      </c>
      <c r="C136" s="14">
        <f>[25]Sheet2!L36</f>
        <v>146.792</v>
      </c>
      <c r="D136" s="14">
        <f>[25]Sheet2!M36</f>
        <v>0</v>
      </c>
      <c r="E136" s="14">
        <f>[25]Sheet2!N36</f>
        <v>23.59</v>
      </c>
      <c r="F136" s="14">
        <f>[25]Sheet2!O36</f>
        <v>84.680999999999997</v>
      </c>
      <c r="G136" s="14">
        <f>[25]Sheet2!P36</f>
        <v>179.976</v>
      </c>
      <c r="H136" s="14">
        <f>[25]Sheet2!Q36</f>
        <v>291.0838</v>
      </c>
      <c r="I136" s="14">
        <f>[25]Sheet2!R36</f>
        <v>54.456000000000003</v>
      </c>
      <c r="J136" s="14">
        <f>[25]Sheet2!S36</f>
        <v>405.71699999999998</v>
      </c>
      <c r="K136" s="14">
        <f>[25]Sheet2!T36</f>
        <v>303.93799999999999</v>
      </c>
      <c r="L136" s="14">
        <f>[25]Sheet2!U36</f>
        <v>235.81100000000001</v>
      </c>
      <c r="M136" s="14">
        <f>[25]Sheet2!V36</f>
        <v>481.00560000000002</v>
      </c>
      <c r="N136" s="14">
        <f>[25]Sheet2!W36</f>
        <v>575.24099999999999</v>
      </c>
      <c r="O136" s="14">
        <f>[25]Sheet2!X36</f>
        <v>555.20500000000004</v>
      </c>
      <c r="P136" s="14">
        <f>[25]Sheet2!Y36</f>
        <v>402.38060000000002</v>
      </c>
      <c r="Q136" s="14">
        <f>[25]Sheet2!Z36</f>
        <v>349.96199999999999</v>
      </c>
      <c r="R136" s="14">
        <f>[25]Sheet2!AA36</f>
        <v>396.52499999999998</v>
      </c>
      <c r="S136" s="14">
        <f>[25]Sheet2!AB36</f>
        <v>256.36799999999999</v>
      </c>
      <c r="T136">
        <f>[25]Sheet2!AC36</f>
        <v>296.32299999999998</v>
      </c>
      <c r="U136" s="6">
        <f>[25]Sheet2!AD36</f>
        <v>387.51100000000002</v>
      </c>
      <c r="V136">
        <f>[25]Sheet2!AE36</f>
        <v>316.75400000000002</v>
      </c>
      <c r="W136">
        <f>[25]Sheet2!AF36</f>
        <v>292.01600000000002</v>
      </c>
      <c r="X136" s="6">
        <f>[25]Sheet2!AG36</f>
        <v>417.92399999999998</v>
      </c>
      <c r="Y136" s="6">
        <f>[25]Sheet2!AH36</f>
        <v>770.34500000000003</v>
      </c>
      <c r="Z136" s="6">
        <f>[15]APE!L32</f>
        <v>408.81599999999997</v>
      </c>
      <c r="AA136" s="22">
        <f>SUM(O136:INDEX(O136:Z136,$B$2))</f>
        <v>2644.2745999999997</v>
      </c>
      <c r="AB136" s="22">
        <f t="shared" si="404"/>
        <v>1307.5476000000001</v>
      </c>
      <c r="AC136" s="22">
        <f t="shared" si="405"/>
        <v>949.21600000000001</v>
      </c>
      <c r="AD136" s="22">
        <f t="shared" si="406"/>
        <v>996.28100000000018</v>
      </c>
      <c r="AE136" s="22">
        <f t="shared" si="407"/>
        <v>1597.085</v>
      </c>
      <c r="AF136" s="22">
        <f>SUM(C136                                                                                : INDEX(C136:N136,$B$2))</f>
        <v>780.5788</v>
      </c>
      <c r="AG136" s="22">
        <f t="shared" si="408"/>
        <v>170.38200000000001</v>
      </c>
      <c r="AH136" s="22">
        <f t="shared" si="409"/>
        <v>555.74080000000004</v>
      </c>
      <c r="AI136" s="22">
        <f t="shared" si="410"/>
        <v>764.11099999999999</v>
      </c>
      <c r="AJ136" s="22">
        <f t="shared" si="411"/>
        <v>1292.0576000000001</v>
      </c>
      <c r="AK136" s="31">
        <f t="shared" si="416"/>
        <v>2.3875818815473848</v>
      </c>
      <c r="AL136" s="31">
        <f t="shared" si="389"/>
        <v>6.6742120646547178</v>
      </c>
      <c r="AM136" s="31">
        <f t="shared" si="390"/>
        <v>0.70801927805192633</v>
      </c>
      <c r="AN136" s="31">
        <f t="shared" si="391"/>
        <v>0.30384328978381436</v>
      </c>
      <c r="AO136" s="31">
        <f t="shared" si="392"/>
        <v>0.23607879401042187</v>
      </c>
      <c r="AP136" s="6">
        <f>[16]APE!L32</f>
        <v>214.21299999999999</v>
      </c>
      <c r="AQ136" s="6">
        <f>[17]APE!L32</f>
        <v>208.959</v>
      </c>
      <c r="AR136" s="6">
        <f>[18]APE!L32</f>
        <v>338.12</v>
      </c>
      <c r="AS136" s="6">
        <f>[19]APE!L33</f>
        <v>231.74199999999999</v>
      </c>
      <c r="AT136" s="6">
        <f>[20]APE!L33</f>
        <v>366.7</v>
      </c>
      <c r="AU136" s="6">
        <f>[21]APE!L33</f>
        <v>1064.73</v>
      </c>
      <c r="AV136" s="6">
        <f>[22]APE!L33</f>
        <v>465.17700000000002</v>
      </c>
      <c r="AW136" s="6"/>
      <c r="AX136" s="6"/>
      <c r="AY136" s="6"/>
      <c r="AZ136" s="6"/>
      <c r="BA136" s="6"/>
      <c r="BB136" s="110">
        <f>SUM(AP136:INDEX(AP136:AR136,IF($B$2&lt;3,$B$2,3)))</f>
        <v>761.29200000000003</v>
      </c>
      <c r="BC136" s="110">
        <f>SUM(AS136:INDEX(AS136:AU136,IF(AND($B$2&gt;3,$B$2&lt;7),$B$2-3,0)))</f>
        <v>1663.172</v>
      </c>
      <c r="BD136" s="110">
        <f>SUM(AV136:INDEX(AV136:AX136,IF(AND($B$2&gt;6,$B$2&lt;10),$B$2-6,0)))</f>
        <v>465.17700000000002</v>
      </c>
      <c r="BE136" s="110">
        <f>SUM(AY136:INDEX(AY136:BA136,IF($B$2&gt;9,$B$2-9,0)))</f>
        <v>0</v>
      </c>
      <c r="BF136" s="110">
        <f>SUM($AP136:INDEX(AP136:BA136,$B$2))</f>
        <v>2889.6410000000001</v>
      </c>
      <c r="BG136" s="125">
        <f t="shared" si="413"/>
        <v>0.38582685674660705</v>
      </c>
      <c r="BH136" s="111">
        <f t="shared" si="393"/>
        <v>0.51930684531013671</v>
      </c>
      <c r="BI136" s="111">
        <f t="shared" si="394"/>
        <v>0.96616204045010601</v>
      </c>
      <c r="BJ136" s="111">
        <f t="shared" si="395"/>
        <v>0.58443225521719944</v>
      </c>
      <c r="BK136" s="111">
        <f t="shared" si="396"/>
        <v>1.4303657242713599</v>
      </c>
      <c r="BL136" s="111">
        <f t="shared" si="397"/>
        <v>3.5931399182648667</v>
      </c>
      <c r="BM136" s="111">
        <f t="shared" si="414"/>
        <v>1.2004226976782595</v>
      </c>
      <c r="BN136" s="111">
        <f t="shared" si="398"/>
        <v>0</v>
      </c>
      <c r="BO136" s="111">
        <f t="shared" si="399"/>
        <v>0</v>
      </c>
      <c r="BP136" s="111">
        <f t="shared" si="400"/>
        <v>0</v>
      </c>
      <c r="BQ136" s="111">
        <f t="shared" si="401"/>
        <v>0</v>
      </c>
      <c r="BR136" s="111">
        <f t="shared" si="402"/>
        <v>0</v>
      </c>
      <c r="BS136" s="111">
        <f>IFERROR(BB136/SUM(O136:INDEX(O136:Q136,IF($B$2&lt;3,$B$2,3))),0)</f>
        <v>0.5822288993532625</v>
      </c>
      <c r="BT136" s="111">
        <f>IFERROR(BC136/SUM(R136:INDEX(R136:T136,IF($B$2&lt;7,$B$2-3,3))),0)</f>
        <v>1.752153356032768</v>
      </c>
      <c r="BU136" s="111">
        <f>IFERROR(BD136/SUM(U136:INDEX(U136:W136,IF($C$2&lt;3,$C$2,3))),0)</f>
        <v>1.2004226976782595</v>
      </c>
      <c r="BV136" s="111">
        <f>IFERROR(BE136/SUM(R136:INDEX(R136:T136,IF($B$2&lt;3,$B$2,3))),0)</f>
        <v>0</v>
      </c>
      <c r="BW136" s="111">
        <f t="shared" si="415"/>
        <v>1.0927915731596107</v>
      </c>
    </row>
    <row r="137" spans="1:75" x14ac:dyDescent="0.25">
      <c r="A137" s="20" t="str">
        <f t="shared" si="403"/>
        <v>RYP_by_rookie_mdrt:13+mth</v>
      </c>
      <c r="B137" t="s">
        <v>2</v>
      </c>
      <c r="C137" s="14">
        <f>[25]Sheet2!L37</f>
        <v>721.62599999999998</v>
      </c>
      <c r="D137" s="14">
        <f>[25]Sheet2!M37</f>
        <v>628.33500000000004</v>
      </c>
      <c r="E137" s="14">
        <f>[25]Sheet2!N37</f>
        <v>439.95699999999999</v>
      </c>
      <c r="F137" s="14">
        <f>[25]Sheet2!O37</f>
        <v>598.99900000000002</v>
      </c>
      <c r="G137" s="14">
        <f>[25]Sheet2!P37</f>
        <v>652.096</v>
      </c>
      <c r="H137" s="14">
        <f>[25]Sheet2!Q37</f>
        <v>1028.029</v>
      </c>
      <c r="I137" s="14">
        <f>[25]Sheet2!R37</f>
        <v>1667.6859999999999</v>
      </c>
      <c r="J137" s="14">
        <f>[25]Sheet2!S37</f>
        <v>1799.9490000000001</v>
      </c>
      <c r="K137" s="14">
        <f>[25]Sheet2!T37</f>
        <v>2161.7545</v>
      </c>
      <c r="L137" s="14">
        <f>[25]Sheet2!U37</f>
        <v>2357.864</v>
      </c>
      <c r="M137" s="14">
        <f>[25]Sheet2!V37</f>
        <v>3016.5061000000001</v>
      </c>
      <c r="N137" s="14">
        <f>[25]Sheet2!W37</f>
        <v>5010.7736000000104</v>
      </c>
      <c r="O137" s="14">
        <f>[25]Sheet2!X37</f>
        <v>3665.0763000000002</v>
      </c>
      <c r="P137" s="14">
        <f>[25]Sheet2!Y37</f>
        <v>3030.3748000000001</v>
      </c>
      <c r="Q137" s="14">
        <f>[25]Sheet2!Z37</f>
        <v>2848.1525999999999</v>
      </c>
      <c r="R137" s="14">
        <f>[25]Sheet2!AA37</f>
        <v>2479.3921999999998</v>
      </c>
      <c r="S137" s="14">
        <f>[25]Sheet2!AB37</f>
        <v>4034.7116000000001</v>
      </c>
      <c r="T137">
        <f>[25]Sheet2!AC37</f>
        <v>4495.8242</v>
      </c>
      <c r="U137" s="6">
        <f>[25]Sheet2!AD37</f>
        <v>4253.143</v>
      </c>
      <c r="V137">
        <f>[25]Sheet2!AE37</f>
        <v>7209.2331000000204</v>
      </c>
      <c r="W137">
        <f>[25]Sheet2!AF37</f>
        <v>7599.7288000000299</v>
      </c>
      <c r="X137" s="6">
        <f>[25]Sheet2!AG37</f>
        <v>7609.9890000000296</v>
      </c>
      <c r="Y137" s="6">
        <f>[25]Sheet2!AH37</f>
        <v>10633.0813</v>
      </c>
      <c r="Z137" s="6">
        <f>[15]APE!L33</f>
        <v>12684.5322000001</v>
      </c>
      <c r="AA137" s="22">
        <f>SUM(O137:INDEX(O137:Z137,$B$2))</f>
        <v>24806.6747</v>
      </c>
      <c r="AB137" s="22">
        <f t="shared" si="404"/>
        <v>9543.6036999999997</v>
      </c>
      <c r="AC137" s="22">
        <f t="shared" si="405"/>
        <v>11009.928</v>
      </c>
      <c r="AD137" s="22">
        <f t="shared" si="406"/>
        <v>19062.104900000049</v>
      </c>
      <c r="AE137" s="22">
        <f t="shared" si="407"/>
        <v>30927.602500000128</v>
      </c>
      <c r="AF137" s="22">
        <f>SUM(C137                                                                                : INDEX(C137:N137,$B$2))</f>
        <v>5736.7280000000001</v>
      </c>
      <c r="AG137" s="22">
        <f t="shared" si="408"/>
        <v>1789.9180000000001</v>
      </c>
      <c r="AH137" s="22">
        <f t="shared" si="409"/>
        <v>2279.1239999999998</v>
      </c>
      <c r="AI137" s="22">
        <f t="shared" si="410"/>
        <v>5629.3895000000002</v>
      </c>
      <c r="AJ137" s="22">
        <f t="shared" si="411"/>
        <v>10385.143700000011</v>
      </c>
      <c r="AK137" s="31">
        <f t="shared" si="416"/>
        <v>3.3241852672812797</v>
      </c>
      <c r="AL137" s="31">
        <f t="shared" si="389"/>
        <v>4.331866431870063</v>
      </c>
      <c r="AM137" s="31">
        <f t="shared" si="390"/>
        <v>3.8307718228582566</v>
      </c>
      <c r="AN137" s="31">
        <f t="shared" si="391"/>
        <v>2.3861762274577107</v>
      </c>
      <c r="AO137" s="31">
        <f t="shared" si="392"/>
        <v>1.9780620657179826</v>
      </c>
      <c r="AP137" s="6">
        <f>[16]APE!L33</f>
        <v>12339.5870000001</v>
      </c>
      <c r="AQ137" s="6">
        <f>[17]APE!L33</f>
        <v>7086.4660000000304</v>
      </c>
      <c r="AR137" s="6">
        <f>[18]APE!L33</f>
        <v>5855.43</v>
      </c>
      <c r="AS137" s="6">
        <f>[19]APE!L34</f>
        <v>4543.3680000000004</v>
      </c>
      <c r="AT137" s="6">
        <f>[20]APE!L34</f>
        <v>6681.47</v>
      </c>
      <c r="AU137" s="6">
        <f>[21]APE!L34</f>
        <v>8070.13</v>
      </c>
      <c r="AV137" s="6">
        <f>[22]APE!L34</f>
        <v>8502.0770000000593</v>
      </c>
      <c r="AW137" s="6"/>
      <c r="AX137" s="6"/>
      <c r="AY137" s="6"/>
      <c r="AZ137" s="6"/>
      <c r="BA137" s="6"/>
      <c r="BB137" s="110">
        <f>SUM(AP137:INDEX(AP137:AR137,IF($B$2&lt;3,$B$2,3)))</f>
        <v>25281.483000000131</v>
      </c>
      <c r="BC137" s="110">
        <f>SUM(AS137:INDEX(AS137:AU137,IF(AND($B$2&gt;3,$B$2&lt;7),$B$2-3,0)))</f>
        <v>19294.968000000001</v>
      </c>
      <c r="BD137" s="110">
        <f>SUM(AV137:INDEX(AV137:AX137,IF(AND($B$2&gt;6,$B$2&lt;10),$B$2-6,0)))</f>
        <v>8502.0770000000593</v>
      </c>
      <c r="BE137" s="110">
        <f>SUM(AY137:INDEX(AY137:BA137,IF($B$2&gt;9,$B$2-9,0)))</f>
        <v>0</v>
      </c>
      <c r="BF137" s="110">
        <f>SUM($AP137:INDEX(AP137:BA137,$B$2))</f>
        <v>53078.528000000195</v>
      </c>
      <c r="BG137" s="125">
        <f t="shared" si="413"/>
        <v>3.3668022136401632</v>
      </c>
      <c r="BH137" s="111">
        <f t="shared" si="393"/>
        <v>2.3384783954776913</v>
      </c>
      <c r="BI137" s="111">
        <f t="shared" si="394"/>
        <v>2.0558694783418558</v>
      </c>
      <c r="BJ137" s="111">
        <f t="shared" si="395"/>
        <v>1.8324523244043442</v>
      </c>
      <c r="BK137" s="111">
        <f t="shared" si="396"/>
        <v>1.6559969242906978</v>
      </c>
      <c r="BL137" s="111">
        <f t="shared" si="397"/>
        <v>1.795027928360722</v>
      </c>
      <c r="BM137" s="111">
        <f t="shared" si="414"/>
        <v>1.999010378912738</v>
      </c>
      <c r="BN137" s="111">
        <f t="shared" si="398"/>
        <v>0</v>
      </c>
      <c r="BO137" s="111">
        <f t="shared" si="399"/>
        <v>0</v>
      </c>
      <c r="BP137" s="111">
        <f t="shared" si="400"/>
        <v>0</v>
      </c>
      <c r="BQ137" s="111">
        <f t="shared" si="401"/>
        <v>0</v>
      </c>
      <c r="BR137" s="111">
        <f t="shared" si="402"/>
        <v>0</v>
      </c>
      <c r="BS137" s="111">
        <f>IFERROR(BB137/SUM(O137:INDEX(O137:Q137,IF($B$2&lt;3,$B$2,3))),0)</f>
        <v>2.6490499600271677</v>
      </c>
      <c r="BT137" s="111">
        <f>IFERROR(BC137/SUM(R137:INDEX(R137:T137,IF($B$2&lt;7,$B$2-3,3))),0)</f>
        <v>1.7525062834198373</v>
      </c>
      <c r="BU137" s="111">
        <f>IFERROR(BD137/SUM(U137:INDEX(U137:W137,IF($C$2&lt;3,$C$2,3))),0)</f>
        <v>1.999010378912738</v>
      </c>
      <c r="BV137" s="111">
        <f>IFERROR(BE137/SUM(R137:INDEX(R137:T137,IF($B$2&lt;3,$B$2,3))),0)</f>
        <v>0</v>
      </c>
      <c r="BW137" s="111">
        <f t="shared" si="415"/>
        <v>2.1396873479378593</v>
      </c>
    </row>
    <row r="138" spans="1:75" x14ac:dyDescent="0.25">
      <c r="A138" s="20" t="str">
        <f t="shared" si="403"/>
        <v>RYP_by_rookie_mdrt:SA</v>
      </c>
      <c r="B138" s="135" t="s">
        <v>136</v>
      </c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6"/>
      <c r="X138" s="6"/>
      <c r="Y138" s="6"/>
      <c r="Z138" s="6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31"/>
      <c r="AL138" s="31"/>
      <c r="AM138" s="31"/>
      <c r="AN138" s="31"/>
      <c r="AO138" s="31"/>
      <c r="AP138" s="6"/>
      <c r="AQ138" s="6">
        <f>[17]APE!L34</f>
        <v>3185.58</v>
      </c>
      <c r="AR138" s="6">
        <f>[18]APE!L34</f>
        <v>3131.26</v>
      </c>
      <c r="AS138" s="6">
        <f>[19]APE!L35</f>
        <v>2542.538</v>
      </c>
      <c r="AT138" s="6">
        <f>[20]APE!L35</f>
        <v>5669.87</v>
      </c>
      <c r="AU138" s="6">
        <f>[21]APE!L35</f>
        <v>4640.75</v>
      </c>
      <c r="AV138" s="6">
        <f>[22]APE!L35</f>
        <v>5708.3410000000022</v>
      </c>
      <c r="AW138" s="6"/>
      <c r="AX138" s="6"/>
      <c r="AY138" s="6"/>
      <c r="AZ138" s="6"/>
      <c r="BA138" s="6"/>
      <c r="BB138" s="110">
        <f>SUM(AP138:INDEX(AP138:AR138,IF($B$2&lt;3,$B$2,3)))</f>
        <v>6316.84</v>
      </c>
      <c r="BC138" s="110">
        <f>SUM(AS138:INDEX(AS138:AU138,IF(AND($B$2&gt;3,$B$2&lt;7),$B$2-3,0)))</f>
        <v>12853.157999999999</v>
      </c>
      <c r="BD138" s="110">
        <f>SUM(AV138:INDEX(AV138:AX138,IF(AND($B$2&gt;6,$B$2&lt;10),$B$2-6,0)))</f>
        <v>5708.3410000000022</v>
      </c>
      <c r="BE138" s="110">
        <f>SUM(AY138:INDEX(AY138:BA138,IF($B$2&gt;9,$B$2-9,0)))</f>
        <v>0</v>
      </c>
      <c r="BF138" s="110">
        <f>SUM($AP138:INDEX(AP138:BA138,$B$2))</f>
        <v>24878.339</v>
      </c>
      <c r="BG138" s="125"/>
      <c r="BH138" s="111"/>
      <c r="BI138" s="111"/>
      <c r="BJ138" s="111"/>
      <c r="BK138" s="111"/>
      <c r="BL138" s="111"/>
      <c r="BM138" s="111"/>
      <c r="BN138" s="111"/>
      <c r="BO138" s="111"/>
      <c r="BP138" s="111"/>
      <c r="BQ138" s="111"/>
      <c r="BR138" s="111"/>
      <c r="BS138" s="111"/>
      <c r="BT138" s="111"/>
      <c r="BU138" s="111">
        <f>IFERROR(BD138/SUM(U138:INDEX(U138:W138,IF($C$2&lt;3,$C$2,3))),0)</f>
        <v>0</v>
      </c>
      <c r="BV138" s="111"/>
      <c r="BW138" s="111"/>
    </row>
    <row r="139" spans="1:75" s="19" customFormat="1" x14ac:dyDescent="0.25">
      <c r="A139" s="20" t="str">
        <f t="shared" si="403"/>
        <v>RYP_by_rookie_mdrt:Total</v>
      </c>
      <c r="B139" s="1" t="s">
        <v>186</v>
      </c>
      <c r="C139" s="15">
        <f>SUM(C131:C137)</f>
        <v>1009.13</v>
      </c>
      <c r="D139" s="15">
        <f t="shared" ref="D139:AE139" si="417">SUM(D131:D137)</f>
        <v>697.64100000000008</v>
      </c>
      <c r="E139" s="15">
        <f t="shared" si="417"/>
        <v>581.44399999999996</v>
      </c>
      <c r="F139" s="15">
        <f t="shared" si="417"/>
        <v>758.73400000000004</v>
      </c>
      <c r="G139" s="15">
        <f t="shared" si="417"/>
        <v>933.46800000000007</v>
      </c>
      <c r="H139" s="15">
        <f t="shared" si="417"/>
        <v>1498.9838</v>
      </c>
      <c r="I139" s="15">
        <f t="shared" si="417"/>
        <v>1874.607</v>
      </c>
      <c r="J139" s="15">
        <f t="shared" si="417"/>
        <v>2648.1310000000003</v>
      </c>
      <c r="K139" s="15">
        <f t="shared" si="417"/>
        <v>2649.6714999999999</v>
      </c>
      <c r="L139" s="15">
        <f t="shared" si="417"/>
        <v>3090.5430000000001</v>
      </c>
      <c r="M139" s="15">
        <f t="shared" si="417"/>
        <v>3819.9376999999999</v>
      </c>
      <c r="N139" s="15">
        <f t="shared" si="417"/>
        <v>6543.5286000000106</v>
      </c>
      <c r="O139" s="15">
        <f t="shared" si="417"/>
        <v>5366.6831999999995</v>
      </c>
      <c r="P139" s="15">
        <f t="shared" si="417"/>
        <v>4376.9224000000004</v>
      </c>
      <c r="Q139" s="15">
        <f t="shared" si="417"/>
        <v>4016.5423999999998</v>
      </c>
      <c r="R139" s="15">
        <f t="shared" si="417"/>
        <v>3528.3433999999997</v>
      </c>
      <c r="S139" s="15">
        <f t="shared" si="417"/>
        <v>4937.8145999999997</v>
      </c>
      <c r="T139" s="15">
        <f t="shared" si="417"/>
        <v>5948.9391999999998</v>
      </c>
      <c r="U139" s="15">
        <f t="shared" si="417"/>
        <v>5826.4898000000003</v>
      </c>
      <c r="V139" s="15">
        <f t="shared" si="417"/>
        <v>8766.8339000000196</v>
      </c>
      <c r="W139" s="15">
        <f t="shared" si="417"/>
        <v>9029.80080000003</v>
      </c>
      <c r="X139" s="15">
        <f t="shared" si="417"/>
        <v>8986.7580000000289</v>
      </c>
      <c r="Y139" s="15">
        <f t="shared" si="417"/>
        <v>13577.3313</v>
      </c>
      <c r="Z139" s="15">
        <f t="shared" si="417"/>
        <v>15351.165500000099</v>
      </c>
      <c r="AA139" s="7">
        <f t="shared" si="417"/>
        <v>34001.735000000001</v>
      </c>
      <c r="AB139" s="7">
        <f t="shared" si="417"/>
        <v>13760.147999999999</v>
      </c>
      <c r="AC139" s="7">
        <f t="shared" si="417"/>
        <v>14415.0972</v>
      </c>
      <c r="AD139" s="7">
        <f t="shared" si="417"/>
        <v>23623.124500000049</v>
      </c>
      <c r="AE139" s="7">
        <f t="shared" si="417"/>
        <v>37915.254800000126</v>
      </c>
      <c r="AF139" s="7">
        <f>SUM(AF131:AF137)</f>
        <v>7354.0078000000003</v>
      </c>
      <c r="AG139" s="7">
        <f t="shared" ref="AG139:AJ139" si="418">SUM(AG131:AG137)</f>
        <v>2288.2150000000001</v>
      </c>
      <c r="AH139" s="7">
        <f t="shared" si="418"/>
        <v>3191.1857999999997</v>
      </c>
      <c r="AI139" s="7">
        <f t="shared" si="418"/>
        <v>7172.4094999999998</v>
      </c>
      <c r="AJ139" s="7">
        <f t="shared" si="418"/>
        <v>13454.009300000012</v>
      </c>
      <c r="AK139" s="31">
        <f t="shared" si="416"/>
        <v>3.6235652619242531</v>
      </c>
      <c r="AL139" s="31">
        <f t="shared" si="389"/>
        <v>5.0134856208878968</v>
      </c>
      <c r="AM139" s="31">
        <f t="shared" si="390"/>
        <v>3.5171601102010426</v>
      </c>
      <c r="AN139" s="31">
        <f t="shared" si="391"/>
        <v>2.2936106757429355</v>
      </c>
      <c r="AO139" s="31">
        <f t="shared" si="392"/>
        <v>1.8181379954895744</v>
      </c>
      <c r="AP139" s="15">
        <f t="shared" ref="AP139" si="419">SUM(AP131:AP137)</f>
        <v>14260.6348000001</v>
      </c>
      <c r="AQ139" s="15">
        <f t="shared" ref="AQ139:AV139" si="420">SUM(AQ131:AQ138)</f>
        <v>13056.719900000031</v>
      </c>
      <c r="AR139" s="15">
        <f t="shared" si="420"/>
        <v>11306.550000000001</v>
      </c>
      <c r="AS139" s="15">
        <f t="shared" si="420"/>
        <v>8989.4650000000001</v>
      </c>
      <c r="AT139" s="15">
        <f t="shared" si="420"/>
        <v>17227.34</v>
      </c>
      <c r="AU139" s="15">
        <f t="shared" si="420"/>
        <v>16274.470000000001</v>
      </c>
      <c r="AV139" s="15">
        <f t="shared" si="420"/>
        <v>16921.14610000006</v>
      </c>
      <c r="AW139" s="15"/>
      <c r="AX139" s="15"/>
      <c r="AY139" s="15"/>
      <c r="AZ139" s="15"/>
      <c r="BA139" s="15"/>
      <c r="BB139" s="116">
        <f>SUM(AP139:INDEX(AP139:AR139,IF($B$2&lt;3,$B$2,3)))</f>
        <v>38623.90470000013</v>
      </c>
      <c r="BC139" s="116">
        <f>SUM(AS139:INDEX(AS139:AU139,IF(AND($B$2&gt;3,$B$2&lt;7),$B$2-3,0)))</f>
        <v>42491.275000000001</v>
      </c>
      <c r="BD139" s="116">
        <f>SUM(AV139:INDEX(AV139:AX139,IF(AND($B$2&gt;6,$B$2&lt;10),$B$2-6,0)))</f>
        <v>16921.14610000006</v>
      </c>
      <c r="BE139" s="116">
        <f>SUM(AY139:INDEX(AY139:BA139,IF($B$2&gt;9,$B$2-9,0)))</f>
        <v>0</v>
      </c>
      <c r="BF139" s="116">
        <f>SUM($AP139:INDEX(AP139:BA139,$B$2))</f>
        <v>98036.325800000181</v>
      </c>
      <c r="BG139" s="134">
        <f t="shared" si="413"/>
        <v>2.6572529565374943</v>
      </c>
      <c r="BH139" s="118">
        <f t="shared" si="393"/>
        <v>2.9830823365751309</v>
      </c>
      <c r="BI139" s="118">
        <f t="shared" si="394"/>
        <v>2.8149958033556426</v>
      </c>
      <c r="BJ139" s="118">
        <f t="shared" si="395"/>
        <v>2.5477863067410049</v>
      </c>
      <c r="BK139" s="118">
        <f t="shared" si="396"/>
        <v>3.4888592212433416</v>
      </c>
      <c r="BL139" s="118">
        <f t="shared" si="397"/>
        <v>2.7356927769576131</v>
      </c>
      <c r="BM139" s="118">
        <f t="shared" si="414"/>
        <v>2.9041750146031422</v>
      </c>
      <c r="BN139" s="118">
        <f t="shared" si="398"/>
        <v>0</v>
      </c>
      <c r="BO139" s="118">
        <f t="shared" si="399"/>
        <v>0</v>
      </c>
      <c r="BP139" s="118">
        <f t="shared" si="400"/>
        <v>0</v>
      </c>
      <c r="BQ139" s="118">
        <f t="shared" si="401"/>
        <v>0</v>
      </c>
      <c r="BR139" s="118">
        <f t="shared" si="402"/>
        <v>0</v>
      </c>
      <c r="BS139" s="118">
        <f>IFERROR(BB139/SUM(O139:INDEX(O139:Q139,IF($B$2&lt;3,$B$2,3))),0)</f>
        <v>2.8069396273935521</v>
      </c>
      <c r="BT139" s="118">
        <f>IFERROR(BC139/SUM(R139:INDEX(R139:T139,IF($B$2&lt;7,$B$2-3,3))),0)</f>
        <v>2.947692576086133</v>
      </c>
      <c r="BU139" s="118">
        <f>IFERROR(BD139/SUM(U139:INDEX(U139:W139,IF($C$2&lt;3,$C$2,3))),0)</f>
        <v>2.9041750146031422</v>
      </c>
      <c r="BV139" s="118">
        <f>IFERROR(BE139/SUM(R139:INDEX(R139:T139,IF($B$2&lt;3,$B$2,3))),0)</f>
        <v>0</v>
      </c>
      <c r="BW139" s="118">
        <f t="shared" si="415"/>
        <v>2.8832742152716673</v>
      </c>
    </row>
    <row r="140" spans="1:75" x14ac:dyDescent="0.25">
      <c r="B140" s="135" t="s">
        <v>139</v>
      </c>
      <c r="AR140" s="22">
        <f>[18]APE!$L$35</f>
        <v>67.77</v>
      </c>
      <c r="AT140" s="22">
        <f>[20]APE!$L$27</f>
        <v>147.07</v>
      </c>
      <c r="AU140" s="20">
        <f>[21]APE!$L$27</f>
        <v>169.29</v>
      </c>
      <c r="AV140" s="20">
        <f>[22]APE!$L$27</f>
        <v>138.24799999999999</v>
      </c>
    </row>
    <row r="141" spans="1:75" x14ac:dyDescent="0.25">
      <c r="B141" s="1" t="s">
        <v>140</v>
      </c>
      <c r="AR141" s="115">
        <f>SUM(AR139:AR140)</f>
        <v>11374.320000000002</v>
      </c>
      <c r="AT141" s="115">
        <f>SUM(AT139:AT140)</f>
        <v>17374.41</v>
      </c>
      <c r="AU141" s="115">
        <f>SUM(AU139:AU140)</f>
        <v>16443.760000000002</v>
      </c>
      <c r="AV141" s="115">
        <f>SUM(AV139:AV140)</f>
        <v>17059.39410000006</v>
      </c>
    </row>
    <row r="142" spans="1:75" x14ac:dyDescent="0.25">
      <c r="B142" t="s">
        <v>187</v>
      </c>
    </row>
    <row r="143" spans="1:75" x14ac:dyDescent="0.25">
      <c r="B143" t="s">
        <v>187</v>
      </c>
    </row>
  </sheetData>
  <mergeCells count="3">
    <mergeCell ref="AK2:AO2"/>
    <mergeCell ref="AK95:AO95"/>
    <mergeCell ref="BB2:BF2"/>
  </mergeCells>
  <conditionalFormatting sqref="AO4:AO12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30:AO39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54:AO62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62:BA62">
    <cfRule type="expression" dxfId="131" priority="17">
      <formula>$B$2=COLUMNS($O62:AP62)</formula>
    </cfRule>
  </conditionalFormatting>
  <conditionalFormatting sqref="AP86">
    <cfRule type="expression" dxfId="130" priority="16">
      <formula>$B$2=COLUMNS($O86:AP86)</formula>
    </cfRule>
  </conditionalFormatting>
  <conditionalFormatting sqref="BB86:BC86 BE86:BF86">
    <cfRule type="expression" dxfId="129" priority="15">
      <formula>$B$2=COLUMNS($O86:BB86)</formula>
    </cfRule>
  </conditionalFormatting>
  <conditionalFormatting sqref="BB116:BF116">
    <cfRule type="expression" dxfId="128" priority="14">
      <formula>$B$2=COLUMNS($O116:BB116)</formula>
    </cfRule>
  </conditionalFormatting>
  <conditionalFormatting sqref="O50:Z50">
    <cfRule type="expression" dxfId="127" priority="13">
      <formula>$B$2=COLUMNS($O50:O50)</formula>
    </cfRule>
  </conditionalFormatting>
  <conditionalFormatting sqref="AP50">
    <cfRule type="expression" dxfId="126" priority="12">
      <formula>$B$2=COLUMNS($O50:AP50)</formula>
    </cfRule>
  </conditionalFormatting>
  <conditionalFormatting sqref="AQ50">
    <cfRule type="expression" dxfId="125" priority="11">
      <formula>$B$2=COLUMNS($O50:AQ50)</formula>
    </cfRule>
  </conditionalFormatting>
  <conditionalFormatting sqref="AQ86">
    <cfRule type="expression" dxfId="124" priority="10">
      <formula>$B$2=COLUMNS($O86:AQ86)</formula>
    </cfRule>
  </conditionalFormatting>
  <conditionalFormatting sqref="AR50">
    <cfRule type="expression" dxfId="123" priority="9">
      <formula>$B$2=COLUMNS($O50:AR50)</formula>
    </cfRule>
  </conditionalFormatting>
  <conditionalFormatting sqref="AR86">
    <cfRule type="expression" dxfId="122" priority="8">
      <formula>$B$2=COLUMNS($O86:AR86)</formula>
    </cfRule>
  </conditionalFormatting>
  <conditionalFormatting sqref="AS50">
    <cfRule type="expression" dxfId="121" priority="7">
      <formula>$B$2=COLUMNS($O50:AS50)</formula>
    </cfRule>
  </conditionalFormatting>
  <conditionalFormatting sqref="AS86">
    <cfRule type="expression" dxfId="120" priority="6">
      <formula>$B$2=COLUMNS($O86:AS86)</formula>
    </cfRule>
  </conditionalFormatting>
  <conditionalFormatting sqref="AT50">
    <cfRule type="expression" dxfId="119" priority="5">
      <formula>$B$2=COLUMNS($O50:AT50)</formula>
    </cfRule>
  </conditionalFormatting>
  <conditionalFormatting sqref="AT86">
    <cfRule type="expression" dxfId="118" priority="4">
      <formula>$B$2=COLUMNS($O86:AT86)</formula>
    </cfRule>
  </conditionalFormatting>
  <conditionalFormatting sqref="AU50">
    <cfRule type="expression" dxfId="117" priority="3">
      <formula>$B$2=COLUMNS($O50:AU50)</formula>
    </cfRule>
  </conditionalFormatting>
  <conditionalFormatting sqref="AU86">
    <cfRule type="expression" dxfId="116" priority="2">
      <formula>$B$2=COLUMNS($O86:AU86)</formula>
    </cfRule>
  </conditionalFormatting>
  <conditionalFormatting sqref="AV86">
    <cfRule type="expression" dxfId="115" priority="1">
      <formula>$B$2=COLUMNS($O86:AV86)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BW143"/>
  <sheetViews>
    <sheetView zoomScale="80" zoomScaleNormal="80" workbookViewId="0">
      <pane xSplit="2" ySplit="3" topLeftCell="AX58" activePane="bottomRight" state="frozen"/>
      <selection pane="topRight" activeCell="B1" sqref="B1"/>
      <selection pane="bottomLeft" activeCell="A4" sqref="A4"/>
      <selection pane="bottomRight" activeCell="AW115" sqref="AW115"/>
    </sheetView>
  </sheetViews>
  <sheetFormatPr defaultColWidth="28.125" defaultRowHeight="15" outlineLevelCol="1" x14ac:dyDescent="0.25"/>
  <cols>
    <col min="1" max="1" width="50.125" style="20" bestFit="1" customWidth="1"/>
    <col min="2" max="2" width="17.25" bestFit="1" customWidth="1"/>
    <col min="3" max="3" width="10.25" bestFit="1" customWidth="1" outlineLevel="1"/>
    <col min="4" max="13" width="9.125" customWidth="1" outlineLevel="1"/>
    <col min="14" max="15" width="9.125" customWidth="1"/>
    <col min="16" max="19" width="9.125" customWidth="1" outlineLevel="1"/>
    <col min="20" max="21" width="9.125" customWidth="1"/>
    <col min="22" max="25" width="9.125" customWidth="1" outlineLevel="1"/>
    <col min="26" max="26" width="7.625" customWidth="1" outlineLevel="1"/>
    <col min="27" max="31" width="11" style="18" customWidth="1"/>
    <col min="32" max="36" width="11" style="18" customWidth="1" outlineLevel="1"/>
    <col min="37" max="41" width="10.125" style="18" customWidth="1" outlineLevel="1"/>
    <col min="42" max="48" width="9.875" style="18" customWidth="1"/>
    <col min="49" max="53" width="9.875" style="18" customWidth="1" outlineLevel="1"/>
    <col min="54" max="65" width="9.875" style="18" customWidth="1"/>
    <col min="66" max="70" width="9.875" style="18" customWidth="1" outlineLevel="1"/>
    <col min="71" max="75" width="11.625" style="18" customWidth="1"/>
    <col min="76" max="16384" width="28.125" style="18"/>
  </cols>
  <sheetData>
    <row r="1" spans="1:75" s="173" customFormat="1" x14ac:dyDescent="0.25">
      <c r="A1" s="173" t="s">
        <v>158</v>
      </c>
      <c r="B1" s="174"/>
      <c r="C1" s="303">
        <v>201501</v>
      </c>
      <c r="D1" s="303">
        <v>201502</v>
      </c>
      <c r="E1" s="303">
        <v>201503</v>
      </c>
      <c r="F1" s="303">
        <v>201504</v>
      </c>
      <c r="G1" s="303">
        <v>201505</v>
      </c>
      <c r="H1" s="303">
        <v>201506</v>
      </c>
      <c r="I1" s="303">
        <v>201507</v>
      </c>
      <c r="J1" s="303">
        <v>201508</v>
      </c>
      <c r="K1" s="303">
        <v>201509</v>
      </c>
      <c r="L1" s="303">
        <v>201510</v>
      </c>
      <c r="M1" s="303">
        <v>201511</v>
      </c>
      <c r="N1" s="303">
        <v>201512</v>
      </c>
      <c r="O1" s="303">
        <v>201601</v>
      </c>
      <c r="P1" s="303">
        <v>201602</v>
      </c>
      <c r="Q1" s="303">
        <v>201603</v>
      </c>
      <c r="R1" s="303">
        <v>201604</v>
      </c>
      <c r="S1" s="303">
        <v>201605</v>
      </c>
      <c r="T1" s="303">
        <v>201606</v>
      </c>
      <c r="U1" s="303">
        <v>201607</v>
      </c>
      <c r="V1" s="303">
        <v>201608</v>
      </c>
      <c r="W1" s="303">
        <v>201609</v>
      </c>
      <c r="X1" s="303">
        <v>201610</v>
      </c>
      <c r="Y1" s="303">
        <v>201611</v>
      </c>
      <c r="Z1" s="303">
        <v>201612</v>
      </c>
      <c r="AA1" s="175" t="s">
        <v>161</v>
      </c>
      <c r="AB1" s="175" t="s">
        <v>19</v>
      </c>
      <c r="AC1" s="175" t="s">
        <v>20</v>
      </c>
      <c r="AD1" s="175" t="s">
        <v>21</v>
      </c>
      <c r="AE1" s="175" t="s">
        <v>22</v>
      </c>
      <c r="AF1" s="176" t="s">
        <v>162</v>
      </c>
      <c r="AG1" s="176" t="s">
        <v>23</v>
      </c>
      <c r="AH1" s="176" t="s">
        <v>24</v>
      </c>
      <c r="AI1" s="176" t="s">
        <v>25</v>
      </c>
      <c r="AJ1" s="176" t="s">
        <v>26</v>
      </c>
      <c r="AK1" s="177" t="s">
        <v>163</v>
      </c>
      <c r="AL1" s="177" t="s">
        <v>164</v>
      </c>
      <c r="AM1" s="177" t="s">
        <v>165</v>
      </c>
      <c r="AN1" s="177" t="s">
        <v>166</v>
      </c>
      <c r="AO1" s="177" t="s">
        <v>167</v>
      </c>
      <c r="AP1" s="303">
        <v>201701</v>
      </c>
      <c r="AQ1" s="303">
        <v>201702</v>
      </c>
      <c r="AR1" s="303">
        <v>201703</v>
      </c>
      <c r="AS1" s="303">
        <v>201704</v>
      </c>
      <c r="AT1" s="303">
        <v>201705</v>
      </c>
      <c r="AU1" s="303">
        <v>201706</v>
      </c>
      <c r="AV1" s="303">
        <v>201707</v>
      </c>
      <c r="AW1" s="303">
        <v>201708</v>
      </c>
      <c r="AX1" s="303">
        <v>201709</v>
      </c>
      <c r="AY1" s="303">
        <v>201710</v>
      </c>
      <c r="AZ1" s="303">
        <v>201711</v>
      </c>
      <c r="BA1" s="303">
        <v>201712</v>
      </c>
      <c r="BB1" s="175" t="s">
        <v>123</v>
      </c>
      <c r="BC1" s="175" t="s">
        <v>124</v>
      </c>
      <c r="BD1" s="175" t="s">
        <v>125</v>
      </c>
      <c r="BE1" s="175" t="s">
        <v>126</v>
      </c>
      <c r="BF1" s="175" t="s">
        <v>168</v>
      </c>
      <c r="BG1" s="179" t="s">
        <v>169</v>
      </c>
      <c r="BH1" s="178" t="s">
        <v>170</v>
      </c>
      <c r="BI1" s="178" t="s">
        <v>171</v>
      </c>
      <c r="BJ1" s="178" t="s">
        <v>172</v>
      </c>
      <c r="BK1" s="178" t="s">
        <v>173</v>
      </c>
      <c r="BL1" s="178" t="s">
        <v>174</v>
      </c>
      <c r="BM1" s="178" t="s">
        <v>175</v>
      </c>
      <c r="BN1" s="178" t="s">
        <v>176</v>
      </c>
      <c r="BO1" s="178" t="s">
        <v>177</v>
      </c>
      <c r="BP1" s="178" t="s">
        <v>178</v>
      </c>
      <c r="BQ1" s="178" t="s">
        <v>179</v>
      </c>
      <c r="BR1" s="178" t="s">
        <v>180</v>
      </c>
      <c r="BS1" s="175" t="s">
        <v>181</v>
      </c>
      <c r="BT1" s="175" t="s">
        <v>182</v>
      </c>
      <c r="BU1" s="175" t="s">
        <v>183</v>
      </c>
      <c r="BV1" s="175" t="s">
        <v>184</v>
      </c>
      <c r="BW1" s="180" t="s">
        <v>185</v>
      </c>
    </row>
    <row r="2" spans="1:75" x14ac:dyDescent="0.25">
      <c r="A2" s="24">
        <f>'[13]Full Agency'!A2</f>
        <v>6</v>
      </c>
      <c r="B2" s="24">
        <v>7</v>
      </c>
      <c r="C2" s="109">
        <f>'Full Agency'!B2</f>
        <v>1</v>
      </c>
      <c r="AK2" s="321" t="s">
        <v>131</v>
      </c>
      <c r="AL2" s="321"/>
      <c r="AM2" s="321"/>
      <c r="AN2" s="321"/>
      <c r="AO2" s="321"/>
      <c r="AP2" s="131" t="s">
        <v>135</v>
      </c>
      <c r="AQ2" s="132"/>
      <c r="AR2" s="132"/>
      <c r="AS2" s="132"/>
      <c r="AT2" s="132"/>
      <c r="AU2" s="132"/>
      <c r="AV2" s="181">
        <v>1</v>
      </c>
      <c r="AW2" s="181">
        <v>2</v>
      </c>
      <c r="AX2" s="181">
        <v>3</v>
      </c>
      <c r="AY2" s="132"/>
      <c r="AZ2" s="132"/>
      <c r="BA2" s="132"/>
      <c r="BB2" s="322" t="s">
        <v>134</v>
      </c>
      <c r="BC2" s="324"/>
      <c r="BD2" s="324"/>
      <c r="BE2" s="324"/>
      <c r="BF2" s="324"/>
      <c r="BG2" s="127" t="s">
        <v>132</v>
      </c>
      <c r="BH2" s="128"/>
      <c r="BI2" s="128"/>
      <c r="BJ2" s="133"/>
      <c r="BK2" s="133"/>
      <c r="BL2" s="133"/>
      <c r="BM2" s="133"/>
      <c r="BN2" s="133"/>
      <c r="BO2" s="133"/>
      <c r="BP2" s="133"/>
      <c r="BQ2" s="133"/>
      <c r="BR2" s="133"/>
      <c r="BS2" s="129" t="s">
        <v>133</v>
      </c>
      <c r="BT2" s="130"/>
      <c r="BU2" s="130"/>
      <c r="BV2" s="130"/>
      <c r="BW2" s="120" t="s">
        <v>130</v>
      </c>
    </row>
    <row r="3" spans="1:75" s="17" customFormat="1" x14ac:dyDescent="0.25">
      <c r="A3" s="19"/>
      <c r="B3" s="2" t="s">
        <v>0</v>
      </c>
      <c r="C3" s="3">
        <f>'Agency North'!C3</f>
        <v>42005</v>
      </c>
      <c r="D3" s="3">
        <f>'Agency North'!D3</f>
        <v>42036</v>
      </c>
      <c r="E3" s="3">
        <f>'Agency North'!E3</f>
        <v>42064</v>
      </c>
      <c r="F3" s="3">
        <f>'Agency North'!F3</f>
        <v>42095</v>
      </c>
      <c r="G3" s="3">
        <f>'Agency North'!G3</f>
        <v>42125</v>
      </c>
      <c r="H3" s="3">
        <f>'Agency North'!H3</f>
        <v>42156</v>
      </c>
      <c r="I3" s="3">
        <f>'Agency North'!I3</f>
        <v>42186</v>
      </c>
      <c r="J3" s="3">
        <f>'Agency North'!J3</f>
        <v>42217</v>
      </c>
      <c r="K3" s="3">
        <f>'Agency North'!K3</f>
        <v>42248</v>
      </c>
      <c r="L3" s="3">
        <f>'Agency North'!L3</f>
        <v>42278</v>
      </c>
      <c r="M3" s="3">
        <f>'Agency North'!M3</f>
        <v>42309</v>
      </c>
      <c r="N3" s="3">
        <f>'Agency North'!N3</f>
        <v>42339</v>
      </c>
      <c r="O3" s="3">
        <f>'Agency North'!O3</f>
        <v>42370</v>
      </c>
      <c r="P3" s="3">
        <f>'Agency North'!P3</f>
        <v>42401</v>
      </c>
      <c r="Q3" s="3">
        <f>'Agency North'!Q3</f>
        <v>42430</v>
      </c>
      <c r="R3" s="3">
        <f>'Agency North'!R3</f>
        <v>42461</v>
      </c>
      <c r="S3" s="3">
        <f>'Agency North'!S3</f>
        <v>42491</v>
      </c>
      <c r="T3" s="3">
        <f>'Agency North'!T3</f>
        <v>42522</v>
      </c>
      <c r="U3" s="3">
        <f>'Agency North'!U3</f>
        <v>42552</v>
      </c>
      <c r="V3" s="3">
        <f>'Agency North'!V3</f>
        <v>42583</v>
      </c>
      <c r="W3" s="3">
        <f>'Agency North'!W3</f>
        <v>42614</v>
      </c>
      <c r="X3" s="3">
        <f>'Agency North'!X3</f>
        <v>42644</v>
      </c>
      <c r="Y3" s="3">
        <f>'Agency North'!Y3</f>
        <v>42675</v>
      </c>
      <c r="Z3" s="3">
        <f>'Agency North'!Z3</f>
        <v>42705</v>
      </c>
      <c r="AA3" s="29" t="str">
        <f>"YTD " &amp; B2 &amp;"/16"</f>
        <v>YTD 7/16</v>
      </c>
      <c r="AB3" s="29" t="s">
        <v>19</v>
      </c>
      <c r="AC3" s="29" t="s">
        <v>20</v>
      </c>
      <c r="AD3" s="29" t="s">
        <v>21</v>
      </c>
      <c r="AE3" s="29" t="s">
        <v>22</v>
      </c>
      <c r="AF3" s="26" t="str">
        <f>"YTD " &amp; B2 &amp;"/15"</f>
        <v>YTD 7/15</v>
      </c>
      <c r="AG3" s="26" t="s">
        <v>23</v>
      </c>
      <c r="AH3" s="26" t="s">
        <v>24</v>
      </c>
      <c r="AI3" s="26" t="s">
        <v>25</v>
      </c>
      <c r="AJ3" s="26" t="s">
        <v>26</v>
      </c>
      <c r="AK3" s="30" t="s">
        <v>27</v>
      </c>
      <c r="AL3" s="30" t="s">
        <v>29</v>
      </c>
      <c r="AM3" s="30" t="s">
        <v>30</v>
      </c>
      <c r="AN3" s="30" t="s">
        <v>31</v>
      </c>
      <c r="AO3" s="30" t="s">
        <v>32</v>
      </c>
      <c r="AP3" s="108">
        <v>42736</v>
      </c>
      <c r="AQ3" s="108">
        <v>42767</v>
      </c>
      <c r="AR3" s="108">
        <v>42795</v>
      </c>
      <c r="AS3" s="108">
        <v>42826</v>
      </c>
      <c r="AT3" s="108">
        <v>42856</v>
      </c>
      <c r="AU3" s="108">
        <v>42887</v>
      </c>
      <c r="AV3" s="108">
        <v>42917</v>
      </c>
      <c r="AW3" s="108">
        <v>42948</v>
      </c>
      <c r="AX3" s="108">
        <v>42979</v>
      </c>
      <c r="AY3" s="108">
        <v>43009</v>
      </c>
      <c r="AZ3" s="108">
        <v>43040</v>
      </c>
      <c r="BA3" s="108">
        <v>43070</v>
      </c>
      <c r="BB3" s="29" t="s">
        <v>123</v>
      </c>
      <c r="BC3" s="29" t="s">
        <v>124</v>
      </c>
      <c r="BD3" s="29" t="s">
        <v>125</v>
      </c>
      <c r="BE3" s="29" t="s">
        <v>126</v>
      </c>
      <c r="BF3" s="29" t="str">
        <f>"YTD " &amp; B2 &amp;"/17"</f>
        <v>YTD 7/17</v>
      </c>
      <c r="BG3" s="121">
        <v>42736</v>
      </c>
      <c r="BH3" s="108">
        <v>42767</v>
      </c>
      <c r="BI3" s="108">
        <v>42795</v>
      </c>
      <c r="BJ3" s="108">
        <v>42826</v>
      </c>
      <c r="BK3" s="108">
        <v>42856</v>
      </c>
      <c r="BL3" s="108">
        <v>42887</v>
      </c>
      <c r="BM3" s="108">
        <v>42917</v>
      </c>
      <c r="BN3" s="108">
        <v>42948</v>
      </c>
      <c r="BO3" s="108">
        <v>42979</v>
      </c>
      <c r="BP3" s="108">
        <v>43009</v>
      </c>
      <c r="BQ3" s="108">
        <v>43040</v>
      </c>
      <c r="BR3" s="108">
        <v>43070</v>
      </c>
      <c r="BS3" s="29" t="s">
        <v>127</v>
      </c>
      <c r="BT3" s="29" t="s">
        <v>128</v>
      </c>
      <c r="BU3" s="29" t="s">
        <v>96</v>
      </c>
      <c r="BV3" s="29" t="s">
        <v>129</v>
      </c>
      <c r="BW3" s="112"/>
    </row>
    <row r="4" spans="1:75" x14ac:dyDescent="0.25">
      <c r="A4" s="20" t="str">
        <f>$B$3&amp;"_by_rookie_mdrt:"&amp;B4</f>
        <v>APE_by_rookie_mdrt:MDRT</v>
      </c>
      <c r="B4" t="s">
        <v>4</v>
      </c>
      <c r="C4" s="6">
        <v>1473.904</v>
      </c>
      <c r="D4" s="6">
        <v>1078.319</v>
      </c>
      <c r="E4" s="6">
        <v>3277.1529999999998</v>
      </c>
      <c r="F4" s="6">
        <v>4798.7695000000003</v>
      </c>
      <c r="G4" s="6">
        <v>2642.3245000000002</v>
      </c>
      <c r="H4" s="6">
        <v>4236.8100000000004</v>
      </c>
      <c r="I4" s="6">
        <v>4861.8514999999998</v>
      </c>
      <c r="J4" s="6">
        <v>1896.876</v>
      </c>
      <c r="K4" s="6">
        <v>5458.4764999999998</v>
      </c>
      <c r="L4" s="6">
        <v>4041.5549999999898</v>
      </c>
      <c r="M4" s="6">
        <v>3524.4515000000001</v>
      </c>
      <c r="N4" s="6">
        <v>6084.3504999999896</v>
      </c>
      <c r="O4" s="6">
        <v>1577.261</v>
      </c>
      <c r="P4" s="6">
        <v>1695.9549999999699</v>
      </c>
      <c r="Q4" s="6">
        <v>3655.0449999999901</v>
      </c>
      <c r="R4" s="6">
        <v>5513.5510000000004</v>
      </c>
      <c r="S4" s="6">
        <v>2476.4769999999999</v>
      </c>
      <c r="T4" s="6">
        <v>2380.7105000000001</v>
      </c>
      <c r="U4" s="6">
        <v>2392.8470000000002</v>
      </c>
      <c r="V4" s="6">
        <v>2005.9945</v>
      </c>
      <c r="W4">
        <v>2575.1260000000002</v>
      </c>
      <c r="X4" s="6">
        <f>[14]APE!AB16</f>
        <v>2638.56</v>
      </c>
      <c r="Y4" s="6">
        <f>[24]APE!AC16</f>
        <v>3233.2505000000001</v>
      </c>
      <c r="Z4" s="6">
        <f>[15]APE!J34</f>
        <v>5031.5439999999999</v>
      </c>
      <c r="AA4" s="22">
        <f>SUM(O4:INDEX(O4:Z4,$B$2))</f>
        <v>19691.846499999963</v>
      </c>
      <c r="AB4" s="22">
        <f>SUM(O4:Q4)</f>
        <v>6928.2609999999604</v>
      </c>
      <c r="AC4" s="22">
        <f>SUM(R4:T4)</f>
        <v>10370.738499999999</v>
      </c>
      <c r="AD4" s="22">
        <f>SUM(U4:W4)</f>
        <v>6973.9675000000007</v>
      </c>
      <c r="AE4" s="22">
        <f>SUM(X4:Z4)</f>
        <v>10903.354499999999</v>
      </c>
      <c r="AF4" s="6">
        <f>SUM(C4:INDEX(C4:N4,$B$2))</f>
        <v>22369.131500000003</v>
      </c>
      <c r="AG4" s="6">
        <f>SUM(C4:E4)</f>
        <v>5829.3760000000002</v>
      </c>
      <c r="AH4" s="6">
        <f>SUM(F4:H4)</f>
        <v>11677.904000000002</v>
      </c>
      <c r="AI4" s="6">
        <f t="shared" ref="AI4:AI14" si="0">SUM(I4:K4)</f>
        <v>12217.204</v>
      </c>
      <c r="AJ4" s="6">
        <f>SUM(L4:N4)</f>
        <v>13650.35699999998</v>
      </c>
      <c r="AK4" s="31">
        <f>AA4/AF4-1</f>
        <v>-0.11968658684848987</v>
      </c>
      <c r="AL4" s="31">
        <f t="shared" ref="AL4:AM12" si="1">AB4/AG4-1</f>
        <v>0.1885081696565738</v>
      </c>
      <c r="AM4" s="31">
        <f t="shared" si="1"/>
        <v>-0.11193494140729388</v>
      </c>
      <c r="AN4" s="31">
        <f>SUM(U4:W4)/SUM(I4:INDEX(I4:K4,MOD($B$2,3)))-1</f>
        <v>0.43442626744152935</v>
      </c>
      <c r="AO4" s="31">
        <f>AE4/SUM(L4:INDEX(L4:N4,MOD($B$2,3)))-1</f>
        <v>1.6978117333551137</v>
      </c>
      <c r="AP4" s="22">
        <f>[16]APE!J34</f>
        <v>3933.4949999999999</v>
      </c>
      <c r="AQ4" s="22">
        <f>[17]APE!J35</f>
        <v>7272.9260000000104</v>
      </c>
      <c r="AR4" s="22">
        <f>[18]APE!J36</f>
        <v>7970.6</v>
      </c>
      <c r="AS4" s="22">
        <f>[19]APE!J36</f>
        <v>6517.6860000000197</v>
      </c>
      <c r="AT4" s="22">
        <f>[20]APE!J36</f>
        <v>6100.44</v>
      </c>
      <c r="AU4" s="22">
        <f>[21]APE!J36</f>
        <v>7621.49</v>
      </c>
      <c r="AV4" s="22">
        <f>[22]APE!J36</f>
        <v>5435.6190000000161</v>
      </c>
      <c r="BB4" s="110">
        <f>SUM(AP4:INDEX(AP4:AR4,IF($B$2&lt;3,$B$2,3)))</f>
        <v>19177.021000000008</v>
      </c>
      <c r="BC4" s="110">
        <f>SUM(AS4:INDEX(AS4:AU4,IF(AND($B$2&gt;3,$B$2&lt;7),$B$2-3,0)))</f>
        <v>20239.616000000016</v>
      </c>
      <c r="BD4" s="110">
        <f>SUM(AV4:INDEX(AV4:AX4,IF(AND($B$2&gt;6,$B$2&lt;10),$B$2-6,0)))</f>
        <v>5435.6190000000161</v>
      </c>
      <c r="BE4" s="110">
        <f>SUM(AY4:INDEX(AY4:BA4,IF($B$2&gt;9,$B$2-9,0)))</f>
        <v>0</v>
      </c>
      <c r="BF4" s="110">
        <f>SUM($AP4:INDEX(AP4:BA4,$B$2))</f>
        <v>44852.256000000038</v>
      </c>
      <c r="BG4" s="125">
        <f>AP4/O4</f>
        <v>2.4938770438120259</v>
      </c>
      <c r="BH4" s="111">
        <f t="shared" ref="BH4:BR4" si="2">AQ4/P4</f>
        <v>4.2883956237047203</v>
      </c>
      <c r="BI4" s="111">
        <f t="shared" si="2"/>
        <v>2.1807118653805966</v>
      </c>
      <c r="BJ4" s="111">
        <f t="shared" si="2"/>
        <v>1.182121286263611</v>
      </c>
      <c r="BK4" s="111">
        <f t="shared" si="2"/>
        <v>2.4633541922658679</v>
      </c>
      <c r="BL4" s="111">
        <f t="shared" si="2"/>
        <v>3.2013510252506547</v>
      </c>
      <c r="BM4" s="111">
        <f t="shared" si="2"/>
        <v>2.2716115990700683</v>
      </c>
      <c r="BN4" s="111">
        <f t="shared" si="2"/>
        <v>0</v>
      </c>
      <c r="BO4" s="111">
        <f t="shared" si="2"/>
        <v>0</v>
      </c>
      <c r="BP4" s="111">
        <f t="shared" si="2"/>
        <v>0</v>
      </c>
      <c r="BQ4" s="111">
        <f t="shared" si="2"/>
        <v>0</v>
      </c>
      <c r="BR4" s="111">
        <f t="shared" si="2"/>
        <v>0</v>
      </c>
      <c r="BS4" s="111">
        <f>BB4/SUM(O4:INDEX(O4:Q4,IF($B$2&lt;3,$B$2,3)))</f>
        <v>2.7679414791099983</v>
      </c>
      <c r="BT4" s="111">
        <f>BC4/SUM(R4:INDEX(R4:T4,IF($B$2&lt;7,$B$2-3,3)))</f>
        <v>1.9516079785446347</v>
      </c>
      <c r="BU4" s="111">
        <f>BD4/SUM(U4:INDEX(U4:W4,$AV$2))</f>
        <v>2.2716115990700683</v>
      </c>
      <c r="BV4" s="111">
        <f t="shared" ref="BV4" si="3">BE4/AE4</f>
        <v>0</v>
      </c>
      <c r="BW4" s="111">
        <f>BF4/AA4</f>
        <v>2.2777069687192677</v>
      </c>
    </row>
    <row r="5" spans="1:75" x14ac:dyDescent="0.25">
      <c r="A5" s="20" t="str">
        <f t="shared" ref="A5:A13" si="4">$B$3&amp;"_by_rookie_mdrt:"&amp;B5</f>
        <v>APE_by_rookie_mdrt:Rookie in month</v>
      </c>
      <c r="B5" t="s">
        <v>5</v>
      </c>
      <c r="C5" s="6">
        <v>771.61900000000003</v>
      </c>
      <c r="D5" s="6">
        <v>387.50799999999998</v>
      </c>
      <c r="E5" s="6">
        <v>1498.9945</v>
      </c>
      <c r="F5" s="6">
        <v>2432.7359999999999</v>
      </c>
      <c r="G5" s="6">
        <v>1470.8130000000001</v>
      </c>
      <c r="H5" s="6">
        <v>2166.2109999999998</v>
      </c>
      <c r="I5" s="6">
        <v>1925.0840000000001</v>
      </c>
      <c r="J5" s="6">
        <v>1391.4680000000001</v>
      </c>
      <c r="K5" s="6">
        <v>2091.5059999999999</v>
      </c>
      <c r="L5" s="6">
        <v>1552.673</v>
      </c>
      <c r="M5" s="6">
        <v>2970.7020000000002</v>
      </c>
      <c r="N5" s="6">
        <v>5752.777</v>
      </c>
      <c r="O5" s="6">
        <v>311.50099999999998</v>
      </c>
      <c r="P5" s="6">
        <v>496.25200000000001</v>
      </c>
      <c r="Q5" s="6">
        <v>4677.4350000000004</v>
      </c>
      <c r="R5" s="6">
        <v>2248.5709999999999</v>
      </c>
      <c r="S5" s="6">
        <v>1671.1790000000001</v>
      </c>
      <c r="T5" s="6">
        <v>2916.4090000000001</v>
      </c>
      <c r="U5" s="6">
        <v>1820.7860000000001</v>
      </c>
      <c r="V5" s="6">
        <v>2307.6289999999999</v>
      </c>
      <c r="W5">
        <v>4125.7569999999996</v>
      </c>
      <c r="X5" s="6">
        <f>[14]APE!AB17</f>
        <v>1977.643</v>
      </c>
      <c r="Y5" s="6">
        <f>[24]APE!AC17</f>
        <v>3613.904</v>
      </c>
      <c r="Z5" s="6">
        <f>[15]APE!J35</f>
        <v>5409.3785000000098</v>
      </c>
      <c r="AA5" s="22">
        <f>SUM(O5:INDEX(O5:Z5,$B$2))</f>
        <v>14142.133</v>
      </c>
      <c r="AB5" s="22">
        <f t="shared" ref="AB5:AB10" si="5">SUM(O5:Q5)</f>
        <v>5485.1880000000001</v>
      </c>
      <c r="AC5" s="22">
        <f t="shared" ref="AC5:AC10" si="6">SUM(R5:T5)</f>
        <v>6836.1589999999997</v>
      </c>
      <c r="AD5" s="22">
        <f t="shared" ref="AD5:AD10" si="7">SUM(U5:W5)</f>
        <v>8254.1719999999987</v>
      </c>
      <c r="AE5" s="22">
        <f t="shared" ref="AE5:AE10" si="8">SUM(X5:Z5)</f>
        <v>11000.92550000001</v>
      </c>
      <c r="AF5" s="6">
        <f>SUM(C5                                                                                : INDEX(C5:N5,$B$2))</f>
        <v>10652.9655</v>
      </c>
      <c r="AG5" s="6">
        <f t="shared" ref="AG5:AG10" si="9">SUM(C5:E5)</f>
        <v>2658.1215000000002</v>
      </c>
      <c r="AH5" s="6">
        <f t="shared" ref="AH5:AH10" si="10">SUM(F5:H5)</f>
        <v>6069.76</v>
      </c>
      <c r="AI5" s="6">
        <f t="shared" si="0"/>
        <v>5408.058</v>
      </c>
      <c r="AJ5" s="6">
        <f t="shared" ref="AJ5:AJ10" si="11">SUM(L5:N5)</f>
        <v>10276.152</v>
      </c>
      <c r="AK5" s="31">
        <f t="shared" ref="AK5:AK12" si="12">AA5/AF5-1</f>
        <v>0.32753016049850148</v>
      </c>
      <c r="AL5" s="31">
        <f t="shared" si="1"/>
        <v>1.0635580427756968</v>
      </c>
      <c r="AM5" s="31">
        <f t="shared" si="1"/>
        <v>0.12626512415647406</v>
      </c>
      <c r="AN5" s="31">
        <f>SUM(U5:W5)/SUM(I5:INDEX(I5:K5,MOD($B$2,3)))-1</f>
        <v>3.287694459046981</v>
      </c>
      <c r="AO5" s="31">
        <f>AE5/SUM(L5:INDEX(L5:N5,MOD($B$2,3)))-1</f>
        <v>6.0851528299906104</v>
      </c>
      <c r="AP5" s="22">
        <f>[16]APE!J35</f>
        <v>1264.491</v>
      </c>
      <c r="AQ5" s="22">
        <f>[17]APE!J36</f>
        <v>2129.3139999999999</v>
      </c>
      <c r="AR5" s="22">
        <f>[18]APE!J37</f>
        <v>4333.7</v>
      </c>
      <c r="AS5" s="22">
        <f>[19]APE!J37</f>
        <v>3917.5839999999998</v>
      </c>
      <c r="AT5" s="22">
        <f>[20]APE!J37</f>
        <v>3298.59</v>
      </c>
      <c r="AU5" s="22">
        <f>[21]APE!J37</f>
        <v>5003.32</v>
      </c>
      <c r="AV5" s="22">
        <f>[22]APE!J37</f>
        <v>3396.4389999999967</v>
      </c>
      <c r="BB5" s="110">
        <f>SUM(AP5:INDEX(AP5:AR5,IF($B$2&lt;3,$B$2,3)))</f>
        <v>7727.5049999999992</v>
      </c>
      <c r="BC5" s="110">
        <f>SUM(AS5:INDEX(AS5:AU5,IF(AND($B$2&gt;3,$B$2&lt;7),$B$2-3,0)))</f>
        <v>12219.493999999999</v>
      </c>
      <c r="BD5" s="110">
        <f>SUM(AV5:INDEX(AV5:AX5,IF(AND($B$2&gt;6,$B$2&lt;10),$B$2-6,0)))</f>
        <v>3396.4389999999967</v>
      </c>
      <c r="BE5" s="110">
        <f>SUM(AY5:INDEX(AY5:BA5,IF($B$2&gt;9,$B$2-9,0)))</f>
        <v>0</v>
      </c>
      <c r="BF5" s="110">
        <f>SUM($AP5:INDEX(AP5:BA5,$B$2))</f>
        <v>23343.437999999995</v>
      </c>
      <c r="BG5" s="125">
        <f t="shared" ref="BG5:BH14" si="13">AP5/O5</f>
        <v>4.0593481240830691</v>
      </c>
      <c r="BH5" s="111">
        <f t="shared" ref="BH5:BH13" si="14">AQ5/P5</f>
        <v>4.2907917751464977</v>
      </c>
      <c r="BI5" s="111">
        <f t="shared" ref="BI5:BI14" si="15">AR5/Q5</f>
        <v>0.926512073390651</v>
      </c>
      <c r="BJ5" s="111">
        <f t="shared" ref="BJ5:BJ14" si="16">AS5/R5</f>
        <v>1.7422549699342382</v>
      </c>
      <c r="BK5" s="111">
        <f t="shared" ref="BK5:BK14" si="17">AT5/S5</f>
        <v>1.9738101065176141</v>
      </c>
      <c r="BL5" s="111">
        <f t="shared" ref="BL5:BL14" si="18">AU5/T5</f>
        <v>1.7155755588465127</v>
      </c>
      <c r="BM5" s="111">
        <f t="shared" ref="BM5:BM14" si="19">AV5/U5</f>
        <v>1.8653696810058933</v>
      </c>
      <c r="BN5" s="111">
        <f t="shared" ref="BN5:BN13" si="20">AW5/V5</f>
        <v>0</v>
      </c>
      <c r="BO5" s="111">
        <f t="shared" ref="BO5:BO13" si="21">AX5/W5</f>
        <v>0</v>
      </c>
      <c r="BP5" s="111">
        <f t="shared" ref="BP5:BP13" si="22">AY5/X5</f>
        <v>0</v>
      </c>
      <c r="BQ5" s="111">
        <f t="shared" ref="BQ5:BQ13" si="23">AZ5/Y5</f>
        <v>0</v>
      </c>
      <c r="BR5" s="111">
        <f t="shared" ref="BR5:BR13" si="24">BA5/Z5</f>
        <v>0</v>
      </c>
      <c r="BS5" s="111">
        <f>BB5/SUM(O5:INDEX(O5:Q5,IF($B$2&lt;3,$B$2,3)))</f>
        <v>1.4087949218878184</v>
      </c>
      <c r="BT5" s="111">
        <f>BC5/SUM(R5:INDEX(R5:T5,IF($B$2&lt;7,$B$2-3,3)))</f>
        <v>1.7874794895788702</v>
      </c>
      <c r="BU5" s="111">
        <f>BD5/SUM(U5:INDEX(U5:W5,$AV$2))</f>
        <v>1.8653696810058933</v>
      </c>
      <c r="BV5" s="111">
        <f t="shared" ref="BV5:BV13" si="25">BE5/AE5</f>
        <v>0</v>
      </c>
      <c r="BW5" s="111">
        <f t="shared" ref="BW5:BW13" si="26">BF5/AA5</f>
        <v>1.6506306368353341</v>
      </c>
    </row>
    <row r="6" spans="1:75" x14ac:dyDescent="0.25">
      <c r="A6" s="20" t="str">
        <f t="shared" si="4"/>
        <v>APE_by_rookie_mdrt:Rookie last month</v>
      </c>
      <c r="B6" t="s">
        <v>6</v>
      </c>
      <c r="C6" s="6">
        <v>932.72199999999998</v>
      </c>
      <c r="D6" s="6">
        <v>859.54399999999896</v>
      </c>
      <c r="E6" s="6">
        <v>1025.164</v>
      </c>
      <c r="F6" s="6">
        <v>2136.0569999999998</v>
      </c>
      <c r="G6" s="6">
        <v>1875.0250000000001</v>
      </c>
      <c r="H6" s="6">
        <v>2021.518</v>
      </c>
      <c r="I6" s="6">
        <v>1685.0550000000001</v>
      </c>
      <c r="J6" s="6">
        <v>1191.124</v>
      </c>
      <c r="K6" s="6">
        <v>2112.4189999999999</v>
      </c>
      <c r="L6" s="6">
        <v>1874.9639999999999</v>
      </c>
      <c r="M6" s="6">
        <v>1439.818</v>
      </c>
      <c r="N6" s="6">
        <v>3679.2369999999901</v>
      </c>
      <c r="O6" s="6">
        <v>966.26899999999898</v>
      </c>
      <c r="P6" s="6">
        <v>305.28300000000002</v>
      </c>
      <c r="Q6" s="6">
        <v>1082.136</v>
      </c>
      <c r="R6" s="6">
        <v>2454.2429999999999</v>
      </c>
      <c r="S6" s="6">
        <v>1950.7380000000001</v>
      </c>
      <c r="T6" s="6">
        <v>2197.4209999999998</v>
      </c>
      <c r="U6" s="6">
        <v>1908.9690000000001</v>
      </c>
      <c r="V6" s="6">
        <v>1201.21</v>
      </c>
      <c r="W6">
        <v>2397.6840000000002</v>
      </c>
      <c r="X6" s="6">
        <f>[14]APE!AB18</f>
        <v>4009.319</v>
      </c>
      <c r="Y6" s="6">
        <f>[24]APE!AC18</f>
        <v>4548.3230000000103</v>
      </c>
      <c r="Z6" s="6">
        <f>[15]APE!J36</f>
        <v>3257.09599999999</v>
      </c>
      <c r="AA6" s="22">
        <f>SUM(O6:INDEX(O6:Z6,$B$2))</f>
        <v>10865.058999999997</v>
      </c>
      <c r="AB6" s="22">
        <f t="shared" si="5"/>
        <v>2353.6879999999992</v>
      </c>
      <c r="AC6" s="22">
        <f t="shared" si="6"/>
        <v>6602.402</v>
      </c>
      <c r="AD6" s="22">
        <f t="shared" si="7"/>
        <v>5507.8630000000003</v>
      </c>
      <c r="AE6" s="22">
        <f t="shared" si="8"/>
        <v>11814.738000000001</v>
      </c>
      <c r="AF6" s="6">
        <f>SUM(C6                                                                                : INDEX(C6:N6,$B$2))</f>
        <v>10535.084999999999</v>
      </c>
      <c r="AG6" s="6">
        <f t="shared" si="9"/>
        <v>2817.4299999999989</v>
      </c>
      <c r="AH6" s="6">
        <f t="shared" si="10"/>
        <v>6032.6</v>
      </c>
      <c r="AI6" s="6">
        <f t="shared" si="0"/>
        <v>4988.598</v>
      </c>
      <c r="AJ6" s="6">
        <f t="shared" si="11"/>
        <v>6994.0189999999902</v>
      </c>
      <c r="AK6" s="31">
        <f t="shared" si="12"/>
        <v>3.1321436893959387E-2</v>
      </c>
      <c r="AL6" s="31">
        <f t="shared" si="1"/>
        <v>-0.16459752327475741</v>
      </c>
      <c r="AM6" s="31">
        <f t="shared" si="1"/>
        <v>9.445380101448797E-2</v>
      </c>
      <c r="AN6" s="31">
        <f>SUM(U6:W6)/SUM(I6:INDEX(I6:K6,MOD($B$2,3)))-1</f>
        <v>2.2686547323381134</v>
      </c>
      <c r="AO6" s="31">
        <f>AE6/SUM(L6:INDEX(L6:N6,MOD($B$2,3)))-1</f>
        <v>5.3013145852400374</v>
      </c>
      <c r="AP6" s="22">
        <f>[16]APE!J36</f>
        <v>1266.1579999999999</v>
      </c>
      <c r="AQ6" s="22">
        <f>[17]APE!J37</f>
        <v>1064.2650000000001</v>
      </c>
      <c r="AR6" s="22">
        <f>[18]APE!J38</f>
        <v>3299.38</v>
      </c>
      <c r="AS6" s="22">
        <f>[19]APE!J38</f>
        <v>2142.2919999999999</v>
      </c>
      <c r="AT6" s="22">
        <f>[20]APE!J38</f>
        <v>3248.4</v>
      </c>
      <c r="AU6" s="22">
        <f>[21]APE!J38</f>
        <v>2156.14</v>
      </c>
      <c r="AV6" s="22">
        <f>[22]APE!J38</f>
        <v>2176.9739999999993</v>
      </c>
      <c r="BB6" s="110">
        <f>SUM(AP6:INDEX(AP6:AR6,IF($B$2&lt;3,$B$2,3)))</f>
        <v>5629.8029999999999</v>
      </c>
      <c r="BC6" s="110">
        <f>SUM(AS6:INDEX(AS6:AU6,IF(AND($B$2&gt;3,$B$2&lt;7),$B$2-3,0)))</f>
        <v>7546.8320000000003</v>
      </c>
      <c r="BD6" s="110">
        <f>SUM(AV6:INDEX(AV6:AX6,IF(AND($B$2&gt;6,$B$2&lt;10),$B$2-6,0)))</f>
        <v>2176.9739999999993</v>
      </c>
      <c r="BE6" s="110">
        <f>SUM(AY6:INDEX(AY6:BA6,IF($B$2&gt;9,$B$2-9,0)))</f>
        <v>0</v>
      </c>
      <c r="BF6" s="110">
        <f>SUM($AP6:INDEX(AP6:BA6,$B$2))</f>
        <v>15353.608999999997</v>
      </c>
      <c r="BG6" s="125">
        <f t="shared" si="13"/>
        <v>1.3103576747261905</v>
      </c>
      <c r="BH6" s="111">
        <f t="shared" si="14"/>
        <v>3.4861587445091931</v>
      </c>
      <c r="BI6" s="111">
        <f t="shared" si="15"/>
        <v>3.0489513332889766</v>
      </c>
      <c r="BJ6" s="111">
        <f t="shared" si="16"/>
        <v>0.87289318946819849</v>
      </c>
      <c r="BK6" s="111">
        <f t="shared" si="17"/>
        <v>1.6652159336620294</v>
      </c>
      <c r="BL6" s="111">
        <f t="shared" si="18"/>
        <v>0.9812138866425687</v>
      </c>
      <c r="BM6" s="111">
        <f t="shared" si="19"/>
        <v>1.14039253649483</v>
      </c>
      <c r="BN6" s="111">
        <f t="shared" si="20"/>
        <v>0</v>
      </c>
      <c r="BO6" s="111">
        <f t="shared" si="21"/>
        <v>0</v>
      </c>
      <c r="BP6" s="111">
        <f t="shared" si="22"/>
        <v>0</v>
      </c>
      <c r="BQ6" s="111">
        <f t="shared" si="23"/>
        <v>0</v>
      </c>
      <c r="BR6" s="111">
        <f t="shared" si="24"/>
        <v>0</v>
      </c>
      <c r="BS6" s="111">
        <f>BB6/SUM(O6:INDEX(O6:Q6,IF($B$2&lt;3,$B$2,3)))</f>
        <v>2.391907083691637</v>
      </c>
      <c r="BT6" s="111">
        <f>BC6/SUM(R6:INDEX(R6:T6,IF($B$2&lt;7,$B$2-3,3)))</f>
        <v>1.1430433954188188</v>
      </c>
      <c r="BU6" s="111">
        <f>BD6/SUM(U6:INDEX(U6:W6,$AV$2))</f>
        <v>1.14039253649483</v>
      </c>
      <c r="BV6" s="111">
        <f t="shared" si="25"/>
        <v>0</v>
      </c>
      <c r="BW6" s="111">
        <f t="shared" si="26"/>
        <v>1.4131178671003997</v>
      </c>
    </row>
    <row r="7" spans="1:75" x14ac:dyDescent="0.25">
      <c r="A7" s="20" t="str">
        <f t="shared" si="4"/>
        <v>APE_by_rookie_mdrt:2-3 months</v>
      </c>
      <c r="B7" t="s">
        <v>7</v>
      </c>
      <c r="C7" s="6">
        <v>1015.534</v>
      </c>
      <c r="D7" s="6">
        <v>1120.604</v>
      </c>
      <c r="E7" s="6">
        <v>2387.5419999999999</v>
      </c>
      <c r="F7" s="6">
        <v>1265.3800000000001</v>
      </c>
      <c r="G7" s="6">
        <v>1534.2449999999999</v>
      </c>
      <c r="H7" s="6">
        <v>3524.3179999999902</v>
      </c>
      <c r="I7" s="6">
        <v>2506.355</v>
      </c>
      <c r="J7" s="6">
        <v>1379.2929999999999</v>
      </c>
      <c r="K7" s="6">
        <v>2241.8620000000001</v>
      </c>
      <c r="L7" s="6">
        <v>2139.364</v>
      </c>
      <c r="M7" s="6">
        <v>3167.6849999999999</v>
      </c>
      <c r="N7" s="6">
        <v>3539.5574999999999</v>
      </c>
      <c r="O7" s="6">
        <v>1059.297</v>
      </c>
      <c r="P7" s="6">
        <v>1546.6210000000001</v>
      </c>
      <c r="Q7" s="6">
        <v>2341.8530000000001</v>
      </c>
      <c r="R7" s="6">
        <v>868.44099999999901</v>
      </c>
      <c r="S7" s="6">
        <v>2736.2179999999998</v>
      </c>
      <c r="T7" s="6">
        <v>3474.8090000000002</v>
      </c>
      <c r="U7" s="6">
        <v>2775.6619999999998</v>
      </c>
      <c r="V7" s="6">
        <v>2269.0259999999998</v>
      </c>
      <c r="W7">
        <v>2025.2249999999999</v>
      </c>
      <c r="X7" s="6">
        <f>[14]APE!AB19</f>
        <v>1506.9870000000001</v>
      </c>
      <c r="Y7" s="6">
        <f>[24]APE!AC19</f>
        <v>7030.70550000002</v>
      </c>
      <c r="Z7" s="6">
        <f>[15]APE!J37</f>
        <v>15126.209000000101</v>
      </c>
      <c r="AA7" s="22">
        <f>SUM(O7:INDEX(O7:Z7,$B$2))</f>
        <v>14802.901000000002</v>
      </c>
      <c r="AB7" s="22">
        <f t="shared" si="5"/>
        <v>4947.7710000000006</v>
      </c>
      <c r="AC7" s="22">
        <f t="shared" si="6"/>
        <v>7079.4679999999989</v>
      </c>
      <c r="AD7" s="22">
        <f t="shared" si="7"/>
        <v>7069.9130000000005</v>
      </c>
      <c r="AE7" s="22">
        <f t="shared" si="8"/>
        <v>23663.90150000012</v>
      </c>
      <c r="AF7" s="6">
        <f>SUM(C7                                                                                : INDEX(C7:N7,$B$2))</f>
        <v>13353.97799999999</v>
      </c>
      <c r="AG7" s="6">
        <f t="shared" si="9"/>
        <v>4523.68</v>
      </c>
      <c r="AH7" s="6">
        <f t="shared" si="10"/>
        <v>6323.9429999999902</v>
      </c>
      <c r="AI7" s="6">
        <f t="shared" si="0"/>
        <v>6127.51</v>
      </c>
      <c r="AJ7" s="6">
        <f t="shared" si="11"/>
        <v>8846.6064999999999</v>
      </c>
      <c r="AK7" s="31">
        <f t="shared" si="12"/>
        <v>0.10850122712498189</v>
      </c>
      <c r="AL7" s="31">
        <f t="shared" si="1"/>
        <v>9.3749115764156787E-2</v>
      </c>
      <c r="AM7" s="31">
        <f t="shared" si="1"/>
        <v>0.11947055816284391</v>
      </c>
      <c r="AN7" s="31">
        <f>SUM(U7:W7)/SUM(I7:INDEX(I7:K7,MOD($B$2,3)))-1</f>
        <v>1.8207947397715012</v>
      </c>
      <c r="AO7" s="31">
        <f>AE7/SUM(L7:INDEX(L7:N7,MOD($B$2,3)))-1</f>
        <v>10.06118524009945</v>
      </c>
      <c r="AP7" s="22">
        <f>[16]APE!J37</f>
        <v>3012.2404999999999</v>
      </c>
      <c r="AQ7" s="22">
        <f>[17]APE!J38</f>
        <v>4534.0839999999998</v>
      </c>
      <c r="AR7" s="22">
        <f>[18]APE!J39</f>
        <v>2333.62</v>
      </c>
      <c r="AS7" s="22">
        <f>[19]APE!J39</f>
        <v>2244.482</v>
      </c>
      <c r="AT7" s="22">
        <f>[20]APE!J39</f>
        <v>3765.87</v>
      </c>
      <c r="AU7" s="22">
        <f>[21]APE!J39</f>
        <v>4488.4799999999996</v>
      </c>
      <c r="AV7" s="22">
        <f>[22]APE!J39</f>
        <v>2950.922999999997</v>
      </c>
      <c r="BB7" s="110">
        <f>SUM(AP7:INDEX(AP7:AR7,IF($B$2&lt;3,$B$2,3)))</f>
        <v>9879.9444999999996</v>
      </c>
      <c r="BC7" s="110">
        <f>SUM(AS7:INDEX(AS7:AU7,IF(AND($B$2&gt;3,$B$2&lt;7),$B$2-3,0)))</f>
        <v>10498.831999999999</v>
      </c>
      <c r="BD7" s="110">
        <f>SUM(AV7:INDEX(AV7:AX7,IF(AND($B$2&gt;6,$B$2&lt;10),$B$2-6,0)))</f>
        <v>2950.922999999997</v>
      </c>
      <c r="BE7" s="110">
        <f>SUM(AY7:INDEX(AY7:BA7,IF($B$2&gt;9,$B$2-9,0)))</f>
        <v>0</v>
      </c>
      <c r="BF7" s="110">
        <f>SUM($AP7:INDEX(AP7:BA7,$B$2))</f>
        <v>23329.699499999995</v>
      </c>
      <c r="BG7" s="125">
        <f t="shared" si="13"/>
        <v>2.8436222324805978</v>
      </c>
      <c r="BH7" s="111">
        <f t="shared" si="14"/>
        <v>2.9316063857919938</v>
      </c>
      <c r="BI7" s="111">
        <f t="shared" si="15"/>
        <v>0.99648440785992964</v>
      </c>
      <c r="BJ7" s="111">
        <f t="shared" si="16"/>
        <v>2.5844956652207838</v>
      </c>
      <c r="BK7" s="111">
        <f t="shared" si="17"/>
        <v>1.3763048119703913</v>
      </c>
      <c r="BL7" s="111">
        <f t="shared" si="18"/>
        <v>1.2917199189941087</v>
      </c>
      <c r="BM7" s="111">
        <f t="shared" si="19"/>
        <v>1.0631420540397201</v>
      </c>
      <c r="BN7" s="111">
        <f t="shared" si="20"/>
        <v>0</v>
      </c>
      <c r="BO7" s="111">
        <f t="shared" si="21"/>
        <v>0</v>
      </c>
      <c r="BP7" s="111">
        <f t="shared" si="22"/>
        <v>0</v>
      </c>
      <c r="BQ7" s="111">
        <f t="shared" si="23"/>
        <v>0</v>
      </c>
      <c r="BR7" s="111">
        <f t="shared" si="24"/>
        <v>0</v>
      </c>
      <c r="BS7" s="111">
        <f>BB7/SUM(O7:INDEX(O7:Q7,IF($B$2&lt;3,$B$2,3)))</f>
        <v>1.9968475703503654</v>
      </c>
      <c r="BT7" s="111">
        <f>BC7/SUM(R7:INDEX(R7:T7,IF($B$2&lt;7,$B$2-3,3)))</f>
        <v>1.4829973099673592</v>
      </c>
      <c r="BU7" s="111">
        <f>BD7/SUM(U7:INDEX(U7:W7,$AV$2))</f>
        <v>1.0631420540397201</v>
      </c>
      <c r="BV7" s="111">
        <f t="shared" si="25"/>
        <v>0</v>
      </c>
      <c r="BW7" s="111">
        <f t="shared" si="26"/>
        <v>1.5760221256630706</v>
      </c>
    </row>
    <row r="8" spans="1:75" x14ac:dyDescent="0.25">
      <c r="A8" s="20" t="str">
        <f t="shared" si="4"/>
        <v>APE_by_rookie_mdrt:4 - 6 mths</v>
      </c>
      <c r="B8" t="s">
        <v>8</v>
      </c>
      <c r="C8" s="6">
        <v>362.76100000000002</v>
      </c>
      <c r="D8" s="6">
        <v>689.78899999999999</v>
      </c>
      <c r="E8" s="6">
        <v>1679.7539999999999</v>
      </c>
      <c r="F8" s="6">
        <v>1586.1565000000001</v>
      </c>
      <c r="G8" s="6">
        <v>1734.4480000000001</v>
      </c>
      <c r="H8" s="6">
        <v>1718.3</v>
      </c>
      <c r="I8" s="6">
        <v>2182.7195000000002</v>
      </c>
      <c r="J8" s="6">
        <v>2068.2530000000002</v>
      </c>
      <c r="K8" s="6">
        <v>2658.41749999999</v>
      </c>
      <c r="L8" s="6">
        <v>2392.34</v>
      </c>
      <c r="M8" s="6">
        <v>2845.4960000000001</v>
      </c>
      <c r="N8" s="6">
        <v>5013.0079999999998</v>
      </c>
      <c r="O8" s="6">
        <v>654.11800000000005</v>
      </c>
      <c r="P8" s="6">
        <v>547.61599999999999</v>
      </c>
      <c r="Q8" s="6">
        <v>2369.259</v>
      </c>
      <c r="R8" s="6">
        <v>4357.9949999999999</v>
      </c>
      <c r="S8" s="6">
        <v>1572.2270000000001</v>
      </c>
      <c r="T8" s="6">
        <v>1493.748</v>
      </c>
      <c r="U8" s="6">
        <v>1535.3109999999999</v>
      </c>
      <c r="V8" s="6">
        <v>2539.491</v>
      </c>
      <c r="W8">
        <v>3856.748</v>
      </c>
      <c r="X8" s="6">
        <f>[14]APE!AB20</f>
        <v>3897.5075000000002</v>
      </c>
      <c r="Y8" s="6">
        <f>[24]APE!AC20</f>
        <v>1992.4794999999999</v>
      </c>
      <c r="Z8" s="6">
        <f>[15]APE!J38</f>
        <v>2646.6444999999999</v>
      </c>
      <c r="AA8" s="22">
        <f>SUM(O8:INDEX(O8:Z8,$B$2))</f>
        <v>12530.273999999999</v>
      </c>
      <c r="AB8" s="22">
        <f t="shared" si="5"/>
        <v>3570.9929999999999</v>
      </c>
      <c r="AC8" s="22">
        <f t="shared" si="6"/>
        <v>7423.9699999999993</v>
      </c>
      <c r="AD8" s="22">
        <f t="shared" si="7"/>
        <v>7931.5499999999993</v>
      </c>
      <c r="AE8" s="22">
        <f t="shared" si="8"/>
        <v>8536.6314999999995</v>
      </c>
      <c r="AF8" s="6">
        <f>SUM(C8                                                                                : INDEX(C8:N8,$B$2))</f>
        <v>9953.9279999999999</v>
      </c>
      <c r="AG8" s="6">
        <f t="shared" si="9"/>
        <v>2732.3040000000001</v>
      </c>
      <c r="AH8" s="6">
        <f t="shared" si="10"/>
        <v>5038.9045000000006</v>
      </c>
      <c r="AI8" s="6">
        <f t="shared" si="0"/>
        <v>6909.3899999999903</v>
      </c>
      <c r="AJ8" s="6">
        <f t="shared" si="11"/>
        <v>10250.844000000001</v>
      </c>
      <c r="AK8" s="31">
        <f t="shared" si="12"/>
        <v>0.25882706806800293</v>
      </c>
      <c r="AL8" s="31">
        <f t="shared" si="1"/>
        <v>0.30695303304463928</v>
      </c>
      <c r="AM8" s="31">
        <f t="shared" si="1"/>
        <v>0.47333016531668703</v>
      </c>
      <c r="AN8" s="31">
        <f>SUM(U8:W8)/SUM(I8:INDEX(I8:K8,MOD($B$2,3)))-1</f>
        <v>2.6337926151298867</v>
      </c>
      <c r="AO8" s="31">
        <f>AE8/SUM(L8:INDEX(L8:N8,MOD($B$2,3)))-1</f>
        <v>2.5683186754391092</v>
      </c>
      <c r="AP8" s="22">
        <f>[16]APE!J38</f>
        <v>1240.9359999999999</v>
      </c>
      <c r="AQ8" s="22">
        <f>[17]APE!J39</f>
        <v>3796.6129999999998</v>
      </c>
      <c r="AR8" s="22">
        <f>[18]APE!J40</f>
        <v>5473.45</v>
      </c>
      <c r="AS8" s="22">
        <f>[19]APE!J40</f>
        <v>3947.5065</v>
      </c>
      <c r="AT8" s="22">
        <f>[20]APE!J40</f>
        <v>2270.69</v>
      </c>
      <c r="AU8" s="22">
        <f>[21]APE!J40</f>
        <v>4405.57</v>
      </c>
      <c r="AV8" s="22">
        <f>[22]APE!J40</f>
        <v>2452.579999999999</v>
      </c>
      <c r="BB8" s="110">
        <f>SUM(AP8:INDEX(AP8:AR8,IF($B$2&lt;3,$B$2,3)))</f>
        <v>10510.999</v>
      </c>
      <c r="BC8" s="110">
        <f>SUM(AS8:INDEX(AS8:AU8,IF(AND($B$2&gt;3,$B$2&lt;7),$B$2-3,0)))</f>
        <v>10623.7665</v>
      </c>
      <c r="BD8" s="110">
        <f>SUM(AV8:INDEX(AV8:AX8,IF(AND($B$2&gt;6,$B$2&lt;10),$B$2-6,0)))</f>
        <v>2452.579999999999</v>
      </c>
      <c r="BE8" s="110">
        <f>SUM(AY8:INDEX(AY8:BA8,IF($B$2&gt;9,$B$2-9,0)))</f>
        <v>0</v>
      </c>
      <c r="BF8" s="110">
        <f>SUM($AP8:INDEX(AP8:BA8,$B$2))</f>
        <v>23587.345499999996</v>
      </c>
      <c r="BG8" s="125">
        <f t="shared" si="13"/>
        <v>1.8971133648668892</v>
      </c>
      <c r="BH8" s="111">
        <f t="shared" si="14"/>
        <v>6.9329840618243441</v>
      </c>
      <c r="BI8" s="111">
        <f t="shared" si="15"/>
        <v>2.3101948752753496</v>
      </c>
      <c r="BJ8" s="111">
        <f t="shared" si="16"/>
        <v>0.90580794608529847</v>
      </c>
      <c r="BK8" s="111">
        <f t="shared" si="17"/>
        <v>1.4442507347857529</v>
      </c>
      <c r="BL8" s="111">
        <f t="shared" si="18"/>
        <v>2.9493395137600182</v>
      </c>
      <c r="BM8" s="111">
        <f t="shared" si="19"/>
        <v>1.5974483345719526</v>
      </c>
      <c r="BN8" s="111">
        <f t="shared" si="20"/>
        <v>0</v>
      </c>
      <c r="BO8" s="111">
        <f t="shared" si="21"/>
        <v>0</v>
      </c>
      <c r="BP8" s="111">
        <f t="shared" si="22"/>
        <v>0</v>
      </c>
      <c r="BQ8" s="111">
        <f t="shared" si="23"/>
        <v>0</v>
      </c>
      <c r="BR8" s="111">
        <f t="shared" si="24"/>
        <v>0</v>
      </c>
      <c r="BS8" s="111">
        <f>BB8/SUM(O8:INDEX(O8:Q8,IF($B$2&lt;3,$B$2,3)))</f>
        <v>2.9434387017840695</v>
      </c>
      <c r="BT8" s="111">
        <f>BC8/SUM(R8:INDEX(R8:T8,IF($B$2&lt;7,$B$2-3,3)))</f>
        <v>1.4310088133438039</v>
      </c>
      <c r="BU8" s="111">
        <f>BD8/SUM(U8:INDEX(U8:W8,$AV$2))</f>
        <v>1.5974483345719526</v>
      </c>
      <c r="BV8" s="111">
        <f t="shared" si="25"/>
        <v>0</v>
      </c>
      <c r="BW8" s="111">
        <f t="shared" si="26"/>
        <v>1.8824285486494547</v>
      </c>
    </row>
    <row r="9" spans="1:75" x14ac:dyDescent="0.25">
      <c r="A9" s="20" t="str">
        <f t="shared" si="4"/>
        <v>APE_by_rookie_mdrt:7-12mth</v>
      </c>
      <c r="B9" t="s">
        <v>1</v>
      </c>
      <c r="C9" s="6">
        <v>338.62200000000001</v>
      </c>
      <c r="D9" s="6">
        <v>546.81200000000001</v>
      </c>
      <c r="E9" s="6">
        <v>447.21850000000001</v>
      </c>
      <c r="F9" s="6">
        <v>1410.0329999999999</v>
      </c>
      <c r="G9" s="6">
        <v>1576.9490000000001</v>
      </c>
      <c r="H9" s="6">
        <v>4410.5934999999999</v>
      </c>
      <c r="I9" s="6">
        <v>2788.393</v>
      </c>
      <c r="J9" s="6">
        <v>1424.797</v>
      </c>
      <c r="K9" s="6">
        <v>3741.53</v>
      </c>
      <c r="L9" s="6">
        <v>3015.6439999999998</v>
      </c>
      <c r="M9" s="6">
        <v>5298.1670000000104</v>
      </c>
      <c r="N9" s="6">
        <v>5776.4900000000098</v>
      </c>
      <c r="O9" s="6">
        <v>897.09</v>
      </c>
      <c r="P9" s="6">
        <v>819.21799999999996</v>
      </c>
      <c r="Q9" s="6">
        <v>2167.4810000000002</v>
      </c>
      <c r="R9" s="6">
        <v>1641.7139999999999</v>
      </c>
      <c r="S9" s="6">
        <v>1809.37</v>
      </c>
      <c r="T9" s="6">
        <v>2581.4580000000001</v>
      </c>
      <c r="U9" s="6">
        <v>2151.1210000000001</v>
      </c>
      <c r="V9" s="6">
        <v>2418.8905</v>
      </c>
      <c r="W9">
        <v>2864.002</v>
      </c>
      <c r="X9" s="6">
        <f>[14]APE!AB21</f>
        <v>2571.761</v>
      </c>
      <c r="Y9" s="6">
        <f>[24]APE!AC21</f>
        <v>4710.0249999999996</v>
      </c>
      <c r="Z9" s="6">
        <f>[15]APE!J39</f>
        <v>7132.7160000000104</v>
      </c>
      <c r="AA9" s="22">
        <f>SUM(O9:INDEX(O9:Z9,$B$2))</f>
        <v>12067.452000000001</v>
      </c>
      <c r="AB9" s="22">
        <f t="shared" si="5"/>
        <v>3883.7890000000002</v>
      </c>
      <c r="AC9" s="22">
        <f t="shared" si="6"/>
        <v>6032.5419999999995</v>
      </c>
      <c r="AD9" s="22">
        <f t="shared" si="7"/>
        <v>7434.0135000000009</v>
      </c>
      <c r="AE9" s="22">
        <f t="shared" si="8"/>
        <v>14414.502000000011</v>
      </c>
      <c r="AF9" s="6">
        <f>SUM(C9                                                                                : INDEX(C9:N9,$B$2))</f>
        <v>11518.620999999999</v>
      </c>
      <c r="AG9" s="6">
        <f t="shared" si="9"/>
        <v>1332.6524999999999</v>
      </c>
      <c r="AH9" s="6">
        <f t="shared" si="10"/>
        <v>7397.5754999999999</v>
      </c>
      <c r="AI9" s="6">
        <f t="shared" si="0"/>
        <v>7954.7200000000012</v>
      </c>
      <c r="AJ9" s="6">
        <f t="shared" si="11"/>
        <v>14090.301000000021</v>
      </c>
      <c r="AK9" s="31">
        <f t="shared" si="12"/>
        <v>4.7647283472561641E-2</v>
      </c>
      <c r="AL9" s="31">
        <f t="shared" si="1"/>
        <v>1.9143298796948196</v>
      </c>
      <c r="AM9" s="31">
        <f t="shared" si="1"/>
        <v>-0.18452444317736272</v>
      </c>
      <c r="AN9" s="31">
        <f>SUM(U9:W9)/SUM(I9:INDEX(I9:K9,MOD($B$2,3)))-1</f>
        <v>1.6660565781078924</v>
      </c>
      <c r="AO9" s="31">
        <f>AE9/SUM(L9:INDEX(L9:N9,MOD($B$2,3)))-1</f>
        <v>3.7799083711472612</v>
      </c>
      <c r="AP9" s="22">
        <f>[16]APE!J39</f>
        <v>485.90499999999997</v>
      </c>
      <c r="AQ9" s="22">
        <f>[17]APE!J40</f>
        <v>536.13</v>
      </c>
      <c r="AR9" s="22">
        <f>[18]APE!J41</f>
        <v>1310.55</v>
      </c>
      <c r="AS9" s="22">
        <f>[19]APE!J41</f>
        <v>2670.3989999999999</v>
      </c>
      <c r="AT9" s="22">
        <f>[20]APE!J41</f>
        <v>9797.42</v>
      </c>
      <c r="AU9" s="22">
        <f>[21]APE!J41</f>
        <v>4937.8599999999997</v>
      </c>
      <c r="AV9" s="22">
        <f>[22]APE!J41</f>
        <v>3897.3770000000027</v>
      </c>
      <c r="BB9" s="110">
        <f>SUM(AP9:INDEX(AP9:AR9,IF($B$2&lt;3,$B$2,3)))</f>
        <v>2332.585</v>
      </c>
      <c r="BC9" s="110">
        <f>SUM(AS9:INDEX(AS9:AU9,IF(AND($B$2&gt;3,$B$2&lt;7),$B$2-3,0)))</f>
        <v>17405.679</v>
      </c>
      <c r="BD9" s="110">
        <f>SUM(AV9:INDEX(AV9:AX9,IF(AND($B$2&gt;6,$B$2&lt;10),$B$2-6,0)))</f>
        <v>3897.3770000000027</v>
      </c>
      <c r="BE9" s="110">
        <f>SUM(AY9:INDEX(AY9:BA9,IF($B$2&gt;9,$B$2-9,0)))</f>
        <v>0</v>
      </c>
      <c r="BF9" s="110">
        <f>SUM($AP9:INDEX(AP9:BA9,$B$2))</f>
        <v>23635.641000000003</v>
      </c>
      <c r="BG9" s="125">
        <f t="shared" si="13"/>
        <v>0.5416457657537147</v>
      </c>
      <c r="BH9" s="111">
        <f t="shared" si="14"/>
        <v>0.65444118659502115</v>
      </c>
      <c r="BI9" s="111">
        <f t="shared" si="15"/>
        <v>0.60464197840719236</v>
      </c>
      <c r="BJ9" s="111">
        <f t="shared" si="16"/>
        <v>1.6265920860758938</v>
      </c>
      <c r="BK9" s="111">
        <f t="shared" si="17"/>
        <v>5.4148239442457875</v>
      </c>
      <c r="BL9" s="111">
        <f t="shared" si="18"/>
        <v>1.9128182600685346</v>
      </c>
      <c r="BM9" s="111">
        <f t="shared" si="19"/>
        <v>1.8117888301030032</v>
      </c>
      <c r="BN9" s="111">
        <f t="shared" si="20"/>
        <v>0</v>
      </c>
      <c r="BO9" s="111">
        <f t="shared" si="21"/>
        <v>0</v>
      </c>
      <c r="BP9" s="111">
        <f t="shared" si="22"/>
        <v>0</v>
      </c>
      <c r="BQ9" s="111">
        <f t="shared" si="23"/>
        <v>0</v>
      </c>
      <c r="BR9" s="111">
        <f t="shared" si="24"/>
        <v>0</v>
      </c>
      <c r="BS9" s="111">
        <f>BB9/SUM(O9:INDEX(O9:Q9,IF($B$2&lt;3,$B$2,3)))</f>
        <v>0.60059519196331212</v>
      </c>
      <c r="BT9" s="111">
        <f>BC9/SUM(R9:INDEX(R9:T9,IF($B$2&lt;7,$B$2-3,3)))</f>
        <v>2.8852976075425585</v>
      </c>
      <c r="BU9" s="111">
        <f>BD9/SUM(U9:INDEX(U9:W9,$AV$2))</f>
        <v>1.8117888301030032</v>
      </c>
      <c r="BV9" s="111">
        <f t="shared" si="25"/>
        <v>0</v>
      </c>
      <c r="BW9" s="111">
        <f t="shared" si="26"/>
        <v>1.9586273059134605</v>
      </c>
    </row>
    <row r="10" spans="1:75" x14ac:dyDescent="0.25">
      <c r="A10" s="20" t="str">
        <f t="shared" si="4"/>
        <v>APE_by_rookie_mdrt:13+mth</v>
      </c>
      <c r="B10" t="s">
        <v>2</v>
      </c>
      <c r="C10" s="6">
        <v>334.298</v>
      </c>
      <c r="D10" s="6">
        <v>270.85199999999998</v>
      </c>
      <c r="E10" s="6">
        <v>552.04899999999998</v>
      </c>
      <c r="F10" s="6">
        <v>388.04</v>
      </c>
      <c r="G10" s="6">
        <v>523.77149999999995</v>
      </c>
      <c r="H10" s="6">
        <v>774.71550000000002</v>
      </c>
      <c r="I10" s="6">
        <v>632.56500000000005</v>
      </c>
      <c r="J10" s="6">
        <v>705.60400000000004</v>
      </c>
      <c r="K10" s="6">
        <v>3654.1790000000001</v>
      </c>
      <c r="L10" s="6">
        <v>-1191.258</v>
      </c>
      <c r="M10" s="6">
        <v>2363.9495000000002</v>
      </c>
      <c r="N10" s="6">
        <v>4457.63399999999</v>
      </c>
      <c r="O10" s="6">
        <v>596.98699999999997</v>
      </c>
      <c r="P10" s="6">
        <v>1388.49</v>
      </c>
      <c r="Q10" s="6">
        <v>1534.674</v>
      </c>
      <c r="R10" s="6">
        <v>1206.982</v>
      </c>
      <c r="S10" s="6">
        <v>1457.5889999999999</v>
      </c>
      <c r="T10" s="6">
        <v>2428.7044999999998</v>
      </c>
      <c r="U10" s="6">
        <v>1586.0619999999999</v>
      </c>
      <c r="V10" s="6">
        <v>1310.0440000000001</v>
      </c>
      <c r="W10">
        <v>2379.7469999999998</v>
      </c>
      <c r="X10" s="6">
        <f>[14]APE!AB22</f>
        <v>1759.1415</v>
      </c>
      <c r="Y10" s="6">
        <f>[24]APE!AC22</f>
        <v>2505.2604999999999</v>
      </c>
      <c r="Z10" s="6">
        <f>[15]APE!J40</f>
        <v>6394.2539999999999</v>
      </c>
      <c r="AA10" s="22">
        <f>SUM(O10:INDEX(O10:Z10,$B$2))</f>
        <v>10199.488499999999</v>
      </c>
      <c r="AB10" s="22">
        <f t="shared" si="5"/>
        <v>3520.1509999999998</v>
      </c>
      <c r="AC10" s="22">
        <f t="shared" si="6"/>
        <v>5093.2754999999997</v>
      </c>
      <c r="AD10" s="22">
        <f t="shared" si="7"/>
        <v>5275.8529999999992</v>
      </c>
      <c r="AE10" s="22">
        <f t="shared" si="8"/>
        <v>10658.655999999999</v>
      </c>
      <c r="AF10" s="6">
        <f>SUM(C10                                                                                : INDEX(C10:N10,$B$2))</f>
        <v>3476.2909999999997</v>
      </c>
      <c r="AG10" s="6">
        <f t="shared" si="9"/>
        <v>1157.1990000000001</v>
      </c>
      <c r="AH10" s="6">
        <f t="shared" si="10"/>
        <v>1686.527</v>
      </c>
      <c r="AI10" s="6">
        <f t="shared" si="0"/>
        <v>4992.348</v>
      </c>
      <c r="AJ10" s="6">
        <f t="shared" si="11"/>
        <v>5630.3254999999899</v>
      </c>
      <c r="AK10" s="31">
        <f t="shared" si="12"/>
        <v>1.9340145862357323</v>
      </c>
      <c r="AL10" s="31">
        <f t="shared" si="1"/>
        <v>2.0419582111633345</v>
      </c>
      <c r="AM10" s="31">
        <f t="shared" si="1"/>
        <v>2.0199786306415488</v>
      </c>
      <c r="AN10" s="31">
        <f>SUM(U10:W10)/SUM(I10:INDEX(I10:K10,MOD($B$2,3)))-1</f>
        <v>7.3404124477326427</v>
      </c>
      <c r="AO10" s="31">
        <f>AE10/SUM(L10:INDEX(L10:N10,MOD($B$2,3)))-1</f>
        <v>-9.9473951066855371</v>
      </c>
      <c r="AP10" s="22">
        <f>[16]APE!J40</f>
        <v>1566.4295</v>
      </c>
      <c r="AQ10" s="22">
        <f>[17]APE!J41</f>
        <v>1094.9259999999999</v>
      </c>
      <c r="AR10" s="22">
        <f>[18]APE!J42</f>
        <v>2230.5300000000002</v>
      </c>
      <c r="AS10" s="22">
        <f>[19]APE!J42</f>
        <v>2192.64</v>
      </c>
      <c r="AT10" s="22">
        <f>[20]APE!J42</f>
        <v>2223.58</v>
      </c>
      <c r="AU10" s="22">
        <f>[21]APE!J42</f>
        <v>1895.13</v>
      </c>
      <c r="AV10" s="22">
        <f>[22]APE!J42</f>
        <v>2526.3639999999982</v>
      </c>
      <c r="BB10" s="110">
        <f>SUM(AP10:INDEX(AP10:AR10,IF($B$2&lt;3,$B$2,3)))</f>
        <v>4891.8855000000003</v>
      </c>
      <c r="BC10" s="110">
        <f>SUM(AS10:INDEX(AS10:AU10,IF(AND($B$2&gt;3,$B$2&lt;7),$B$2-3,0)))</f>
        <v>6311.3499999999995</v>
      </c>
      <c r="BD10" s="110">
        <f>SUM(AV10:INDEX(AV10:AX10,IF(AND($B$2&gt;6,$B$2&lt;10),$B$2-6,0)))</f>
        <v>2526.3639999999982</v>
      </c>
      <c r="BE10" s="110">
        <f>SUM(AY10:INDEX(AY10:BA10,IF($B$2&gt;9,$B$2-9,0)))</f>
        <v>0</v>
      </c>
      <c r="BF10" s="110">
        <f>SUM($AP10:INDEX(AP10:BA10,$B$2))</f>
        <v>13729.599499999997</v>
      </c>
      <c r="BG10" s="125">
        <f t="shared" si="13"/>
        <v>2.6238921450550849</v>
      </c>
      <c r="BH10" s="111">
        <f t="shared" si="14"/>
        <v>0.78857319822252947</v>
      </c>
      <c r="BI10" s="111">
        <f t="shared" si="15"/>
        <v>1.4534226812990905</v>
      </c>
      <c r="BJ10" s="111">
        <f t="shared" si="16"/>
        <v>1.8166302397218848</v>
      </c>
      <c r="BK10" s="111">
        <f t="shared" si="17"/>
        <v>1.5255191964264274</v>
      </c>
      <c r="BL10" s="111">
        <f t="shared" si="18"/>
        <v>0.78030489094082889</v>
      </c>
      <c r="BM10" s="111">
        <f t="shared" si="19"/>
        <v>1.5928532428114401</v>
      </c>
      <c r="BN10" s="111">
        <f t="shared" si="20"/>
        <v>0</v>
      </c>
      <c r="BO10" s="111">
        <f t="shared" si="21"/>
        <v>0</v>
      </c>
      <c r="BP10" s="111">
        <f t="shared" si="22"/>
        <v>0</v>
      </c>
      <c r="BQ10" s="111">
        <f t="shared" si="23"/>
        <v>0</v>
      </c>
      <c r="BR10" s="111">
        <f t="shared" si="24"/>
        <v>0</v>
      </c>
      <c r="BS10" s="111">
        <f>BB10/SUM(O10:INDEX(O10:Q10,IF($B$2&lt;3,$B$2,3)))</f>
        <v>1.3896805847249167</v>
      </c>
      <c r="BT10" s="111">
        <f>BC10/SUM(R10:INDEX(R10:T10,IF($B$2&lt;7,$B$2-3,3)))</f>
        <v>1.2391534681365655</v>
      </c>
      <c r="BU10" s="111">
        <f>BD10/SUM(U10:INDEX(U10:W10,$AV$2))</f>
        <v>1.5928532428114401</v>
      </c>
      <c r="BV10" s="111">
        <f t="shared" si="25"/>
        <v>0</v>
      </c>
      <c r="BW10" s="111">
        <f t="shared" si="26"/>
        <v>1.3461066699570274</v>
      </c>
    </row>
    <row r="11" spans="1:75" x14ac:dyDescent="0.25">
      <c r="A11" s="20" t="str">
        <f t="shared" si="4"/>
        <v>APE_by_rookie_mdrt:SA</v>
      </c>
      <c r="B11" s="135" t="s">
        <v>136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X11" s="6"/>
      <c r="Y11" s="6"/>
      <c r="Z11" s="6"/>
      <c r="AA11" s="22"/>
      <c r="AB11" s="22"/>
      <c r="AC11" s="22"/>
      <c r="AD11" s="22"/>
      <c r="AE11" s="22"/>
      <c r="AF11" s="6"/>
      <c r="AG11" s="6"/>
      <c r="AH11" s="6"/>
      <c r="AI11" s="6"/>
      <c r="AJ11" s="6"/>
      <c r="AK11" s="31"/>
      <c r="AL11" s="31"/>
      <c r="AM11" s="31"/>
      <c r="AN11" s="31"/>
      <c r="AO11" s="31"/>
      <c r="AP11" s="22"/>
      <c r="AQ11" s="22">
        <f>[17]APE!J42</f>
        <v>541.452</v>
      </c>
      <c r="AR11" s="22">
        <f>[18]APE!J43</f>
        <v>608.25</v>
      </c>
      <c r="AS11" s="22">
        <f>[19]APE!J43</f>
        <v>830.04849999999999</v>
      </c>
      <c r="AT11" s="22">
        <f>[20]APE!J43</f>
        <v>482.97</v>
      </c>
      <c r="AU11" s="22">
        <f>[21]APE!J43</f>
        <v>254.37</v>
      </c>
      <c r="AV11" s="22">
        <f>[22]APE!$J$43</f>
        <v>387.68799999999999</v>
      </c>
      <c r="BB11" s="110">
        <f>SUM(AP11:INDEX(AP11:AR11,IF($B$2&lt;3,$B$2,3)))</f>
        <v>1149.702</v>
      </c>
      <c r="BC11" s="110">
        <f>SUM(AS11:INDEX(AS11:AU11,IF(AND($B$2&gt;3,$B$2&lt;7),$B$2-3,0)))</f>
        <v>1567.3885</v>
      </c>
      <c r="BD11" s="110">
        <f>SUM(AV11:INDEX(AV11:AX11,IF(AND($B$2&gt;6,$B$2&lt;10),$B$2-6,0)))</f>
        <v>387.68799999999999</v>
      </c>
      <c r="BE11" s="110">
        <f>SUM(AY11:INDEX(AY11:BA11,IF($B$2&gt;9,$B$2-9,0)))</f>
        <v>0</v>
      </c>
      <c r="BF11" s="110">
        <f>SUM($AP11:INDEX(AP11:BA11,$B$2))</f>
        <v>3104.7785000000003</v>
      </c>
      <c r="BG11" s="125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</row>
    <row r="12" spans="1:75" s="17" customFormat="1" x14ac:dyDescent="0.25">
      <c r="A12" s="20" t="str">
        <f t="shared" si="4"/>
        <v>APE_by_rookie_mdrt:Total</v>
      </c>
      <c r="B12" s="1" t="s">
        <v>186</v>
      </c>
      <c r="C12" s="7">
        <f>SUM(C4:C10)</f>
        <v>5229.46</v>
      </c>
      <c r="D12" s="7">
        <f t="shared" ref="D12" si="27">SUM(D4:D10)</f>
        <v>4953.427999999999</v>
      </c>
      <c r="E12" s="7">
        <f t="shared" ref="E12" si="28">SUM(E4:E10)</f>
        <v>10867.875</v>
      </c>
      <c r="F12" s="7">
        <f t="shared" ref="F12" si="29">SUM(F4:F10)</f>
        <v>14017.172000000002</v>
      </c>
      <c r="G12" s="7">
        <f t="shared" ref="G12" si="30">SUM(G4:G10)</f>
        <v>11357.576000000001</v>
      </c>
      <c r="H12" s="7">
        <f t="shared" ref="H12" si="31">SUM(H4:H10)</f>
        <v>18852.465999999989</v>
      </c>
      <c r="I12" s="7">
        <f t="shared" ref="I12" si="32">SUM(I4:I10)</f>
        <v>16582.022999999997</v>
      </c>
      <c r="J12" s="7">
        <f t="shared" ref="J12" si="33">SUM(J4:J10)</f>
        <v>10057.414999999999</v>
      </c>
      <c r="K12" s="7">
        <f t="shared" ref="K12" si="34">SUM(K4:K10)</f>
        <v>21958.389999999992</v>
      </c>
      <c r="L12" s="7">
        <f t="shared" ref="L12" si="35">SUM(L4:L10)</f>
        <v>13825.28199999999</v>
      </c>
      <c r="M12" s="7">
        <f t="shared" ref="M12" si="36">SUM(M4:M10)</f>
        <v>21610.269000000011</v>
      </c>
      <c r="N12" s="7">
        <f t="shared" ref="N12" si="37">SUM(N4:N10)</f>
        <v>34303.053999999975</v>
      </c>
      <c r="O12" s="7">
        <f t="shared" ref="O12" si="38">SUM(O4:O10)</f>
        <v>6062.5229999999992</v>
      </c>
      <c r="P12" s="7">
        <f t="shared" ref="P12" si="39">SUM(P4:P10)</f>
        <v>6799.4349999999695</v>
      </c>
      <c r="Q12" s="7">
        <f t="shared" ref="Q12" si="40">SUM(Q4:Q10)</f>
        <v>17827.882999999991</v>
      </c>
      <c r="R12" s="7">
        <f t="shared" ref="R12" si="41">SUM(R4:R10)</f>
        <v>18291.496999999999</v>
      </c>
      <c r="S12" s="7">
        <f t="shared" ref="S12" si="42">SUM(S4:S10)</f>
        <v>13673.798000000003</v>
      </c>
      <c r="T12" s="7">
        <f t="shared" ref="T12" si="43">SUM(T4:T10)</f>
        <v>17473.260000000002</v>
      </c>
      <c r="U12" s="7">
        <f t="shared" ref="U12" si="44">SUM(U4:U10)</f>
        <v>14170.758</v>
      </c>
      <c r="V12" s="7">
        <f t="shared" ref="V12" si="45">SUM(V4:V10)</f>
        <v>14052.285</v>
      </c>
      <c r="W12" s="7">
        <f t="shared" ref="W12" si="46">SUM(W4:W10)</f>
        <v>20224.288999999997</v>
      </c>
      <c r="X12" s="7">
        <f t="shared" ref="X12" si="47">SUM(X4:X10)</f>
        <v>18360.918999999998</v>
      </c>
      <c r="Y12" s="7">
        <f t="shared" ref="Y12" si="48">SUM(Y4:Y10)</f>
        <v>27633.948000000037</v>
      </c>
      <c r="Z12" s="7">
        <f t="shared" ref="Z12" si="49">SUM(Z4:Z10)</f>
        <v>44997.842000000113</v>
      </c>
      <c r="AA12" s="7">
        <f t="shared" ref="AA12:AE12" si="50">SUM(AA4:AA10)</f>
        <v>94299.15399999998</v>
      </c>
      <c r="AB12" s="7">
        <f t="shared" si="50"/>
        <v>30689.840999999957</v>
      </c>
      <c r="AC12" s="7">
        <f t="shared" si="50"/>
        <v>49438.555000000008</v>
      </c>
      <c r="AD12" s="7">
        <f t="shared" si="50"/>
        <v>48447.331999999995</v>
      </c>
      <c r="AE12" s="7">
        <f t="shared" si="50"/>
        <v>90992.709000000148</v>
      </c>
      <c r="AF12" s="7">
        <f>SUM(AF4:AF10)</f>
        <v>81859.999999999985</v>
      </c>
      <c r="AG12" s="7">
        <f t="shared" ref="AG12:AJ12" si="51">SUM(AG4:AG10)</f>
        <v>21050.763000000003</v>
      </c>
      <c r="AH12" s="7">
        <f t="shared" si="51"/>
        <v>44227.214</v>
      </c>
      <c r="AI12" s="7">
        <f t="shared" si="0"/>
        <v>48597.827999999987</v>
      </c>
      <c r="AJ12" s="7">
        <f t="shared" si="51"/>
        <v>69738.604999999981</v>
      </c>
      <c r="AK12" s="31">
        <f t="shared" si="12"/>
        <v>0.15195643782066948</v>
      </c>
      <c r="AL12" s="31">
        <f t="shared" si="1"/>
        <v>0.45789684677937581</v>
      </c>
      <c r="AM12" s="31">
        <f t="shared" si="1"/>
        <v>0.11783109376955125</v>
      </c>
      <c r="AN12" s="31">
        <f>SUM(U12:W12)/SUM(I12:INDEX(I12:K12,MOD($B$2,3)))-1</f>
        <v>1.9216780123872703</v>
      </c>
      <c r="AO12" s="31">
        <f>AE12/SUM(L12:INDEX(L12:N12,MOD($B$2,3)))-1</f>
        <v>5.5816168523723579</v>
      </c>
      <c r="AP12" s="7">
        <f t="shared" ref="AP12" si="52">SUM(AP4:AP10)</f>
        <v>12769.655000000001</v>
      </c>
      <c r="AQ12" s="7">
        <f t="shared" ref="AQ12:AV12" si="53">SUM(AQ4:AQ11)</f>
        <v>20969.710000000014</v>
      </c>
      <c r="AR12" s="7">
        <f t="shared" si="53"/>
        <v>27560.079999999998</v>
      </c>
      <c r="AS12" s="7">
        <f t="shared" si="53"/>
        <v>24462.638000000021</v>
      </c>
      <c r="AT12" s="7">
        <f t="shared" si="53"/>
        <v>31187.96</v>
      </c>
      <c r="AU12" s="7">
        <f t="shared" si="53"/>
        <v>30762.36</v>
      </c>
      <c r="AV12" s="7">
        <f t="shared" si="53"/>
        <v>23223.964000000007</v>
      </c>
      <c r="AW12" s="7"/>
      <c r="BB12" s="116">
        <f>SUM(AP12:INDEX(AP12:AR12,IF($B$2&lt;3,$B$2,3)))</f>
        <v>61299.445000000007</v>
      </c>
      <c r="BC12" s="116">
        <f>SUM(AS12:INDEX(AS12:AU12,IF(AND($B$2&gt;3,$B$2&lt;7),$B$2-3,0)))</f>
        <v>86412.958000000013</v>
      </c>
      <c r="BD12" s="116">
        <f>SUM(AV12:INDEX(AV12:AX12,IF(AND($B$2&gt;6,$B$2&lt;10),$B$2-6,0)))</f>
        <v>23223.964000000007</v>
      </c>
      <c r="BE12" s="116">
        <f>SUM(AY12:INDEX(AY12:BA12,IF($B$2&gt;9,$B$2-9,0)))</f>
        <v>0</v>
      </c>
      <c r="BF12" s="116">
        <f>SUM($AP12:INDEX(AP12:BA12,$B$2))</f>
        <v>170936.36700000006</v>
      </c>
      <c r="BG12" s="126">
        <f t="shared" si="13"/>
        <v>2.1063268543476044</v>
      </c>
      <c r="BH12" s="111">
        <f t="shared" si="14"/>
        <v>3.0840371295556332</v>
      </c>
      <c r="BI12" s="111">
        <f t="shared" si="15"/>
        <v>1.5458975134624797</v>
      </c>
      <c r="BJ12" s="111">
        <f t="shared" si="16"/>
        <v>1.3373775804134578</v>
      </c>
      <c r="BK12" s="111">
        <f t="shared" si="17"/>
        <v>2.2808556920323082</v>
      </c>
      <c r="BL12" s="111">
        <f t="shared" si="18"/>
        <v>1.7605392468262933</v>
      </c>
      <c r="BM12" s="111">
        <f t="shared" si="19"/>
        <v>1.6388653309865293</v>
      </c>
      <c r="BN12" s="111">
        <f t="shared" si="20"/>
        <v>0</v>
      </c>
      <c r="BO12" s="111">
        <f t="shared" si="21"/>
        <v>0</v>
      </c>
      <c r="BP12" s="111">
        <f t="shared" si="22"/>
        <v>0</v>
      </c>
      <c r="BQ12" s="111">
        <f t="shared" si="23"/>
        <v>0</v>
      </c>
      <c r="BR12" s="111">
        <f t="shared" si="24"/>
        <v>0</v>
      </c>
      <c r="BS12" s="111">
        <f>BB12/SUM(O12:INDEX(O12:Q12,IF($B$2&lt;3,$B$2,3)))</f>
        <v>1.9973855517856898</v>
      </c>
      <c r="BT12" s="111">
        <f>BC12/SUM(R12:INDEX(R12:T12,IF($B$2&lt;7,$B$2-3,3)))</f>
        <v>1.7478859970725278</v>
      </c>
      <c r="BU12" s="111">
        <f>BD12/SUM(U12:INDEX(U12:W12,$AV$2))</f>
        <v>1.6388653309865293</v>
      </c>
      <c r="BV12" s="111">
        <f t="shared" si="25"/>
        <v>0</v>
      </c>
      <c r="BW12" s="111">
        <f t="shared" si="26"/>
        <v>1.8127030810902089</v>
      </c>
    </row>
    <row r="13" spans="1:75" x14ac:dyDescent="0.25">
      <c r="A13" s="20" t="str">
        <f t="shared" si="4"/>
        <v>APE_by_rookie_mdrt:SP 100%</v>
      </c>
      <c r="B13" t="s">
        <v>63</v>
      </c>
      <c r="C13" s="69">
        <v>0</v>
      </c>
      <c r="D13" s="69">
        <v>0</v>
      </c>
      <c r="E13" s="69">
        <v>792.65000000000009</v>
      </c>
      <c r="F13" s="69">
        <v>1106.6690000000001</v>
      </c>
      <c r="G13" s="69">
        <v>212.9</v>
      </c>
      <c r="H13" s="69">
        <v>16147.084999999999</v>
      </c>
      <c r="I13" s="69">
        <v>3481.585</v>
      </c>
      <c r="J13" s="69">
        <v>5354.9935999999998</v>
      </c>
      <c r="K13" s="69">
        <v>5932.9479999999994</v>
      </c>
      <c r="L13" s="69">
        <v>3172.6114000000002</v>
      </c>
      <c r="M13" s="69">
        <v>2567.877</v>
      </c>
      <c r="N13" s="69">
        <v>3953.7190000000001</v>
      </c>
      <c r="O13" s="69">
        <v>450.49400000000003</v>
      </c>
      <c r="P13" s="69">
        <v>1381.87</v>
      </c>
      <c r="Q13" s="69">
        <v>1194.8430000000001</v>
      </c>
      <c r="R13" s="69">
        <v>1646.8620000000001</v>
      </c>
      <c r="S13" s="69">
        <v>1813.2989999999998</v>
      </c>
      <c r="T13" s="69">
        <v>1070.7864</v>
      </c>
      <c r="U13" s="69">
        <v>1961.0217</v>
      </c>
      <c r="V13" s="69">
        <v>971</v>
      </c>
      <c r="W13" s="69">
        <v>2933.761</v>
      </c>
      <c r="X13" s="69">
        <f>SUM([14]APE!$N$34:$N$40)</f>
        <v>4070.6504999999997</v>
      </c>
      <c r="Y13" s="69">
        <f>SUM([24]APE!$N$34:$N$40)</f>
        <v>5327.8155999999999</v>
      </c>
      <c r="Z13" s="69">
        <f>SUM([15]APE!$N$34:$N$40)</f>
        <v>2640.0866999999998</v>
      </c>
      <c r="AA13" s="70">
        <f>SUM(O13:INDEX(O13:Z13,$B$2))</f>
        <v>9519.1761000000006</v>
      </c>
      <c r="AB13" s="22">
        <f t="shared" ref="AB13" si="54">SUM(O13:Q13)</f>
        <v>3027.2070000000003</v>
      </c>
      <c r="AC13" s="22">
        <f t="shared" ref="AC13" si="55">SUM(R13:T13)</f>
        <v>4530.9474</v>
      </c>
      <c r="AD13" s="22">
        <f t="shared" ref="AD13" si="56">SUM(U13:W13)</f>
        <v>5865.7826999999997</v>
      </c>
      <c r="AE13" s="22">
        <f t="shared" ref="AE13" si="57">SUM(X13:Z13)</f>
        <v>12038.552799999999</v>
      </c>
      <c r="AF13" s="6">
        <f>SUM(C13                                                                                : INDEX(C13:N13,$B$2))</f>
        <v>21740.888999999999</v>
      </c>
      <c r="AG13" s="6">
        <f t="shared" ref="AG13" si="58">SUM(C13:E13)</f>
        <v>792.65000000000009</v>
      </c>
      <c r="AH13" s="6">
        <f t="shared" ref="AH13" si="59">SUM(F13:H13)</f>
        <v>17466.653999999999</v>
      </c>
      <c r="AI13" s="6">
        <f t="shared" si="0"/>
        <v>14769.526600000001</v>
      </c>
      <c r="AJ13" s="6">
        <f t="shared" ref="AJ13" si="60">SUM(L13:N13)</f>
        <v>9694.2073999999993</v>
      </c>
      <c r="AK13" s="31">
        <f t="shared" ref="AK13" si="61">AA13/AF13-1</f>
        <v>-0.56215331856944761</v>
      </c>
      <c r="AL13" s="31">
        <f t="shared" ref="AL13" si="62">AB13/AG13-1</f>
        <v>2.8190967009398853</v>
      </c>
      <c r="AM13" s="31">
        <f t="shared" ref="AM13" si="63">AC13/AH13-1</f>
        <v>-0.74059442638527107</v>
      </c>
      <c r="AN13" s="31">
        <f>SUM(U13:W13)/SUM(I13:INDEX(I13:K13,MOD($B$2,3)))-1</f>
        <v>0.68480238167386398</v>
      </c>
      <c r="AO13" s="31">
        <f>AE13/SUM(L13:INDEX(L13:N13,MOD($B$2,3)))-1</f>
        <v>2.7945248510422673</v>
      </c>
      <c r="AP13" s="69">
        <f>SUM([16]APE!$N34:N$40)</f>
        <v>4861.7790000000005</v>
      </c>
      <c r="AQ13" s="69">
        <f>SUM([16]APE!$N34:O$40)</f>
        <v>4861.7790000000005</v>
      </c>
      <c r="AR13" s="69">
        <f>SUM([18]APE!$N$36:$N$43)</f>
        <v>3315.1</v>
      </c>
      <c r="AS13" s="69">
        <f>SUM([19]APE!$N$36:$N$43)</f>
        <v>744.16</v>
      </c>
      <c r="AT13" s="69">
        <f>SUM([20]APE!$N$36:$N$43)</f>
        <v>2678.91</v>
      </c>
      <c r="AU13" s="69">
        <f>SUM([21]APE!$N$36:$N$43)</f>
        <v>4838.45</v>
      </c>
      <c r="AV13" s="69">
        <f>SUM([22]APE!$N$36:$N$43)</f>
        <v>2121.7335999999996</v>
      </c>
      <c r="BB13" s="116">
        <f>SUM(AP13:INDEX(AP13:AR13,IF($B$2&lt;3,$B$2,3)))</f>
        <v>13038.658000000001</v>
      </c>
      <c r="BC13" s="116">
        <f>SUM(AS13:INDEX(AS13:AU13,IF(AND($B$2&gt;3,$B$2&lt;7),$B$2-3,0)))</f>
        <v>8261.52</v>
      </c>
      <c r="BD13" s="116">
        <f>SUM(AV13:INDEX(AV13:AX13,IF(AND($B$2&gt;6,$B$2&lt;10),$B$2-6,0)))</f>
        <v>2121.7335999999996</v>
      </c>
      <c r="BE13" s="116">
        <f>SUM(AY13:INDEX(AY13:BA13,IF($B$2&gt;9,$B$2-9,0)))</f>
        <v>0</v>
      </c>
      <c r="BF13" s="116">
        <f>SUM($AP13:INDEX(AP13:BA13,$B$2))</f>
        <v>23421.911600000003</v>
      </c>
      <c r="BG13" s="125">
        <f t="shared" si="13"/>
        <v>10.792105999191998</v>
      </c>
      <c r="BH13" s="111">
        <f t="shared" si="14"/>
        <v>3.5182607625898243</v>
      </c>
      <c r="BI13" s="111">
        <f t="shared" si="15"/>
        <v>2.77450677620407</v>
      </c>
      <c r="BJ13" s="111">
        <f t="shared" si="16"/>
        <v>0.45186542648989408</v>
      </c>
      <c r="BK13" s="111">
        <f t="shared" si="17"/>
        <v>1.4773680457552782</v>
      </c>
      <c r="BL13" s="111">
        <f t="shared" si="18"/>
        <v>4.5185949317249454</v>
      </c>
      <c r="BM13" s="111">
        <f t="shared" si="19"/>
        <v>1.0819531471783304</v>
      </c>
      <c r="BN13" s="111">
        <f t="shared" si="20"/>
        <v>0</v>
      </c>
      <c r="BO13" s="111">
        <f t="shared" si="21"/>
        <v>0</v>
      </c>
      <c r="BP13" s="111">
        <f t="shared" si="22"/>
        <v>0</v>
      </c>
      <c r="BQ13" s="111">
        <f t="shared" si="23"/>
        <v>0</v>
      </c>
      <c r="BR13" s="111">
        <f t="shared" si="24"/>
        <v>0</v>
      </c>
      <c r="BS13" s="111">
        <f>BB13/SUM(O13:INDEX(O13:Q13,IF($B$2&lt;3,$B$2,3)))</f>
        <v>4.3071577199709168</v>
      </c>
      <c r="BT13" s="111">
        <f>BC13/SUM(R13:INDEX(R13:T13,IF($B$2&lt;7,$B$2-3,3)))</f>
        <v>1.8233537648219003</v>
      </c>
      <c r="BU13" s="111">
        <f>BD13/SUM(U13:INDEX(U13:W13,$AV$2))</f>
        <v>1.0819531471783304</v>
      </c>
      <c r="BV13" s="111">
        <f t="shared" si="25"/>
        <v>0</v>
      </c>
      <c r="BW13" s="111">
        <f t="shared" si="26"/>
        <v>2.4604977735415572</v>
      </c>
    </row>
    <row r="14" spans="1:75" x14ac:dyDescent="0.25">
      <c r="A14" s="20" t="s">
        <v>226</v>
      </c>
      <c r="B14" t="s">
        <v>187</v>
      </c>
      <c r="C14" s="6">
        <f t="shared" ref="C14:AH14" si="64">C12+C13*0.1</f>
        <v>5229.46</v>
      </c>
      <c r="D14" s="6">
        <f t="shared" si="64"/>
        <v>4953.427999999999</v>
      </c>
      <c r="E14" s="6">
        <f t="shared" si="64"/>
        <v>10947.14</v>
      </c>
      <c r="F14" s="6">
        <f t="shared" si="64"/>
        <v>14127.838900000002</v>
      </c>
      <c r="G14" s="6">
        <f t="shared" si="64"/>
        <v>11378.866000000002</v>
      </c>
      <c r="H14" s="6">
        <f t="shared" si="64"/>
        <v>20467.17449999999</v>
      </c>
      <c r="I14" s="6">
        <f t="shared" si="64"/>
        <v>16930.181499999999</v>
      </c>
      <c r="J14" s="6">
        <f t="shared" si="64"/>
        <v>10592.914359999999</v>
      </c>
      <c r="K14" s="6">
        <f t="shared" si="64"/>
        <v>22551.684799999992</v>
      </c>
      <c r="L14" s="6">
        <f t="shared" si="64"/>
        <v>14142.543139999991</v>
      </c>
      <c r="M14" s="6">
        <f t="shared" si="64"/>
        <v>21867.056700000012</v>
      </c>
      <c r="N14" s="6">
        <f t="shared" si="64"/>
        <v>34698.425899999973</v>
      </c>
      <c r="O14" s="6">
        <f t="shared" si="64"/>
        <v>6107.5723999999991</v>
      </c>
      <c r="P14" s="6">
        <f t="shared" si="64"/>
        <v>6937.6219999999694</v>
      </c>
      <c r="Q14" s="6">
        <f t="shared" si="64"/>
        <v>17947.367299999991</v>
      </c>
      <c r="R14" s="6">
        <f t="shared" si="64"/>
        <v>18456.183199999999</v>
      </c>
      <c r="S14" s="6">
        <f t="shared" si="64"/>
        <v>13855.127900000003</v>
      </c>
      <c r="T14" s="6">
        <f t="shared" si="64"/>
        <v>17580.338640000002</v>
      </c>
      <c r="U14" s="6">
        <f t="shared" si="64"/>
        <v>14366.86017</v>
      </c>
      <c r="V14" s="6">
        <f t="shared" si="64"/>
        <v>14149.385</v>
      </c>
      <c r="W14" s="6">
        <f t="shared" si="64"/>
        <v>20517.665099999998</v>
      </c>
      <c r="X14" s="6">
        <f t="shared" si="64"/>
        <v>18767.984049999999</v>
      </c>
      <c r="Y14" s="6">
        <f t="shared" si="64"/>
        <v>28166.729560000036</v>
      </c>
      <c r="Z14" s="6">
        <f t="shared" si="64"/>
        <v>45261.850670000116</v>
      </c>
      <c r="AA14" s="22">
        <f t="shared" si="64"/>
        <v>95251.071609999985</v>
      </c>
      <c r="AB14" s="22">
        <f t="shared" si="64"/>
        <v>30992.561699999958</v>
      </c>
      <c r="AC14" s="22">
        <f t="shared" si="64"/>
        <v>49891.649740000008</v>
      </c>
      <c r="AD14" s="22">
        <f t="shared" si="64"/>
        <v>49033.910269999993</v>
      </c>
      <c r="AE14" s="22">
        <f t="shared" si="64"/>
        <v>92196.564280000151</v>
      </c>
      <c r="AF14" s="22">
        <f t="shared" si="64"/>
        <v>84034.088899999988</v>
      </c>
      <c r="AG14" s="22">
        <f t="shared" si="64"/>
        <v>21130.028000000002</v>
      </c>
      <c r="AH14" s="22">
        <f t="shared" si="64"/>
        <v>45973.879399999998</v>
      </c>
      <c r="AI14" s="22">
        <f t="shared" si="0"/>
        <v>50074.780659999989</v>
      </c>
      <c r="AJ14" s="22">
        <f>AJ12+AJ13*0.1</f>
        <v>70708.025739999983</v>
      </c>
      <c r="AP14" s="6">
        <f t="shared" ref="AP14:AV14" si="65">AP12+AP13*0.1</f>
        <v>13255.832900000001</v>
      </c>
      <c r="AQ14" s="6">
        <f t="shared" si="65"/>
        <v>21455.887900000012</v>
      </c>
      <c r="AR14" s="6">
        <f t="shared" si="65"/>
        <v>27891.589999999997</v>
      </c>
      <c r="AS14" s="6">
        <f t="shared" si="65"/>
        <v>24537.054000000022</v>
      </c>
      <c r="AT14" s="6">
        <f t="shared" si="65"/>
        <v>31455.850999999999</v>
      </c>
      <c r="AU14" s="6">
        <f t="shared" si="65"/>
        <v>31246.205000000002</v>
      </c>
      <c r="AV14" s="6">
        <f t="shared" si="65"/>
        <v>23436.137360000008</v>
      </c>
      <c r="BB14" s="117">
        <f>BB12+BB13*0.1</f>
        <v>62603.310800000007</v>
      </c>
      <c r="BC14" s="117">
        <f>BC12+BC13*0.1</f>
        <v>87239.110000000015</v>
      </c>
      <c r="BD14" s="117">
        <f>BD12+BD13*0.1</f>
        <v>23436.137360000008</v>
      </c>
      <c r="BE14" s="117">
        <f>BE12+BE13*0.1</f>
        <v>0</v>
      </c>
      <c r="BF14" s="117">
        <f>BF12+BF13*0.1</f>
        <v>173278.55816000004</v>
      </c>
      <c r="BG14" s="125">
        <f t="shared" si="13"/>
        <v>2.1703930844929489</v>
      </c>
      <c r="BH14" s="111">
        <f t="shared" si="13"/>
        <v>3.0926862115001521</v>
      </c>
      <c r="BI14" s="111">
        <f t="shared" si="15"/>
        <v>1.5540769592429309</v>
      </c>
      <c r="BJ14" s="111">
        <f t="shared" si="16"/>
        <v>1.3294760749882468</v>
      </c>
      <c r="BK14" s="111">
        <f t="shared" si="17"/>
        <v>2.2703399944795883</v>
      </c>
      <c r="BL14" s="111">
        <f t="shared" si="18"/>
        <v>1.7773380615607981</v>
      </c>
      <c r="BM14" s="111">
        <f t="shared" si="19"/>
        <v>1.6312636917659935</v>
      </c>
      <c r="BS14" s="111">
        <f>BB14/SUM(O14:INDEX(O14:Q14,IF($B$2&lt;3,$B$2,3)))</f>
        <v>2.0199463150540438</v>
      </c>
      <c r="BT14" s="111">
        <f>BC14/SUM(R14:INDEX(R14:T14,IF($B$2&lt;7,$B$2-3,3)))</f>
        <v>1.748571363236705</v>
      </c>
      <c r="BU14" s="111">
        <f>BD14/SUM(U14:INDEX(U14:W14,$AV$2))</f>
        <v>1.6312636917659935</v>
      </c>
      <c r="BW14" s="111">
        <f>BF14/AA14</f>
        <v>1.8191769943489886</v>
      </c>
    </row>
    <row r="15" spans="1:75" x14ac:dyDescent="0.25">
      <c r="A15" s="20" t="s">
        <v>225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P15" s="6">
        <f t="shared" ref="AP15:AT15" si="66">AP14-AP11</f>
        <v>13255.832900000001</v>
      </c>
      <c r="AQ15" s="6">
        <f t="shared" si="66"/>
        <v>20914.435900000011</v>
      </c>
      <c r="AR15" s="6">
        <f t="shared" si="66"/>
        <v>27283.339999999997</v>
      </c>
      <c r="AS15" s="6">
        <f t="shared" si="66"/>
        <v>23707.005500000021</v>
      </c>
      <c r="AT15" s="6">
        <f t="shared" si="66"/>
        <v>30972.880999999998</v>
      </c>
      <c r="AU15" s="6">
        <f>AU14-AU11</f>
        <v>30991.835000000003</v>
      </c>
      <c r="AV15" s="6">
        <f>AV14-AV11</f>
        <v>23048.44936000001</v>
      </c>
      <c r="BB15" s="117"/>
      <c r="BC15" s="117"/>
      <c r="BD15" s="117"/>
      <c r="BE15" s="117"/>
      <c r="BF15" s="117"/>
      <c r="BG15" s="125"/>
      <c r="BH15" s="111"/>
      <c r="BI15" s="111"/>
      <c r="BJ15" s="111"/>
      <c r="BK15" s="111"/>
      <c r="BL15" s="111"/>
      <c r="BM15" s="111"/>
      <c r="BS15" s="111"/>
      <c r="BT15" s="111"/>
      <c r="BU15" s="111"/>
      <c r="BW15" s="111"/>
    </row>
    <row r="16" spans="1:75" x14ac:dyDescent="0.25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P16" s="6"/>
      <c r="AQ16" s="6"/>
      <c r="AR16" s="6"/>
      <c r="AS16" s="6"/>
      <c r="AT16" s="6"/>
      <c r="AU16" s="6"/>
      <c r="AV16" s="6"/>
      <c r="BB16" s="117"/>
      <c r="BC16" s="117"/>
      <c r="BD16" s="117"/>
      <c r="BE16" s="117"/>
      <c r="BF16" s="117"/>
      <c r="BG16" s="125"/>
      <c r="BH16" s="111"/>
      <c r="BI16" s="111"/>
      <c r="BJ16" s="111"/>
      <c r="BK16" s="111"/>
      <c r="BL16" s="111"/>
      <c r="BM16" s="111"/>
      <c r="BS16" s="111"/>
      <c r="BT16" s="111"/>
      <c r="BU16" s="111"/>
      <c r="BW16" s="111"/>
    </row>
    <row r="17" spans="1:75" s="17" customFormat="1" x14ac:dyDescent="0.25">
      <c r="A17" s="20"/>
      <c r="B17" s="2" t="s">
        <v>9</v>
      </c>
      <c r="C17" s="3">
        <f t="shared" ref="C17:Z17" si="67">C3</f>
        <v>42005</v>
      </c>
      <c r="D17" s="3">
        <f t="shared" si="67"/>
        <v>42036</v>
      </c>
      <c r="E17" s="3">
        <f t="shared" si="67"/>
        <v>42064</v>
      </c>
      <c r="F17" s="3">
        <f t="shared" si="67"/>
        <v>42095</v>
      </c>
      <c r="G17" s="3">
        <f t="shared" si="67"/>
        <v>42125</v>
      </c>
      <c r="H17" s="3">
        <f t="shared" si="67"/>
        <v>42156</v>
      </c>
      <c r="I17" s="3">
        <f t="shared" si="67"/>
        <v>42186</v>
      </c>
      <c r="J17" s="3">
        <f t="shared" si="67"/>
        <v>42217</v>
      </c>
      <c r="K17" s="3">
        <f t="shared" si="67"/>
        <v>42248</v>
      </c>
      <c r="L17" s="3">
        <f t="shared" si="67"/>
        <v>42278</v>
      </c>
      <c r="M17" s="3">
        <f t="shared" si="67"/>
        <v>42309</v>
      </c>
      <c r="N17" s="3">
        <f t="shared" si="67"/>
        <v>42339</v>
      </c>
      <c r="O17" s="3">
        <f t="shared" si="67"/>
        <v>42370</v>
      </c>
      <c r="P17" s="3">
        <f t="shared" si="67"/>
        <v>42401</v>
      </c>
      <c r="Q17" s="3">
        <f t="shared" si="67"/>
        <v>42430</v>
      </c>
      <c r="R17" s="3">
        <f t="shared" si="67"/>
        <v>42461</v>
      </c>
      <c r="S17" s="3">
        <f t="shared" si="67"/>
        <v>42491</v>
      </c>
      <c r="T17" s="3">
        <f t="shared" si="67"/>
        <v>42522</v>
      </c>
      <c r="U17" s="3">
        <f t="shared" si="67"/>
        <v>42552</v>
      </c>
      <c r="V17" s="3">
        <f t="shared" si="67"/>
        <v>42583</v>
      </c>
      <c r="W17" s="3">
        <f t="shared" si="67"/>
        <v>42614</v>
      </c>
      <c r="X17" s="3">
        <f t="shared" si="67"/>
        <v>42644</v>
      </c>
      <c r="Y17" s="3">
        <f t="shared" si="67"/>
        <v>42675</v>
      </c>
      <c r="Z17" s="3">
        <f t="shared" si="67"/>
        <v>42705</v>
      </c>
      <c r="AA17" s="29" t="str">
        <f>$AA$3</f>
        <v>YTD 7/16</v>
      </c>
      <c r="AB17" s="29" t="s">
        <v>19</v>
      </c>
      <c r="AC17" s="29" t="s">
        <v>20</v>
      </c>
      <c r="AD17" s="29" t="s">
        <v>21</v>
      </c>
      <c r="AE17" s="29" t="s">
        <v>22</v>
      </c>
      <c r="AF17" s="26" t="str">
        <f>AF3</f>
        <v>YTD 7/15</v>
      </c>
      <c r="AG17" s="26" t="str">
        <f>AG3</f>
        <v>Q1 '15</v>
      </c>
      <c r="AH17" s="26" t="str">
        <f>AH3</f>
        <v>Q2 '15</v>
      </c>
      <c r="AI17" s="26" t="str">
        <f>AI3</f>
        <v>Q3 '15</v>
      </c>
      <c r="AJ17" s="26" t="str">
        <f>AJ3</f>
        <v>Q4 '15</v>
      </c>
      <c r="AK17" s="30" t="s">
        <v>27</v>
      </c>
      <c r="AL17" s="30" t="s">
        <v>29</v>
      </c>
      <c r="AM17" s="30" t="s">
        <v>30</v>
      </c>
      <c r="AN17" s="30" t="s">
        <v>31</v>
      </c>
      <c r="AO17" s="30" t="s">
        <v>32</v>
      </c>
      <c r="AP17" s="108">
        <v>42736</v>
      </c>
      <c r="AQ17" s="108">
        <v>42767</v>
      </c>
      <c r="AR17" s="108">
        <v>42795</v>
      </c>
      <c r="AS17" s="108">
        <v>42826</v>
      </c>
      <c r="AT17" s="108">
        <v>42856</v>
      </c>
      <c r="AU17" s="108">
        <v>42887</v>
      </c>
      <c r="AV17" s="108">
        <v>42917</v>
      </c>
      <c r="AW17" s="108">
        <v>42948</v>
      </c>
      <c r="AX17" s="108">
        <v>42979</v>
      </c>
      <c r="AY17" s="108">
        <v>43009</v>
      </c>
      <c r="AZ17" s="108">
        <v>43040</v>
      </c>
      <c r="BA17" s="108">
        <v>43070</v>
      </c>
      <c r="BB17" s="29" t="s">
        <v>123</v>
      </c>
      <c r="BC17" s="29" t="s">
        <v>124</v>
      </c>
      <c r="BD17" s="29" t="s">
        <v>125</v>
      </c>
      <c r="BE17" s="29" t="s">
        <v>126</v>
      </c>
      <c r="BF17" s="29" t="str">
        <f>$BF$3</f>
        <v>YTD 7/17</v>
      </c>
      <c r="BG17" s="121">
        <v>42736</v>
      </c>
      <c r="BH17" s="108">
        <v>42767</v>
      </c>
      <c r="BI17" s="108">
        <v>42795</v>
      </c>
      <c r="BJ17" s="108">
        <v>42826</v>
      </c>
      <c r="BK17" s="108">
        <v>42856</v>
      </c>
      <c r="BL17" s="108">
        <v>42887</v>
      </c>
      <c r="BM17" s="108">
        <v>42917</v>
      </c>
      <c r="BN17" s="108">
        <v>42948</v>
      </c>
      <c r="BO17" s="108">
        <v>42979</v>
      </c>
      <c r="BP17" s="108">
        <v>43009</v>
      </c>
      <c r="BQ17" s="108">
        <v>43040</v>
      </c>
      <c r="BR17" s="108">
        <v>43070</v>
      </c>
      <c r="BS17" s="29" t="s">
        <v>127</v>
      </c>
      <c r="BT17" s="29" t="s">
        <v>128</v>
      </c>
      <c r="BU17" s="29" t="s">
        <v>96</v>
      </c>
      <c r="BV17" s="29" t="s">
        <v>129</v>
      </c>
      <c r="BW17" s="112" t="str">
        <f>BW2</f>
        <v>YoY</v>
      </c>
    </row>
    <row r="18" spans="1:75" x14ac:dyDescent="0.25">
      <c r="A18" s="20" t="str">
        <f>$B$17&amp;"_by_rookie_mdrt:"&amp;B18</f>
        <v># Manpower_by_rookie_mdrt:MDRT</v>
      </c>
      <c r="B18" t="s">
        <v>4</v>
      </c>
      <c r="C18" s="6">
        <v>34</v>
      </c>
      <c r="D18">
        <v>39</v>
      </c>
      <c r="E18">
        <v>43</v>
      </c>
      <c r="F18">
        <v>50</v>
      </c>
      <c r="G18">
        <v>52</v>
      </c>
      <c r="H18">
        <v>53</v>
      </c>
      <c r="I18">
        <v>53</v>
      </c>
      <c r="J18">
        <v>53</v>
      </c>
      <c r="K18">
        <v>53</v>
      </c>
      <c r="L18">
        <v>53</v>
      </c>
      <c r="M18">
        <v>50</v>
      </c>
      <c r="N18">
        <v>51</v>
      </c>
      <c r="O18">
        <v>80</v>
      </c>
      <c r="P18">
        <v>80</v>
      </c>
      <c r="Q18">
        <v>81</v>
      </c>
      <c r="R18">
        <v>81</v>
      </c>
      <c r="S18">
        <v>80</v>
      </c>
      <c r="T18">
        <v>77</v>
      </c>
      <c r="U18">
        <v>70</v>
      </c>
      <c r="V18">
        <v>70</v>
      </c>
      <c r="W18">
        <v>68</v>
      </c>
      <c r="X18">
        <f>[14]MP!AD14</f>
        <v>67</v>
      </c>
      <c r="Y18">
        <f>[24]MP!K40</f>
        <v>65</v>
      </c>
      <c r="Z18">
        <f>[15]MP!K40</f>
        <v>61</v>
      </c>
      <c r="AA18">
        <f>INDEX($O18:$Z18,'Full Agency'!$A$2)</f>
        <v>70</v>
      </c>
      <c r="AB18">
        <f t="shared" ref="AB18" si="68">Q18</f>
        <v>81</v>
      </c>
      <c r="AC18">
        <f t="shared" ref="AC18" si="69">T18</f>
        <v>77</v>
      </c>
      <c r="AD18">
        <f t="shared" ref="AD18" si="70">W18</f>
        <v>68</v>
      </c>
      <c r="AE18" s="22">
        <f>Y18</f>
        <v>65</v>
      </c>
      <c r="AF18" s="22">
        <f>INDEX($C18:$N18,$B$2)</f>
        <v>53</v>
      </c>
      <c r="AG18" s="22">
        <f t="shared" ref="AG18:AG26" si="71">E18</f>
        <v>43</v>
      </c>
      <c r="AH18" s="22">
        <f t="shared" ref="AH18:AH26" si="72">H18</f>
        <v>53</v>
      </c>
      <c r="AI18" s="22">
        <f t="shared" ref="AI18:AI26" si="73">K18</f>
        <v>53</v>
      </c>
      <c r="AJ18" s="22">
        <f t="shared" ref="AJ18:AJ26" si="74">N18</f>
        <v>51</v>
      </c>
      <c r="AK18" s="31">
        <f>AA18/AF18-1</f>
        <v>0.320754716981132</v>
      </c>
      <c r="AL18" s="31">
        <f t="shared" ref="AL18:AN26" si="75">AB18/AG18-1</f>
        <v>0.88372093023255816</v>
      </c>
      <c r="AM18" s="31">
        <f t="shared" si="75"/>
        <v>0.45283018867924518</v>
      </c>
      <c r="AN18" s="31">
        <f t="shared" si="75"/>
        <v>0.28301886792452824</v>
      </c>
      <c r="AO18" s="31">
        <f t="shared" ref="AO18" si="76">AE18/AJ18-1</f>
        <v>0.27450980392156854</v>
      </c>
      <c r="AP18" s="6">
        <f>[16]MP!K40</f>
        <v>97</v>
      </c>
      <c r="AQ18" s="22">
        <f>[17]MP!K41</f>
        <v>95</v>
      </c>
      <c r="AR18" s="22">
        <f>[18]MP!K41</f>
        <v>95</v>
      </c>
      <c r="AS18" s="22">
        <f>[19]MP!K41</f>
        <v>89</v>
      </c>
      <c r="AT18" s="22">
        <f>[20]MP!K41</f>
        <v>85</v>
      </c>
      <c r="AU18" s="22">
        <f>[21]MP!K41</f>
        <v>81</v>
      </c>
      <c r="AV18" s="22">
        <f>[22]MP!K41</f>
        <v>77</v>
      </c>
      <c r="BB18" s="22">
        <f>INDEX(AP18:AR18,IF($B$2&lt;3,$B$2,3))</f>
        <v>95</v>
      </c>
      <c r="BC18" s="22">
        <f>INDEX(AS18:AU18,IF($B$2&lt;7,$B$2-3,3))</f>
        <v>81</v>
      </c>
      <c r="BD18" s="22">
        <f>INDEX(AT18:AV18,IF($B$2&lt;7,$B$2-3,3))</f>
        <v>77</v>
      </c>
      <c r="BF18" s="22">
        <f>INDEX(AP18:BA18,$B$2)</f>
        <v>77</v>
      </c>
      <c r="BG18" s="122">
        <f>AP18/O18</f>
        <v>1.2124999999999999</v>
      </c>
      <c r="BH18" s="111">
        <f>AQ18/P18</f>
        <v>1.1875</v>
      </c>
      <c r="BI18" s="111">
        <f t="shared" ref="BI18:BJ24" si="77">AR18/Q18</f>
        <v>1.1728395061728396</v>
      </c>
      <c r="BJ18" s="111">
        <f t="shared" si="77"/>
        <v>1.0987654320987654</v>
      </c>
      <c r="BK18" s="111">
        <f t="shared" ref="BK18:BK24" si="78">AT18/S18</f>
        <v>1.0625</v>
      </c>
      <c r="BL18" s="111">
        <f>AU18/T18</f>
        <v>1.051948051948052</v>
      </c>
      <c r="BM18" s="111">
        <f>AV18/U18</f>
        <v>1.1000000000000001</v>
      </c>
      <c r="BS18" s="111">
        <f>BB18/INDEX(O18:Q18,IF($B$2&lt;3,$B$2,3))</f>
        <v>1.1728395061728396</v>
      </c>
      <c r="BT18" s="111">
        <f>BC18/INDEX(R18:T18,IF($B$2&lt;7,$B$2-3,3))</f>
        <v>1.051948051948052</v>
      </c>
      <c r="BU18" s="111">
        <f>BD18/INDEX(S18:U18,IF($B$2&lt;7,$B$2-3,3))</f>
        <v>1.1000000000000001</v>
      </c>
      <c r="BV18" s="111"/>
      <c r="BW18" s="111">
        <f>BF18/AA18</f>
        <v>1.1000000000000001</v>
      </c>
    </row>
    <row r="19" spans="1:75" x14ac:dyDescent="0.25">
      <c r="A19" s="20" t="str">
        <f t="shared" ref="A19:A26" si="79">$B$17&amp;"_by_rookie_mdrt:"&amp;B19</f>
        <v># Manpower_by_rookie_mdrt:Rookie in month</v>
      </c>
      <c r="B19" t="s">
        <v>5</v>
      </c>
      <c r="C19" s="6">
        <v>215</v>
      </c>
      <c r="D19">
        <v>68</v>
      </c>
      <c r="E19">
        <v>224</v>
      </c>
      <c r="F19">
        <v>301</v>
      </c>
      <c r="G19">
        <v>221</v>
      </c>
      <c r="H19">
        <v>256</v>
      </c>
      <c r="I19">
        <v>229</v>
      </c>
      <c r="J19">
        <v>227</v>
      </c>
      <c r="K19">
        <v>224</v>
      </c>
      <c r="L19">
        <v>185</v>
      </c>
      <c r="M19">
        <v>311</v>
      </c>
      <c r="N19">
        <v>248</v>
      </c>
      <c r="O19">
        <v>71</v>
      </c>
      <c r="P19">
        <v>74</v>
      </c>
      <c r="Q19">
        <v>320</v>
      </c>
      <c r="R19">
        <v>206</v>
      </c>
      <c r="S19">
        <v>213</v>
      </c>
      <c r="T19">
        <v>315</v>
      </c>
      <c r="U19">
        <v>246</v>
      </c>
      <c r="V19">
        <v>238</v>
      </c>
      <c r="W19">
        <v>330</v>
      </c>
      <c r="X19">
        <f>[14]MP!AD15</f>
        <v>305</v>
      </c>
      <c r="Y19">
        <f>[24]MP!K41</f>
        <v>377</v>
      </c>
      <c r="Z19">
        <f>[15]MP!K41</f>
        <v>381</v>
      </c>
      <c r="AA19">
        <f>INDEX($O19:$Z19,'Full Agency'!$A$2)</f>
        <v>246</v>
      </c>
      <c r="AB19">
        <f>Q19</f>
        <v>320</v>
      </c>
      <c r="AC19">
        <f>T19</f>
        <v>315</v>
      </c>
      <c r="AD19">
        <f>W19</f>
        <v>330</v>
      </c>
      <c r="AE19" s="22">
        <f t="shared" ref="AE19:AE26" si="80">Y19</f>
        <v>377</v>
      </c>
      <c r="AF19" s="22">
        <f t="shared" ref="AF19:AF26" si="81">INDEX($C19:$N19,$B$2)</f>
        <v>229</v>
      </c>
      <c r="AG19" s="22">
        <f t="shared" si="71"/>
        <v>224</v>
      </c>
      <c r="AH19" s="22">
        <f t="shared" si="72"/>
        <v>256</v>
      </c>
      <c r="AI19" s="22">
        <f t="shared" si="73"/>
        <v>224</v>
      </c>
      <c r="AJ19" s="22">
        <f t="shared" si="74"/>
        <v>248</v>
      </c>
      <c r="AK19" s="31">
        <f t="shared" ref="AK19:AK26" si="82">AA19/AF19-1</f>
        <v>7.4235807860262071E-2</v>
      </c>
      <c r="AL19" s="31">
        <f t="shared" si="75"/>
        <v>0.4285714285714286</v>
      </c>
      <c r="AM19" s="31">
        <f t="shared" si="75"/>
        <v>0.23046875</v>
      </c>
      <c r="AN19" s="31">
        <f t="shared" si="75"/>
        <v>0.47321428571428581</v>
      </c>
      <c r="AO19" s="31">
        <f>AE19/AJ19-1</f>
        <v>0.52016129032258074</v>
      </c>
      <c r="AP19" s="6">
        <f>[16]MP!K41</f>
        <v>189</v>
      </c>
      <c r="AQ19" s="22">
        <f>[17]MP!K42</f>
        <v>379</v>
      </c>
      <c r="AR19" s="22">
        <f>[18]MP!K42</f>
        <v>346</v>
      </c>
      <c r="AS19" s="22">
        <f>[19]MP!K42</f>
        <v>289</v>
      </c>
      <c r="AT19" s="22">
        <f>[20]MP!K42</f>
        <v>347</v>
      </c>
      <c r="AU19" s="22">
        <f>[21]MP!K42</f>
        <v>405</v>
      </c>
      <c r="AV19" s="22">
        <f>[22]MP!K42</f>
        <v>338</v>
      </c>
      <c r="BB19" s="22">
        <f t="shared" ref="BB19:BB26" si="83">INDEX(AP19:AR19,IF($B$2&lt;3,$B$2,3))</f>
        <v>346</v>
      </c>
      <c r="BC19" s="22">
        <f t="shared" ref="BC19:BD25" si="84">INDEX(AS19:AU19,IF($B$2&lt;7,$B$2-3,3))</f>
        <v>405</v>
      </c>
      <c r="BD19" s="22">
        <f t="shared" si="84"/>
        <v>338</v>
      </c>
      <c r="BF19" s="22">
        <f t="shared" ref="BF19:BF26" si="85">INDEX(AP19:BA19,$B$2)</f>
        <v>338</v>
      </c>
      <c r="BG19" s="122">
        <f t="shared" ref="BG19:BH26" si="86">AP19/O19</f>
        <v>2.6619718309859155</v>
      </c>
      <c r="BH19" s="111">
        <f t="shared" si="86"/>
        <v>5.1216216216216219</v>
      </c>
      <c r="BI19" s="111">
        <f t="shared" si="77"/>
        <v>1.08125</v>
      </c>
      <c r="BJ19" s="111">
        <f t="shared" si="77"/>
        <v>1.4029126213592233</v>
      </c>
      <c r="BK19" s="111">
        <f t="shared" si="78"/>
        <v>1.6291079812206573</v>
      </c>
      <c r="BL19" s="111">
        <f t="shared" ref="BL19:BL24" si="87">AU19/T19</f>
        <v>1.2857142857142858</v>
      </c>
      <c r="BM19" s="111">
        <f t="shared" ref="BM19:BM26" si="88">AV19/U19</f>
        <v>1.3739837398373984</v>
      </c>
      <c r="BS19" s="111">
        <f t="shared" ref="BS19:BS26" si="89">BB19/INDEX(O19:Q19,IF($B$2&lt;3,$B$2,3))</f>
        <v>1.08125</v>
      </c>
      <c r="BT19" s="111">
        <f t="shared" ref="BT19:BT26" si="90">BC19/INDEX(R19:T19,IF($B$2&lt;7,$B$2-3,3))</f>
        <v>1.2857142857142858</v>
      </c>
      <c r="BU19" s="111">
        <f t="shared" ref="BU19:BU26" si="91">BD19/INDEX(S19:U19,IF($B$2&lt;7,$B$2-3,3))</f>
        <v>1.3739837398373984</v>
      </c>
      <c r="BV19" s="111"/>
      <c r="BW19" s="111">
        <f t="shared" ref="BW19:BW26" si="92">BF19/AA19</f>
        <v>1.3739837398373984</v>
      </c>
    </row>
    <row r="20" spans="1:75" x14ac:dyDescent="0.25">
      <c r="A20" s="20" t="str">
        <f t="shared" si="79"/>
        <v># Manpower_by_rookie_mdrt:Rookie last month</v>
      </c>
      <c r="B20" t="s">
        <v>6</v>
      </c>
      <c r="C20" s="6">
        <v>237</v>
      </c>
      <c r="D20">
        <v>214</v>
      </c>
      <c r="E20">
        <v>68</v>
      </c>
      <c r="F20">
        <v>223</v>
      </c>
      <c r="G20">
        <v>297</v>
      </c>
      <c r="H20">
        <v>215</v>
      </c>
      <c r="I20">
        <v>249</v>
      </c>
      <c r="J20">
        <v>228</v>
      </c>
      <c r="K20">
        <v>215</v>
      </c>
      <c r="L20">
        <v>222</v>
      </c>
      <c r="M20">
        <v>181</v>
      </c>
      <c r="N20">
        <v>305</v>
      </c>
      <c r="O20">
        <v>246</v>
      </c>
      <c r="P20">
        <v>71</v>
      </c>
      <c r="Q20">
        <v>72</v>
      </c>
      <c r="R20">
        <v>319</v>
      </c>
      <c r="S20">
        <v>206</v>
      </c>
      <c r="T20">
        <v>213</v>
      </c>
      <c r="U20">
        <v>314</v>
      </c>
      <c r="V20">
        <v>245</v>
      </c>
      <c r="W20">
        <v>234</v>
      </c>
      <c r="X20">
        <f>[14]MP!AD16</f>
        <v>329</v>
      </c>
      <c r="Y20">
        <f>[24]MP!K42</f>
        <v>304</v>
      </c>
      <c r="Z20">
        <f>[15]MP!K42</f>
        <v>377</v>
      </c>
      <c r="AA20">
        <f>INDEX($O20:$Z20,'Full Agency'!$A$2)</f>
        <v>314</v>
      </c>
      <c r="AB20">
        <f t="shared" ref="AB20:AB26" si="93">Q20</f>
        <v>72</v>
      </c>
      <c r="AC20">
        <f t="shared" ref="AC20:AC26" si="94">T20</f>
        <v>213</v>
      </c>
      <c r="AD20">
        <f t="shared" ref="AD20:AD26" si="95">W20</f>
        <v>234</v>
      </c>
      <c r="AE20" s="22">
        <f t="shared" si="80"/>
        <v>304</v>
      </c>
      <c r="AF20" s="22">
        <f t="shared" si="81"/>
        <v>249</v>
      </c>
      <c r="AG20" s="22">
        <f t="shared" si="71"/>
        <v>68</v>
      </c>
      <c r="AH20" s="22">
        <f t="shared" si="72"/>
        <v>215</v>
      </c>
      <c r="AI20" s="22">
        <f t="shared" si="73"/>
        <v>215</v>
      </c>
      <c r="AJ20" s="22">
        <f t="shared" si="74"/>
        <v>305</v>
      </c>
      <c r="AK20" s="31">
        <f t="shared" si="82"/>
        <v>0.26104417670682722</v>
      </c>
      <c r="AL20" s="31">
        <f t="shared" si="75"/>
        <v>5.8823529411764719E-2</v>
      </c>
      <c r="AM20" s="31">
        <f t="shared" si="75"/>
        <v>-9.302325581395321E-3</v>
      </c>
      <c r="AN20" s="31">
        <f t="shared" si="75"/>
        <v>8.8372093023255882E-2</v>
      </c>
      <c r="AO20" s="31">
        <f t="shared" ref="AO20:AO26" si="96">AE20/AJ20-1</f>
        <v>-3.2786885245901232E-3</v>
      </c>
      <c r="AP20" s="6">
        <f>[16]MP!K42</f>
        <v>379</v>
      </c>
      <c r="AQ20" s="22">
        <f>[17]MP!K43</f>
        <v>189</v>
      </c>
      <c r="AR20" s="22">
        <f>[18]MP!K43</f>
        <v>379</v>
      </c>
      <c r="AS20" s="22">
        <f>[19]MP!K43</f>
        <v>332</v>
      </c>
      <c r="AT20" s="22">
        <f>[20]MP!K43</f>
        <v>286</v>
      </c>
      <c r="AU20" s="22">
        <f>[21]MP!K43</f>
        <v>324</v>
      </c>
      <c r="AV20" s="22">
        <f>[22]MP!K43</f>
        <v>399</v>
      </c>
      <c r="BB20" s="22">
        <f t="shared" si="83"/>
        <v>379</v>
      </c>
      <c r="BC20" s="22">
        <f t="shared" si="84"/>
        <v>324</v>
      </c>
      <c r="BD20" s="22">
        <f t="shared" si="84"/>
        <v>399</v>
      </c>
      <c r="BF20" s="22">
        <f t="shared" si="85"/>
        <v>399</v>
      </c>
      <c r="BG20" s="122">
        <f t="shared" si="86"/>
        <v>1.5406504065040652</v>
      </c>
      <c r="BH20" s="111">
        <f t="shared" si="86"/>
        <v>2.6619718309859155</v>
      </c>
      <c r="BI20" s="111">
        <f t="shared" si="77"/>
        <v>5.2638888888888893</v>
      </c>
      <c r="BJ20" s="111">
        <f t="shared" si="77"/>
        <v>1.0407523510971788</v>
      </c>
      <c r="BK20" s="111">
        <f t="shared" si="78"/>
        <v>1.3883495145631068</v>
      </c>
      <c r="BL20" s="111">
        <f t="shared" si="87"/>
        <v>1.5211267605633803</v>
      </c>
      <c r="BM20" s="111">
        <f t="shared" si="88"/>
        <v>1.2707006369426752</v>
      </c>
      <c r="BS20" s="111">
        <f t="shared" si="89"/>
        <v>5.2638888888888893</v>
      </c>
      <c r="BT20" s="111">
        <f t="shared" si="90"/>
        <v>1.5211267605633803</v>
      </c>
      <c r="BU20" s="111">
        <f t="shared" si="91"/>
        <v>1.2707006369426752</v>
      </c>
      <c r="BV20" s="111"/>
      <c r="BW20" s="111">
        <f t="shared" si="92"/>
        <v>1.2707006369426752</v>
      </c>
    </row>
    <row r="21" spans="1:75" x14ac:dyDescent="0.25">
      <c r="A21" s="20" t="str">
        <f t="shared" si="79"/>
        <v># Manpower_by_rookie_mdrt:2-3 months</v>
      </c>
      <c r="B21" t="s">
        <v>7</v>
      </c>
      <c r="C21" s="6">
        <v>296</v>
      </c>
      <c r="D21">
        <v>430</v>
      </c>
      <c r="E21">
        <v>439</v>
      </c>
      <c r="F21">
        <v>270</v>
      </c>
      <c r="G21">
        <v>256</v>
      </c>
      <c r="H21">
        <v>435</v>
      </c>
      <c r="I21">
        <v>430</v>
      </c>
      <c r="J21">
        <v>430</v>
      </c>
      <c r="K21">
        <v>414</v>
      </c>
      <c r="L21">
        <v>397</v>
      </c>
      <c r="M21">
        <v>398</v>
      </c>
      <c r="N21">
        <v>350</v>
      </c>
      <c r="O21">
        <v>464</v>
      </c>
      <c r="P21">
        <v>530</v>
      </c>
      <c r="Q21">
        <v>292</v>
      </c>
      <c r="R21">
        <v>140</v>
      </c>
      <c r="S21">
        <v>384</v>
      </c>
      <c r="T21">
        <v>492</v>
      </c>
      <c r="U21">
        <v>400</v>
      </c>
      <c r="V21">
        <v>499</v>
      </c>
      <c r="W21">
        <v>525</v>
      </c>
      <c r="X21">
        <f>[14]MP!AD17</f>
        <v>462</v>
      </c>
      <c r="Y21">
        <f>[24]MP!K43</f>
        <v>538</v>
      </c>
      <c r="Z21">
        <f>[15]MP!K43</f>
        <v>603</v>
      </c>
      <c r="AA21">
        <f>INDEX($O21:$Z21,'Full Agency'!$A$2)</f>
        <v>400</v>
      </c>
      <c r="AB21">
        <f t="shared" si="93"/>
        <v>292</v>
      </c>
      <c r="AC21">
        <f t="shared" si="94"/>
        <v>492</v>
      </c>
      <c r="AD21">
        <f t="shared" si="95"/>
        <v>525</v>
      </c>
      <c r="AE21" s="22">
        <f t="shared" si="80"/>
        <v>538</v>
      </c>
      <c r="AF21" s="22">
        <f t="shared" si="81"/>
        <v>430</v>
      </c>
      <c r="AG21" s="22">
        <f t="shared" si="71"/>
        <v>439</v>
      </c>
      <c r="AH21" s="22">
        <f t="shared" si="72"/>
        <v>435</v>
      </c>
      <c r="AI21" s="22">
        <f t="shared" si="73"/>
        <v>414</v>
      </c>
      <c r="AJ21" s="22">
        <f t="shared" si="74"/>
        <v>350</v>
      </c>
      <c r="AK21" s="31">
        <f t="shared" si="82"/>
        <v>-6.9767441860465129E-2</v>
      </c>
      <c r="AL21" s="31">
        <f t="shared" si="75"/>
        <v>-0.33485193621867881</v>
      </c>
      <c r="AM21" s="31">
        <f t="shared" si="75"/>
        <v>0.13103448275862073</v>
      </c>
      <c r="AN21" s="31">
        <f t="shared" si="75"/>
        <v>0.26811594202898559</v>
      </c>
      <c r="AO21" s="31">
        <f t="shared" si="96"/>
        <v>0.53714285714285714</v>
      </c>
      <c r="AP21" s="6">
        <f>[16]MP!K43</f>
        <v>658</v>
      </c>
      <c r="AQ21" s="22">
        <f>[17]MP!K44</f>
        <v>750</v>
      </c>
      <c r="AR21" s="22">
        <f>[18]MP!K44</f>
        <v>561</v>
      </c>
      <c r="AS21" s="22">
        <f>[19]MP!K44</f>
        <v>532</v>
      </c>
      <c r="AT21" s="22">
        <f>[20]MP!K44</f>
        <v>692</v>
      </c>
      <c r="AU21" s="22">
        <f>[21]MP!K44</f>
        <v>590</v>
      </c>
      <c r="AV21" s="22">
        <f>[22]MP!K44</f>
        <v>565</v>
      </c>
      <c r="BB21" s="22">
        <f t="shared" si="83"/>
        <v>561</v>
      </c>
      <c r="BC21" s="22">
        <f t="shared" si="84"/>
        <v>590</v>
      </c>
      <c r="BD21" s="22">
        <f t="shared" si="84"/>
        <v>565</v>
      </c>
      <c r="BF21" s="22">
        <f t="shared" si="85"/>
        <v>565</v>
      </c>
      <c r="BG21" s="122">
        <f t="shared" si="86"/>
        <v>1.4181034482758621</v>
      </c>
      <c r="BH21" s="111">
        <f t="shared" si="86"/>
        <v>1.4150943396226414</v>
      </c>
      <c r="BI21" s="111">
        <f t="shared" si="77"/>
        <v>1.9212328767123288</v>
      </c>
      <c r="BJ21" s="111">
        <f t="shared" si="77"/>
        <v>3.8</v>
      </c>
      <c r="BK21" s="111">
        <f t="shared" si="78"/>
        <v>1.8020833333333333</v>
      </c>
      <c r="BL21" s="111">
        <f t="shared" si="87"/>
        <v>1.1991869918699187</v>
      </c>
      <c r="BM21" s="111">
        <f t="shared" si="88"/>
        <v>1.4125000000000001</v>
      </c>
      <c r="BS21" s="111">
        <f t="shared" si="89"/>
        <v>1.9212328767123288</v>
      </c>
      <c r="BT21" s="111">
        <f t="shared" si="90"/>
        <v>1.1991869918699187</v>
      </c>
      <c r="BU21" s="111">
        <f t="shared" si="91"/>
        <v>1.4125000000000001</v>
      </c>
      <c r="BV21" s="111"/>
      <c r="BW21" s="111">
        <f t="shared" si="92"/>
        <v>1.4125000000000001</v>
      </c>
    </row>
    <row r="22" spans="1:75" x14ac:dyDescent="0.25">
      <c r="A22" s="20" t="str">
        <f t="shared" si="79"/>
        <v># Manpower_by_rookie_mdrt:4 - 6 mths</v>
      </c>
      <c r="B22" t="s">
        <v>8</v>
      </c>
      <c r="C22" s="6">
        <v>288</v>
      </c>
      <c r="D22">
        <v>289</v>
      </c>
      <c r="E22">
        <v>313</v>
      </c>
      <c r="F22">
        <v>357</v>
      </c>
      <c r="G22">
        <v>348</v>
      </c>
      <c r="H22">
        <v>247</v>
      </c>
      <c r="I22">
        <v>247</v>
      </c>
      <c r="J22">
        <v>351</v>
      </c>
      <c r="K22">
        <v>390</v>
      </c>
      <c r="L22">
        <v>419</v>
      </c>
      <c r="M22">
        <v>347</v>
      </c>
      <c r="N22">
        <v>341</v>
      </c>
      <c r="O22">
        <v>371</v>
      </c>
      <c r="P22">
        <v>387</v>
      </c>
      <c r="Q22">
        <v>479</v>
      </c>
      <c r="R22">
        <v>490</v>
      </c>
      <c r="S22">
        <v>409</v>
      </c>
      <c r="T22">
        <v>238</v>
      </c>
      <c r="U22">
        <v>354</v>
      </c>
      <c r="V22">
        <v>461</v>
      </c>
      <c r="W22">
        <v>509</v>
      </c>
      <c r="X22">
        <f>[14]MP!AD18</f>
        <v>571</v>
      </c>
      <c r="Y22">
        <f>[24]MP!K44</f>
        <v>599</v>
      </c>
      <c r="Z22">
        <f>[15]MP!K44</f>
        <v>540</v>
      </c>
      <c r="AA22">
        <f>INDEX($O22:$Z22,'Full Agency'!$A$2)</f>
        <v>354</v>
      </c>
      <c r="AB22">
        <f t="shared" si="93"/>
        <v>479</v>
      </c>
      <c r="AC22">
        <f t="shared" si="94"/>
        <v>238</v>
      </c>
      <c r="AD22">
        <f t="shared" si="95"/>
        <v>509</v>
      </c>
      <c r="AE22" s="22">
        <f t="shared" si="80"/>
        <v>599</v>
      </c>
      <c r="AF22" s="22">
        <f t="shared" si="81"/>
        <v>247</v>
      </c>
      <c r="AG22" s="22">
        <f t="shared" si="71"/>
        <v>313</v>
      </c>
      <c r="AH22" s="22">
        <f t="shared" si="72"/>
        <v>247</v>
      </c>
      <c r="AI22" s="22">
        <f t="shared" si="73"/>
        <v>390</v>
      </c>
      <c r="AJ22" s="22">
        <f t="shared" si="74"/>
        <v>341</v>
      </c>
      <c r="AK22" s="31">
        <f t="shared" si="82"/>
        <v>0.4331983805668016</v>
      </c>
      <c r="AL22" s="31">
        <f t="shared" si="75"/>
        <v>0.53035143769968052</v>
      </c>
      <c r="AM22" s="31">
        <f t="shared" si="75"/>
        <v>-3.6437246963562764E-2</v>
      </c>
      <c r="AN22" s="31">
        <f t="shared" si="75"/>
        <v>0.30512820512820515</v>
      </c>
      <c r="AO22" s="31">
        <f t="shared" si="96"/>
        <v>0.75659824046920821</v>
      </c>
      <c r="AP22" s="6">
        <f>[16]MP!K44</f>
        <v>563</v>
      </c>
      <c r="AQ22" s="22">
        <f>[17]MP!K45</f>
        <v>444</v>
      </c>
      <c r="AR22" s="22">
        <f>[18]MP!K45</f>
        <v>481</v>
      </c>
      <c r="AS22" s="22">
        <f>[19]MP!K45</f>
        <v>476</v>
      </c>
      <c r="AT22" s="22">
        <f>[20]MP!K45</f>
        <v>350</v>
      </c>
      <c r="AU22" s="22">
        <f>[21]MP!K45</f>
        <v>334</v>
      </c>
      <c r="AV22" s="22">
        <f>[22]MP!K45</f>
        <v>288</v>
      </c>
      <c r="BB22" s="22">
        <f t="shared" si="83"/>
        <v>481</v>
      </c>
      <c r="BC22" s="22">
        <f t="shared" si="84"/>
        <v>334</v>
      </c>
      <c r="BD22" s="22">
        <f t="shared" si="84"/>
        <v>288</v>
      </c>
      <c r="BF22" s="22">
        <f t="shared" si="85"/>
        <v>288</v>
      </c>
      <c r="BG22" s="122">
        <f t="shared" si="86"/>
        <v>1.5175202156334231</v>
      </c>
      <c r="BH22" s="111">
        <f t="shared" si="86"/>
        <v>1.1472868217054264</v>
      </c>
      <c r="BI22" s="111">
        <f t="shared" si="77"/>
        <v>1.0041753653444676</v>
      </c>
      <c r="BJ22" s="111">
        <f t="shared" si="77"/>
        <v>0.97142857142857142</v>
      </c>
      <c r="BK22" s="111">
        <f t="shared" si="78"/>
        <v>0.85574572127139359</v>
      </c>
      <c r="BL22" s="111">
        <f t="shared" si="87"/>
        <v>1.403361344537815</v>
      </c>
      <c r="BM22" s="111">
        <f t="shared" si="88"/>
        <v>0.81355932203389836</v>
      </c>
      <c r="BS22" s="111">
        <f t="shared" si="89"/>
        <v>1.0041753653444676</v>
      </c>
      <c r="BT22" s="111">
        <f t="shared" si="90"/>
        <v>1.403361344537815</v>
      </c>
      <c r="BU22" s="111">
        <f t="shared" si="91"/>
        <v>0.81355932203389836</v>
      </c>
      <c r="BV22" s="111"/>
      <c r="BW22" s="111">
        <f t="shared" si="92"/>
        <v>0.81355932203389836</v>
      </c>
    </row>
    <row r="23" spans="1:75" x14ac:dyDescent="0.25">
      <c r="A23" s="20" t="str">
        <f t="shared" si="79"/>
        <v># Manpower_by_rookie_mdrt:7-12mth</v>
      </c>
      <c r="B23" t="s">
        <v>1</v>
      </c>
      <c r="C23" s="6">
        <v>198</v>
      </c>
      <c r="D23">
        <v>253</v>
      </c>
      <c r="E23">
        <v>299</v>
      </c>
      <c r="F23">
        <v>341</v>
      </c>
      <c r="G23">
        <v>320</v>
      </c>
      <c r="H23">
        <v>295</v>
      </c>
      <c r="I23">
        <v>306</v>
      </c>
      <c r="J23">
        <v>308</v>
      </c>
      <c r="K23">
        <v>269</v>
      </c>
      <c r="L23">
        <v>339</v>
      </c>
      <c r="M23">
        <v>411</v>
      </c>
      <c r="N23">
        <v>413</v>
      </c>
      <c r="O23">
        <v>432</v>
      </c>
      <c r="P23">
        <v>480</v>
      </c>
      <c r="Q23">
        <v>504</v>
      </c>
      <c r="R23">
        <v>517</v>
      </c>
      <c r="S23">
        <v>466</v>
      </c>
      <c r="T23">
        <v>509</v>
      </c>
      <c r="U23">
        <v>512</v>
      </c>
      <c r="V23">
        <v>471</v>
      </c>
      <c r="W23">
        <v>417</v>
      </c>
      <c r="X23">
        <f>[14]MP!AD19</f>
        <v>496</v>
      </c>
      <c r="Y23">
        <f>[24]MP!K45</f>
        <v>551</v>
      </c>
      <c r="Z23">
        <f>[15]MP!K45</f>
        <v>533</v>
      </c>
      <c r="AA23">
        <f>INDEX($O23:$Z23,'Full Agency'!$A$2)</f>
        <v>512</v>
      </c>
      <c r="AB23">
        <f t="shared" si="93"/>
        <v>504</v>
      </c>
      <c r="AC23">
        <f t="shared" si="94"/>
        <v>509</v>
      </c>
      <c r="AD23">
        <f t="shared" si="95"/>
        <v>417</v>
      </c>
      <c r="AE23" s="22">
        <f t="shared" si="80"/>
        <v>551</v>
      </c>
      <c r="AF23" s="22">
        <f t="shared" si="81"/>
        <v>306</v>
      </c>
      <c r="AG23" s="22">
        <f t="shared" si="71"/>
        <v>299</v>
      </c>
      <c r="AH23" s="22">
        <f t="shared" si="72"/>
        <v>295</v>
      </c>
      <c r="AI23" s="22">
        <f>K23</f>
        <v>269</v>
      </c>
      <c r="AJ23" s="22">
        <f t="shared" si="74"/>
        <v>413</v>
      </c>
      <c r="AK23" s="31">
        <f t="shared" si="82"/>
        <v>0.67320261437908502</v>
      </c>
      <c r="AL23" s="31">
        <f t="shared" si="75"/>
        <v>0.68561872909698995</v>
      </c>
      <c r="AM23" s="31">
        <f t="shared" si="75"/>
        <v>0.72542372881355943</v>
      </c>
      <c r="AN23" s="31">
        <f t="shared" si="75"/>
        <v>0.55018587360594795</v>
      </c>
      <c r="AO23" s="31">
        <f t="shared" si="96"/>
        <v>0.33414043583535102</v>
      </c>
      <c r="AP23" s="6">
        <f>[16]MP!K45</f>
        <v>609</v>
      </c>
      <c r="AQ23" s="22">
        <f>[17]MP!K46</f>
        <v>327</v>
      </c>
      <c r="AR23" s="22">
        <f>[18]MP!K46</f>
        <v>310</v>
      </c>
      <c r="AS23" s="22">
        <f>[19]MP!K46</f>
        <v>267</v>
      </c>
      <c r="AT23" s="22">
        <f>[20]MP!K46</f>
        <v>337</v>
      </c>
      <c r="AU23" s="22">
        <f>[21]MP!K46</f>
        <v>415</v>
      </c>
      <c r="AV23" s="22">
        <f>[22]MP!K46</f>
        <v>392</v>
      </c>
      <c r="BB23" s="22">
        <f t="shared" si="83"/>
        <v>310</v>
      </c>
      <c r="BC23" s="22">
        <f t="shared" si="84"/>
        <v>415</v>
      </c>
      <c r="BD23" s="22">
        <f t="shared" si="84"/>
        <v>392</v>
      </c>
      <c r="BF23" s="22">
        <f t="shared" si="85"/>
        <v>392</v>
      </c>
      <c r="BG23" s="122">
        <f t="shared" si="86"/>
        <v>1.4097222222222223</v>
      </c>
      <c r="BH23" s="111">
        <f t="shared" si="86"/>
        <v>0.68125000000000002</v>
      </c>
      <c r="BI23" s="111">
        <f t="shared" si="77"/>
        <v>0.61507936507936511</v>
      </c>
      <c r="BJ23" s="111">
        <f t="shared" si="77"/>
        <v>0.51644100580270791</v>
      </c>
      <c r="BK23" s="111">
        <f t="shared" si="78"/>
        <v>0.72317596566523601</v>
      </c>
      <c r="BL23" s="111">
        <f t="shared" si="87"/>
        <v>0.81532416502946958</v>
      </c>
      <c r="BM23" s="111">
        <f t="shared" si="88"/>
        <v>0.765625</v>
      </c>
      <c r="BS23" s="111">
        <f t="shared" si="89"/>
        <v>0.61507936507936511</v>
      </c>
      <c r="BT23" s="111">
        <f t="shared" si="90"/>
        <v>0.81532416502946958</v>
      </c>
      <c r="BU23" s="111">
        <f t="shared" si="91"/>
        <v>0.765625</v>
      </c>
      <c r="BV23" s="111"/>
      <c r="BW23" s="111">
        <f t="shared" si="92"/>
        <v>0.765625</v>
      </c>
    </row>
    <row r="24" spans="1:75" x14ac:dyDescent="0.25">
      <c r="A24" s="20" t="str">
        <f t="shared" si="79"/>
        <v># Manpower_by_rookie_mdrt:13+mth</v>
      </c>
      <c r="B24" t="s">
        <v>2</v>
      </c>
      <c r="C24" s="6">
        <v>86</v>
      </c>
      <c r="D24">
        <v>90</v>
      </c>
      <c r="E24">
        <v>88</v>
      </c>
      <c r="F24">
        <v>88</v>
      </c>
      <c r="G24">
        <v>93</v>
      </c>
      <c r="H24">
        <v>115</v>
      </c>
      <c r="I24">
        <v>128</v>
      </c>
      <c r="J24">
        <v>146</v>
      </c>
      <c r="K24">
        <v>164</v>
      </c>
      <c r="L24">
        <v>183</v>
      </c>
      <c r="M24">
        <v>194</v>
      </c>
      <c r="N24">
        <v>217</v>
      </c>
      <c r="O24">
        <v>273</v>
      </c>
      <c r="P24">
        <v>315</v>
      </c>
      <c r="Q24">
        <v>319</v>
      </c>
      <c r="R24">
        <v>367</v>
      </c>
      <c r="S24">
        <v>439</v>
      </c>
      <c r="T24">
        <v>449</v>
      </c>
      <c r="U24">
        <v>482</v>
      </c>
      <c r="V24">
        <v>516</v>
      </c>
      <c r="W24">
        <v>541</v>
      </c>
      <c r="X24">
        <f>[14]MP!AD20</f>
        <v>582</v>
      </c>
      <c r="Y24">
        <f>[24]MP!K46</f>
        <v>597</v>
      </c>
      <c r="Z24">
        <f>[15]MP!K46</f>
        <v>649</v>
      </c>
      <c r="AA24">
        <f>INDEX($O24:$Z24,'Full Agency'!$A$2)</f>
        <v>482</v>
      </c>
      <c r="AB24">
        <f t="shared" si="93"/>
        <v>319</v>
      </c>
      <c r="AC24">
        <f t="shared" si="94"/>
        <v>449</v>
      </c>
      <c r="AD24">
        <f t="shared" si="95"/>
        <v>541</v>
      </c>
      <c r="AE24" s="22">
        <f t="shared" si="80"/>
        <v>597</v>
      </c>
      <c r="AF24" s="22">
        <f t="shared" si="81"/>
        <v>128</v>
      </c>
      <c r="AG24" s="22">
        <f t="shared" si="71"/>
        <v>88</v>
      </c>
      <c r="AH24" s="22">
        <f t="shared" si="72"/>
        <v>115</v>
      </c>
      <c r="AI24" s="22">
        <f t="shared" si="73"/>
        <v>164</v>
      </c>
      <c r="AJ24" s="22">
        <f t="shared" si="74"/>
        <v>217</v>
      </c>
      <c r="AK24" s="31">
        <f t="shared" si="82"/>
        <v>2.765625</v>
      </c>
      <c r="AL24" s="31">
        <f t="shared" si="75"/>
        <v>2.625</v>
      </c>
      <c r="AM24" s="31">
        <f t="shared" si="75"/>
        <v>2.9043478260869566</v>
      </c>
      <c r="AN24" s="31">
        <f t="shared" si="75"/>
        <v>2.2987804878048781</v>
      </c>
      <c r="AO24" s="31">
        <f t="shared" si="96"/>
        <v>1.7511520737327189</v>
      </c>
      <c r="AP24" s="6">
        <f>[16]MP!K46</f>
        <v>725</v>
      </c>
      <c r="AQ24" s="22">
        <f>[17]MP!K47</f>
        <v>380</v>
      </c>
      <c r="AR24" s="22">
        <f>[18]MP!K47</f>
        <v>362</v>
      </c>
      <c r="AS24" s="22">
        <f>[19]MP!K47</f>
        <v>342</v>
      </c>
      <c r="AT24" s="22">
        <f>[20]MP!K47</f>
        <v>339</v>
      </c>
      <c r="AU24" s="22">
        <f>[21]MP!K47</f>
        <v>342</v>
      </c>
      <c r="AV24" s="22">
        <f>[22]MP!K47</f>
        <v>351</v>
      </c>
      <c r="BB24" s="22">
        <f t="shared" si="83"/>
        <v>362</v>
      </c>
      <c r="BC24" s="22">
        <f t="shared" si="84"/>
        <v>342</v>
      </c>
      <c r="BD24" s="22">
        <f t="shared" si="84"/>
        <v>351</v>
      </c>
      <c r="BF24" s="22">
        <f t="shared" si="85"/>
        <v>351</v>
      </c>
      <c r="BG24" s="122">
        <f t="shared" si="86"/>
        <v>2.6556776556776556</v>
      </c>
      <c r="BH24" s="111">
        <f t="shared" si="86"/>
        <v>1.2063492063492063</v>
      </c>
      <c r="BI24" s="111">
        <f t="shared" si="77"/>
        <v>1.134796238244514</v>
      </c>
      <c r="BJ24" s="111">
        <f t="shared" si="77"/>
        <v>0.93188010899182561</v>
      </c>
      <c r="BK24" s="111">
        <f t="shared" si="78"/>
        <v>0.77220956719817768</v>
      </c>
      <c r="BL24" s="111">
        <f t="shared" si="87"/>
        <v>0.76169265033407574</v>
      </c>
      <c r="BM24" s="111">
        <f t="shared" si="88"/>
        <v>0.72821576763485474</v>
      </c>
      <c r="BS24" s="111">
        <f t="shared" si="89"/>
        <v>1.134796238244514</v>
      </c>
      <c r="BT24" s="111">
        <f t="shared" si="90"/>
        <v>0.76169265033407574</v>
      </c>
      <c r="BU24" s="111">
        <f t="shared" si="91"/>
        <v>0.72821576763485474</v>
      </c>
      <c r="BV24" s="111"/>
      <c r="BW24" s="111">
        <f t="shared" si="92"/>
        <v>0.72821576763485474</v>
      </c>
    </row>
    <row r="25" spans="1:75" x14ac:dyDescent="0.25">
      <c r="A25" s="20" t="str">
        <f t="shared" si="79"/>
        <v># Manpower_by_rookie_mdrt:SA</v>
      </c>
      <c r="B25" s="135" t="s">
        <v>136</v>
      </c>
      <c r="C25" s="6"/>
      <c r="AA25"/>
      <c r="AB25"/>
      <c r="AC25"/>
      <c r="AD25"/>
      <c r="AE25" s="22"/>
      <c r="AF25" s="22"/>
      <c r="AG25" s="22"/>
      <c r="AH25" s="22"/>
      <c r="AI25" s="22"/>
      <c r="AJ25" s="22"/>
      <c r="AK25" s="31"/>
      <c r="AL25" s="31"/>
      <c r="AM25" s="31"/>
      <c r="AN25" s="31"/>
      <c r="AO25" s="31"/>
      <c r="AP25" s="6"/>
      <c r="AQ25" s="22">
        <f>[17]MP!K48</f>
        <v>799</v>
      </c>
      <c r="AR25" s="22">
        <f>[18]MP!K48</f>
        <v>902</v>
      </c>
      <c r="AS25" s="22">
        <f>[19]MP!K48</f>
        <v>1130</v>
      </c>
      <c r="AT25" s="22">
        <f>[20]MP!K48</f>
        <v>1301</v>
      </c>
      <c r="AU25" s="22">
        <f>[21]MP!K48</f>
        <v>1550</v>
      </c>
      <c r="AV25" s="22">
        <f>[22]MP!K48</f>
        <v>1761</v>
      </c>
      <c r="BB25" s="22">
        <f t="shared" si="83"/>
        <v>902</v>
      </c>
      <c r="BC25" s="22">
        <f t="shared" si="84"/>
        <v>1550</v>
      </c>
      <c r="BD25" s="22">
        <f t="shared" si="84"/>
        <v>1761</v>
      </c>
      <c r="BF25" s="22">
        <f t="shared" si="85"/>
        <v>1761</v>
      </c>
      <c r="BG25" s="122"/>
      <c r="BH25" s="111"/>
      <c r="BI25" s="111"/>
      <c r="BJ25" s="111"/>
      <c r="BK25" s="111"/>
      <c r="BL25" s="111"/>
      <c r="BM25" s="111"/>
      <c r="BS25" s="111"/>
      <c r="BT25" s="111"/>
      <c r="BU25" s="111"/>
      <c r="BW25" s="111"/>
    </row>
    <row r="26" spans="1:75" s="17" customFormat="1" x14ac:dyDescent="0.25">
      <c r="A26" s="20" t="str">
        <f t="shared" si="79"/>
        <v># Manpower_by_rookie_mdrt:Total (excl. SA)</v>
      </c>
      <c r="B26" s="1" t="s">
        <v>137</v>
      </c>
      <c r="C26" s="7">
        <f>SUM(C18:C24)</f>
        <v>1354</v>
      </c>
      <c r="D26" s="7">
        <f t="shared" ref="D26:Z26" si="97">SUM(D18:D24)</f>
        <v>1383</v>
      </c>
      <c r="E26" s="7">
        <f t="shared" si="97"/>
        <v>1474</v>
      </c>
      <c r="F26" s="7">
        <f t="shared" si="97"/>
        <v>1630</v>
      </c>
      <c r="G26" s="7">
        <f t="shared" si="97"/>
        <v>1587</v>
      </c>
      <c r="H26" s="7">
        <f t="shared" si="97"/>
        <v>1616</v>
      </c>
      <c r="I26" s="7">
        <f t="shared" si="97"/>
        <v>1642</v>
      </c>
      <c r="J26" s="7">
        <f t="shared" si="97"/>
        <v>1743</v>
      </c>
      <c r="K26" s="7">
        <f t="shared" si="97"/>
        <v>1729</v>
      </c>
      <c r="L26" s="7">
        <f t="shared" si="97"/>
        <v>1798</v>
      </c>
      <c r="M26" s="7">
        <f t="shared" si="97"/>
        <v>1892</v>
      </c>
      <c r="N26" s="7">
        <f t="shared" si="97"/>
        <v>1925</v>
      </c>
      <c r="O26" s="7">
        <f t="shared" si="97"/>
        <v>1937</v>
      </c>
      <c r="P26" s="7">
        <f t="shared" si="97"/>
        <v>1937</v>
      </c>
      <c r="Q26" s="7">
        <f t="shared" si="97"/>
        <v>2067</v>
      </c>
      <c r="R26" s="7">
        <f t="shared" si="97"/>
        <v>2120</v>
      </c>
      <c r="S26" s="7">
        <f t="shared" si="97"/>
        <v>2197</v>
      </c>
      <c r="T26" s="7">
        <f t="shared" si="97"/>
        <v>2293</v>
      </c>
      <c r="U26" s="7">
        <f t="shared" si="97"/>
        <v>2378</v>
      </c>
      <c r="V26" s="7">
        <f t="shared" si="97"/>
        <v>2500</v>
      </c>
      <c r="W26" s="7">
        <f t="shared" si="97"/>
        <v>2624</v>
      </c>
      <c r="X26" s="7">
        <f t="shared" si="97"/>
        <v>2812</v>
      </c>
      <c r="Y26" s="7">
        <f t="shared" si="97"/>
        <v>3031</v>
      </c>
      <c r="Z26" s="7">
        <f t="shared" si="97"/>
        <v>3144</v>
      </c>
      <c r="AA26" s="7">
        <f>INDEX($O26:$Z26,'Full Agency'!$A$2)</f>
        <v>2378</v>
      </c>
      <c r="AB26" s="7">
        <f t="shared" si="93"/>
        <v>2067</v>
      </c>
      <c r="AC26" s="7">
        <f t="shared" si="94"/>
        <v>2293</v>
      </c>
      <c r="AD26" s="7">
        <f t="shared" si="95"/>
        <v>2624</v>
      </c>
      <c r="AE26" s="22">
        <f t="shared" si="80"/>
        <v>3031</v>
      </c>
      <c r="AF26" s="27">
        <f t="shared" si="81"/>
        <v>1642</v>
      </c>
      <c r="AG26" s="27">
        <f t="shared" si="71"/>
        <v>1474</v>
      </c>
      <c r="AH26" s="27">
        <f t="shared" si="72"/>
        <v>1616</v>
      </c>
      <c r="AI26" s="27">
        <f t="shared" si="73"/>
        <v>1729</v>
      </c>
      <c r="AJ26" s="27">
        <f t="shared" si="74"/>
        <v>1925</v>
      </c>
      <c r="AK26" s="32">
        <f t="shared" si="82"/>
        <v>0.44823386114494523</v>
      </c>
      <c r="AL26" s="32">
        <f t="shared" si="75"/>
        <v>0.40230664857530529</v>
      </c>
      <c r="AM26" s="32">
        <f t="shared" si="75"/>
        <v>0.41893564356435653</v>
      </c>
      <c r="AN26" s="31">
        <f t="shared" si="75"/>
        <v>0.51764025448235973</v>
      </c>
      <c r="AO26" s="31">
        <f t="shared" si="96"/>
        <v>0.57454545454545447</v>
      </c>
      <c r="AP26" s="7">
        <f t="shared" ref="AP26:AV26" si="98">SUM(AP18:AP24)</f>
        <v>3220</v>
      </c>
      <c r="AQ26" s="7">
        <f t="shared" si="98"/>
        <v>2564</v>
      </c>
      <c r="AR26" s="7">
        <f t="shared" si="98"/>
        <v>2534</v>
      </c>
      <c r="AS26" s="7">
        <f t="shared" si="98"/>
        <v>2327</v>
      </c>
      <c r="AT26" s="7">
        <f t="shared" si="98"/>
        <v>2436</v>
      </c>
      <c r="AU26" s="7">
        <f t="shared" si="98"/>
        <v>2491</v>
      </c>
      <c r="AV26" s="7">
        <f t="shared" si="98"/>
        <v>2410</v>
      </c>
      <c r="BB26" s="115">
        <f t="shared" si="83"/>
        <v>2534</v>
      </c>
      <c r="BC26" s="115">
        <f>INDEX(AS26:AU26,IF($B$2&lt;7,$B$2-3,3))</f>
        <v>2491</v>
      </c>
      <c r="BD26" s="115">
        <f>INDEX(AT26:AV26,IF($B$2&lt;7,$B$2-3,3))</f>
        <v>2410</v>
      </c>
      <c r="BE26" s="37"/>
      <c r="BF26" s="115">
        <f t="shared" si="85"/>
        <v>2410</v>
      </c>
      <c r="BG26" s="123">
        <f t="shared" si="86"/>
        <v>1.6623644811564275</v>
      </c>
      <c r="BH26" s="118">
        <f t="shared" si="86"/>
        <v>1.3236964377903975</v>
      </c>
      <c r="BI26" s="118">
        <f t="shared" ref="BI26" si="99">AR26/Q26</f>
        <v>1.2259313014029996</v>
      </c>
      <c r="BJ26" s="118">
        <f t="shared" ref="BJ26" si="100">AS26/R26</f>
        <v>1.0976415094339622</v>
      </c>
      <c r="BK26" s="118">
        <f t="shared" ref="BK26" si="101">AT26/S26</f>
        <v>1.1087847064178424</v>
      </c>
      <c r="BL26" s="118">
        <f t="shared" ref="BL26" si="102">AU26/T26</f>
        <v>1.0863497601395551</v>
      </c>
      <c r="BM26" s="111">
        <f t="shared" si="88"/>
        <v>1.0134566862910008</v>
      </c>
      <c r="BN26" s="37"/>
      <c r="BO26" s="37"/>
      <c r="BP26" s="37"/>
      <c r="BQ26" s="37"/>
      <c r="BR26" s="37"/>
      <c r="BS26" s="118">
        <f t="shared" si="89"/>
        <v>1.2259313014029996</v>
      </c>
      <c r="BT26" s="111">
        <f t="shared" si="90"/>
        <v>1.0863497601395551</v>
      </c>
      <c r="BU26" s="111">
        <f t="shared" si="91"/>
        <v>1.0134566862910008</v>
      </c>
      <c r="BV26" s="37"/>
      <c r="BW26" s="118">
        <f t="shared" si="92"/>
        <v>1.0134566862910008</v>
      </c>
    </row>
    <row r="27" spans="1:75" x14ac:dyDescent="0.25">
      <c r="B27" t="s">
        <v>187</v>
      </c>
      <c r="C27" s="1"/>
      <c r="BG27" s="124"/>
    </row>
    <row r="28" spans="1:75" x14ac:dyDescent="0.25">
      <c r="B28" t="s">
        <v>187</v>
      </c>
      <c r="BG28" s="124"/>
    </row>
    <row r="29" spans="1:75" s="17" customFormat="1" x14ac:dyDescent="0.25">
      <c r="A29" s="19"/>
      <c r="B29" s="2" t="s">
        <v>10</v>
      </c>
      <c r="C29" s="3">
        <f t="shared" ref="C29:Z29" si="103">C3</f>
        <v>42005</v>
      </c>
      <c r="D29" s="3">
        <f t="shared" si="103"/>
        <v>42036</v>
      </c>
      <c r="E29" s="3">
        <f t="shared" si="103"/>
        <v>42064</v>
      </c>
      <c r="F29" s="3">
        <f t="shared" si="103"/>
        <v>42095</v>
      </c>
      <c r="G29" s="3">
        <f t="shared" si="103"/>
        <v>42125</v>
      </c>
      <c r="H29" s="3">
        <f t="shared" si="103"/>
        <v>42156</v>
      </c>
      <c r="I29" s="3">
        <f t="shared" si="103"/>
        <v>42186</v>
      </c>
      <c r="J29" s="3">
        <f t="shared" si="103"/>
        <v>42217</v>
      </c>
      <c r="K29" s="3">
        <f t="shared" si="103"/>
        <v>42248</v>
      </c>
      <c r="L29" s="3">
        <f t="shared" si="103"/>
        <v>42278</v>
      </c>
      <c r="M29" s="3">
        <f t="shared" si="103"/>
        <v>42309</v>
      </c>
      <c r="N29" s="3">
        <f t="shared" si="103"/>
        <v>42339</v>
      </c>
      <c r="O29" s="3">
        <f t="shared" si="103"/>
        <v>42370</v>
      </c>
      <c r="P29" s="3">
        <f t="shared" si="103"/>
        <v>42401</v>
      </c>
      <c r="Q29" s="3">
        <f t="shared" si="103"/>
        <v>42430</v>
      </c>
      <c r="R29" s="3">
        <f t="shared" si="103"/>
        <v>42461</v>
      </c>
      <c r="S29" s="3">
        <f t="shared" si="103"/>
        <v>42491</v>
      </c>
      <c r="T29" s="3">
        <f t="shared" si="103"/>
        <v>42522</v>
      </c>
      <c r="U29" s="3">
        <f t="shared" si="103"/>
        <v>42552</v>
      </c>
      <c r="V29" s="3">
        <f t="shared" si="103"/>
        <v>42583</v>
      </c>
      <c r="W29" s="3">
        <f t="shared" si="103"/>
        <v>42614</v>
      </c>
      <c r="X29" s="3">
        <f t="shared" si="103"/>
        <v>42644</v>
      </c>
      <c r="Y29" s="3">
        <f t="shared" si="103"/>
        <v>42675</v>
      </c>
      <c r="Z29" s="3">
        <f t="shared" si="103"/>
        <v>42705</v>
      </c>
      <c r="AA29" s="29" t="str">
        <f>$AA$3</f>
        <v>YTD 7/16</v>
      </c>
      <c r="AB29" s="29" t="s">
        <v>19</v>
      </c>
      <c r="AC29" s="29" t="s">
        <v>20</v>
      </c>
      <c r="AD29" s="29" t="s">
        <v>21</v>
      </c>
      <c r="AE29" s="29" t="s">
        <v>22</v>
      </c>
      <c r="AF29" s="26" t="str">
        <f t="shared" ref="AF29:AJ29" si="104">AF17</f>
        <v>YTD 7/15</v>
      </c>
      <c r="AG29" s="26" t="str">
        <f t="shared" si="104"/>
        <v>Q1 '15</v>
      </c>
      <c r="AH29" s="26" t="str">
        <f t="shared" si="104"/>
        <v>Q2 '15</v>
      </c>
      <c r="AI29" s="26" t="str">
        <f t="shared" si="104"/>
        <v>Q3 '15</v>
      </c>
      <c r="AJ29" s="26" t="str">
        <f t="shared" si="104"/>
        <v>Q4 '15</v>
      </c>
      <c r="AK29" s="30" t="s">
        <v>27</v>
      </c>
      <c r="AL29" s="30" t="s">
        <v>29</v>
      </c>
      <c r="AM29" s="30" t="s">
        <v>30</v>
      </c>
      <c r="AN29" s="30" t="s">
        <v>31</v>
      </c>
      <c r="AO29" s="30" t="s">
        <v>32</v>
      </c>
      <c r="AP29" s="108">
        <v>42736</v>
      </c>
      <c r="AQ29" s="108">
        <v>42767</v>
      </c>
      <c r="AR29" s="108">
        <v>42795</v>
      </c>
      <c r="AS29" s="108">
        <v>42826</v>
      </c>
      <c r="AT29" s="108">
        <v>42856</v>
      </c>
      <c r="AU29" s="108">
        <v>42887</v>
      </c>
      <c r="AV29" s="108">
        <v>42917</v>
      </c>
      <c r="AW29" s="108">
        <v>42948</v>
      </c>
      <c r="AX29" s="108">
        <v>42979</v>
      </c>
      <c r="AY29" s="108">
        <v>43009</v>
      </c>
      <c r="AZ29" s="108">
        <v>43040</v>
      </c>
      <c r="BA29" s="108">
        <v>43070</v>
      </c>
      <c r="BB29" s="29" t="s">
        <v>123</v>
      </c>
      <c r="BC29" s="29" t="s">
        <v>124</v>
      </c>
      <c r="BD29" s="29" t="s">
        <v>125</v>
      </c>
      <c r="BE29" s="29" t="s">
        <v>126</v>
      </c>
      <c r="BF29" s="29" t="str">
        <f>$BF$3</f>
        <v>YTD 7/17</v>
      </c>
      <c r="BG29" s="121">
        <v>42736</v>
      </c>
      <c r="BH29" s="108">
        <v>42767</v>
      </c>
      <c r="BI29" s="108">
        <v>42795</v>
      </c>
      <c r="BJ29" s="108">
        <v>42826</v>
      </c>
      <c r="BK29" s="108">
        <v>42856</v>
      </c>
      <c r="BL29" s="108">
        <v>42887</v>
      </c>
      <c r="BM29" s="108">
        <v>42917</v>
      </c>
      <c r="BN29" s="108">
        <v>42948</v>
      </c>
      <c r="BO29" s="108">
        <v>42979</v>
      </c>
      <c r="BP29" s="108">
        <v>43009</v>
      </c>
      <c r="BQ29" s="108">
        <v>43040</v>
      </c>
      <c r="BR29" s="108">
        <v>43070</v>
      </c>
      <c r="BS29" s="29" t="s">
        <v>127</v>
      </c>
      <c r="BT29" s="29" t="s">
        <v>128</v>
      </c>
      <c r="BU29" s="29" t="s">
        <v>96</v>
      </c>
      <c r="BV29" s="29" t="s">
        <v>129</v>
      </c>
      <c r="BW29" s="112" t="s">
        <v>130</v>
      </c>
    </row>
    <row r="30" spans="1:75" x14ac:dyDescent="0.25">
      <c r="A30" s="20" t="str">
        <f>$B$29&amp;"_by_rookie_mdrt:"&amp;B30</f>
        <v># Active_by_rookie_mdrt:MDRT</v>
      </c>
      <c r="B30" t="s">
        <v>4</v>
      </c>
      <c r="C30">
        <v>27</v>
      </c>
      <c r="D30">
        <v>25</v>
      </c>
      <c r="E30">
        <v>30</v>
      </c>
      <c r="F30">
        <v>42</v>
      </c>
      <c r="G30">
        <v>43</v>
      </c>
      <c r="H30">
        <v>41</v>
      </c>
      <c r="I30">
        <v>38</v>
      </c>
      <c r="J30">
        <v>34</v>
      </c>
      <c r="K30">
        <v>48</v>
      </c>
      <c r="L30">
        <v>42</v>
      </c>
      <c r="M30">
        <v>42</v>
      </c>
      <c r="N30">
        <v>42</v>
      </c>
      <c r="O30">
        <v>33</v>
      </c>
      <c r="P30">
        <v>33</v>
      </c>
      <c r="Q30">
        <v>47</v>
      </c>
      <c r="R30">
        <v>38</v>
      </c>
      <c r="S30">
        <v>37</v>
      </c>
      <c r="T30">
        <v>49</v>
      </c>
      <c r="U30">
        <v>31</v>
      </c>
      <c r="V30">
        <v>35</v>
      </c>
      <c r="W30">
        <v>38</v>
      </c>
      <c r="X30">
        <f>[14]Actv!AD16</f>
        <v>31</v>
      </c>
      <c r="Y30">
        <f>[24]Actv!AE16</f>
        <v>31</v>
      </c>
      <c r="Z30" s="6">
        <f>[15]Actv!M37</f>
        <v>38</v>
      </c>
      <c r="AA30" s="22">
        <f>SUM(O30:INDEX(O30:Z30,$B$2))</f>
        <v>268</v>
      </c>
      <c r="AB30" s="22">
        <f>SUM(O30:Q30)</f>
        <v>113</v>
      </c>
      <c r="AC30" s="22">
        <f>SUM(R30:T30)</f>
        <v>124</v>
      </c>
      <c r="AD30" s="22">
        <f>SUM(U30:W30)</f>
        <v>104</v>
      </c>
      <c r="AE30" s="22">
        <f>SUM(X30:Z30)</f>
        <v>100</v>
      </c>
      <c r="AF30" s="22">
        <f>SUM(C30                                                                                : INDEX(C30:N30,$B$2))</f>
        <v>246</v>
      </c>
      <c r="AG30" s="22">
        <f t="shared" ref="AG30:AG36" si="105">SUM(C30:E30)</f>
        <v>82</v>
      </c>
      <c r="AH30" s="22">
        <f t="shared" ref="AH30:AH36" si="106">SUM(F30:H30)</f>
        <v>126</v>
      </c>
      <c r="AI30" s="22">
        <f t="shared" ref="AI30:AI36" si="107">SUM(I30:K30)</f>
        <v>120</v>
      </c>
      <c r="AJ30" s="22">
        <f t="shared" ref="AJ30:AJ36" si="108">SUM(L30:N30)</f>
        <v>126</v>
      </c>
      <c r="AK30" s="31">
        <f>AA30/AF30-1</f>
        <v>8.9430894308943021E-2</v>
      </c>
      <c r="AL30" s="31">
        <f t="shared" ref="AL30:AN38" si="109">AB30/AG30-1</f>
        <v>0.37804878048780477</v>
      </c>
      <c r="AM30" s="31">
        <f t="shared" si="109"/>
        <v>-1.5873015873015928E-2</v>
      </c>
      <c r="AN30" s="31">
        <f t="shared" si="109"/>
        <v>-0.1333333333333333</v>
      </c>
      <c r="AO30" s="31">
        <f>AE30/SUM(L30:INDEX(L30:N30,MOD($B$2,3)))-1</f>
        <v>1.3809523809523809</v>
      </c>
      <c r="AP30" s="22">
        <f>[16]Actv!M37</f>
        <v>55</v>
      </c>
      <c r="AQ30" s="22">
        <f>[17]Actv!M38</f>
        <v>65</v>
      </c>
      <c r="AR30" s="22">
        <f>[18]Actv!M38</f>
        <v>73</v>
      </c>
      <c r="AS30" s="22">
        <f>[19]Actv!M38</f>
        <v>64</v>
      </c>
      <c r="AT30" s="22">
        <f>[20]Actv!M38</f>
        <v>61</v>
      </c>
      <c r="AU30" s="22">
        <f>[21]Actv!M38</f>
        <v>64</v>
      </c>
      <c r="AV30" s="22">
        <f>[22]Actv!M38</f>
        <v>58</v>
      </c>
      <c r="BB30" s="110">
        <f>SUM(AP30:INDEX(AP30:AR30,IF($B$2&lt;3,$B$2,3)))</f>
        <v>193</v>
      </c>
      <c r="BC30" s="110">
        <f>SUM(AS30:INDEX(AS30:AU30,IF($B$2&lt;7,$B$2-3,3)))</f>
        <v>189</v>
      </c>
      <c r="BD30" s="110">
        <f>SUM(AV30:INDEX(AV30:AX30,IF(AND($B$2&gt;6,$B$2&lt;10),$B$2-6,0)))</f>
        <v>58</v>
      </c>
      <c r="BE30" s="110">
        <f>SUM(AY30:INDEX(AY30:BA30,IF($B$2&gt;9,$B$2-9,0)))</f>
        <v>0</v>
      </c>
      <c r="BF30" s="110">
        <f>SUM($AP30:INDEX(AP30:BA30,$B$2))</f>
        <v>440</v>
      </c>
      <c r="BG30" s="122">
        <f t="shared" ref="BG30:BR39" si="110">AP30/O30</f>
        <v>1.6666666666666667</v>
      </c>
      <c r="BH30" s="111">
        <f t="shared" si="110"/>
        <v>1.9696969696969697</v>
      </c>
      <c r="BI30" s="111">
        <f t="shared" si="110"/>
        <v>1.553191489361702</v>
      </c>
      <c r="BJ30" s="111">
        <f t="shared" si="110"/>
        <v>1.6842105263157894</v>
      </c>
      <c r="BK30" s="111">
        <f t="shared" si="110"/>
        <v>1.6486486486486487</v>
      </c>
      <c r="BL30" s="111">
        <f t="shared" si="110"/>
        <v>1.3061224489795917</v>
      </c>
      <c r="BM30" s="111">
        <f t="shared" si="110"/>
        <v>1.8709677419354838</v>
      </c>
      <c r="BN30" s="111">
        <f t="shared" si="110"/>
        <v>0</v>
      </c>
      <c r="BO30" s="111">
        <f t="shared" si="110"/>
        <v>0</v>
      </c>
      <c r="BP30" s="111">
        <f t="shared" si="110"/>
        <v>0</v>
      </c>
      <c r="BQ30" s="111">
        <f t="shared" si="110"/>
        <v>0</v>
      </c>
      <c r="BR30" s="111">
        <f t="shared" si="110"/>
        <v>0</v>
      </c>
      <c r="BS30" s="111">
        <f>BB30/SUM(O30:INDEX(O30:Q30,IF($B$2&lt;3,$B$2,3)))</f>
        <v>1.7079646017699115</v>
      </c>
      <c r="BT30" s="111">
        <f>BC30/SUM(R30:INDEX(R30:T30,IF($B$2&lt;7,$B$2-3,3)))</f>
        <v>1.5241935483870968</v>
      </c>
      <c r="BU30" s="111">
        <f t="shared" ref="BU30:BV39" si="111">BD30/AD30</f>
        <v>0.55769230769230771</v>
      </c>
      <c r="BV30" s="111">
        <f t="shared" si="111"/>
        <v>0</v>
      </c>
      <c r="BW30" s="111">
        <f t="shared" ref="BW30:BW39" si="112">BF30/AA30</f>
        <v>1.6417910447761195</v>
      </c>
    </row>
    <row r="31" spans="1:75" x14ac:dyDescent="0.25">
      <c r="A31" s="20" t="str">
        <f t="shared" ref="A31:A38" si="113">$B$29&amp;"_by_rookie_mdrt:"&amp;B31</f>
        <v># Active_by_rookie_mdrt:Rookie in month</v>
      </c>
      <c r="B31" t="s">
        <v>5</v>
      </c>
      <c r="C31">
        <v>45</v>
      </c>
      <c r="D31">
        <v>20</v>
      </c>
      <c r="E31">
        <v>61</v>
      </c>
      <c r="F31">
        <v>76</v>
      </c>
      <c r="G31">
        <v>73</v>
      </c>
      <c r="H31">
        <v>107</v>
      </c>
      <c r="I31">
        <v>95</v>
      </c>
      <c r="J31">
        <v>76</v>
      </c>
      <c r="K31">
        <v>79</v>
      </c>
      <c r="L31">
        <v>71</v>
      </c>
      <c r="M31">
        <v>120</v>
      </c>
      <c r="N31">
        <v>115</v>
      </c>
      <c r="O31">
        <v>13</v>
      </c>
      <c r="P31">
        <v>23</v>
      </c>
      <c r="Q31">
        <v>114</v>
      </c>
      <c r="R31">
        <v>69</v>
      </c>
      <c r="S31">
        <v>74</v>
      </c>
      <c r="T31">
        <v>116</v>
      </c>
      <c r="U31">
        <v>79</v>
      </c>
      <c r="V31">
        <v>75</v>
      </c>
      <c r="W31">
        <v>127</v>
      </c>
      <c r="X31">
        <f>[14]Actv!AD17</f>
        <v>89</v>
      </c>
      <c r="Y31">
        <f>[24]Actv!AE17</f>
        <v>127</v>
      </c>
      <c r="Z31" s="6">
        <f>[15]Actv!M38</f>
        <v>174</v>
      </c>
      <c r="AA31" s="22">
        <f>SUM(O31:INDEX(O31:Z31,$B$2))</f>
        <v>488</v>
      </c>
      <c r="AB31" s="22">
        <f t="shared" ref="AB31:AB36" si="114">SUM(O31:Q31)</f>
        <v>150</v>
      </c>
      <c r="AC31" s="22">
        <f t="shared" ref="AC31:AC36" si="115">SUM(R31:T31)</f>
        <v>259</v>
      </c>
      <c r="AD31" s="22">
        <f t="shared" ref="AD31:AD36" si="116">SUM(U31:W31)</f>
        <v>281</v>
      </c>
      <c r="AE31" s="22">
        <f t="shared" ref="AE31:AE36" si="117">SUM(X31:Z31)</f>
        <v>390</v>
      </c>
      <c r="AF31" s="22">
        <f>SUM(C31                                                                                : INDEX(C31:N31,$B$2))</f>
        <v>477</v>
      </c>
      <c r="AG31" s="22">
        <f t="shared" si="105"/>
        <v>126</v>
      </c>
      <c r="AH31" s="22">
        <f t="shared" si="106"/>
        <v>256</v>
      </c>
      <c r="AI31" s="22">
        <f t="shared" si="107"/>
        <v>250</v>
      </c>
      <c r="AJ31" s="22">
        <f t="shared" si="108"/>
        <v>306</v>
      </c>
      <c r="AK31" s="31">
        <f t="shared" ref="AK31:AK38" si="118">AA31/AF31-1</f>
        <v>2.3060796645702375E-2</v>
      </c>
      <c r="AL31" s="31">
        <f t="shared" si="109"/>
        <v>0.19047619047619047</v>
      </c>
      <c r="AM31" s="31">
        <f t="shared" si="109"/>
        <v>1.171875E-2</v>
      </c>
      <c r="AN31" s="31">
        <f t="shared" si="109"/>
        <v>0.12400000000000011</v>
      </c>
      <c r="AO31" s="31">
        <f>AE31/SUM(L31:INDEX(L31:N31,MOD($B$2,3)))-1</f>
        <v>4.492957746478873</v>
      </c>
      <c r="AP31" s="22">
        <f>[16]Actv!M38</f>
        <v>47</v>
      </c>
      <c r="AQ31" s="22">
        <f>[17]Actv!M39</f>
        <v>122</v>
      </c>
      <c r="AR31" s="22">
        <f>[18]Actv!M39</f>
        <v>143</v>
      </c>
      <c r="AS31" s="22">
        <f>[19]Actv!M39</f>
        <v>143</v>
      </c>
      <c r="AT31" s="22">
        <f>[20]Actv!M39</f>
        <v>154</v>
      </c>
      <c r="AU31" s="22">
        <f>[21]Actv!M39</f>
        <v>208</v>
      </c>
      <c r="AV31" s="22">
        <f>[22]Actv!M39</f>
        <v>155</v>
      </c>
      <c r="BB31" s="110">
        <f>SUM(AP31:INDEX(AP31:AR31,IF($B$2&lt;3,$B$2,3)))</f>
        <v>312</v>
      </c>
      <c r="BC31" s="110">
        <f>SUM(AS31:INDEX(AS31:AU31,IF($B$2&lt;7,$B$2-3,3)))</f>
        <v>505</v>
      </c>
      <c r="BD31" s="110">
        <f>SUM(AV31:INDEX(AV31:AX31,IF(AND($B$2&gt;6,$B$2&lt;10),$B$2-6,0)))</f>
        <v>155</v>
      </c>
      <c r="BE31" s="110">
        <f>SUM(AY31:INDEX(AY31:BA31,IF($B$2&gt;9,$B$2-9,0)))</f>
        <v>0</v>
      </c>
      <c r="BF31" s="110">
        <f>SUM($AP31:INDEX(AP31:BA31,$B$2))</f>
        <v>972</v>
      </c>
      <c r="BG31" s="122">
        <f t="shared" si="110"/>
        <v>3.6153846153846154</v>
      </c>
      <c r="BH31" s="111">
        <f t="shared" si="110"/>
        <v>5.3043478260869561</v>
      </c>
      <c r="BI31" s="111">
        <f t="shared" si="110"/>
        <v>1.2543859649122806</v>
      </c>
      <c r="BJ31" s="111">
        <f t="shared" si="110"/>
        <v>2.0724637681159419</v>
      </c>
      <c r="BK31" s="111">
        <f t="shared" si="110"/>
        <v>2.0810810810810811</v>
      </c>
      <c r="BL31" s="111">
        <f t="shared" si="110"/>
        <v>1.7931034482758621</v>
      </c>
      <c r="BM31" s="111">
        <f t="shared" si="110"/>
        <v>1.9620253164556962</v>
      </c>
      <c r="BN31" s="111">
        <f t="shared" si="110"/>
        <v>0</v>
      </c>
      <c r="BO31" s="111">
        <f t="shared" si="110"/>
        <v>0</v>
      </c>
      <c r="BP31" s="111">
        <f t="shared" si="110"/>
        <v>0</v>
      </c>
      <c r="BQ31" s="111">
        <f t="shared" si="110"/>
        <v>0</v>
      </c>
      <c r="BR31" s="111">
        <f t="shared" si="110"/>
        <v>0</v>
      </c>
      <c r="BS31" s="111">
        <f>BB31/SUM(O31:INDEX(O31:Q31,IF($B$2&lt;3,$B$2,3)))</f>
        <v>2.08</v>
      </c>
      <c r="BT31" s="111">
        <f>BC31/SUM(R31:INDEX(R31:T31,IF($B$2&lt;7,$B$2-3,3)))</f>
        <v>1.9498069498069499</v>
      </c>
      <c r="BU31" s="111">
        <f t="shared" si="111"/>
        <v>0.55160142348754448</v>
      </c>
      <c r="BV31" s="111">
        <f t="shared" si="111"/>
        <v>0</v>
      </c>
      <c r="BW31" s="111">
        <f t="shared" si="112"/>
        <v>1.9918032786885247</v>
      </c>
    </row>
    <row r="32" spans="1:75" x14ac:dyDescent="0.25">
      <c r="A32" s="20" t="str">
        <f t="shared" si="113"/>
        <v># Active_by_rookie_mdrt:Rookie last month</v>
      </c>
      <c r="B32" t="s">
        <v>6</v>
      </c>
      <c r="C32">
        <v>60</v>
      </c>
      <c r="D32">
        <v>42</v>
      </c>
      <c r="E32">
        <v>21</v>
      </c>
      <c r="F32">
        <v>72</v>
      </c>
      <c r="G32">
        <v>80</v>
      </c>
      <c r="H32">
        <v>71</v>
      </c>
      <c r="I32">
        <v>79</v>
      </c>
      <c r="J32">
        <v>49</v>
      </c>
      <c r="K32">
        <v>63</v>
      </c>
      <c r="L32">
        <v>63</v>
      </c>
      <c r="M32">
        <v>48</v>
      </c>
      <c r="N32">
        <v>125</v>
      </c>
      <c r="O32">
        <v>37</v>
      </c>
      <c r="P32">
        <v>14</v>
      </c>
      <c r="Q32">
        <v>24</v>
      </c>
      <c r="R32">
        <v>87</v>
      </c>
      <c r="S32">
        <v>59</v>
      </c>
      <c r="T32">
        <v>68</v>
      </c>
      <c r="U32">
        <v>85</v>
      </c>
      <c r="V32">
        <v>70</v>
      </c>
      <c r="W32">
        <v>71</v>
      </c>
      <c r="X32">
        <f>[14]Actv!AD18</f>
        <v>99</v>
      </c>
      <c r="Y32">
        <f>[24]Actv!AE18</f>
        <v>106</v>
      </c>
      <c r="Z32" s="6">
        <f>[15]Actv!M39</f>
        <v>106</v>
      </c>
      <c r="AA32" s="22">
        <f>SUM(O32:INDEX(O32:Z32,$B$2))</f>
        <v>374</v>
      </c>
      <c r="AB32" s="22">
        <f t="shared" si="114"/>
        <v>75</v>
      </c>
      <c r="AC32" s="22">
        <f t="shared" si="115"/>
        <v>214</v>
      </c>
      <c r="AD32" s="22">
        <f t="shared" si="116"/>
        <v>226</v>
      </c>
      <c r="AE32" s="22">
        <f t="shared" si="117"/>
        <v>311</v>
      </c>
      <c r="AF32" s="22">
        <f>SUM(C32                                                                                : INDEX(C32:N32,$B$2))</f>
        <v>425</v>
      </c>
      <c r="AG32" s="22">
        <f t="shared" si="105"/>
        <v>123</v>
      </c>
      <c r="AH32" s="22">
        <f t="shared" si="106"/>
        <v>223</v>
      </c>
      <c r="AI32" s="22">
        <f t="shared" si="107"/>
        <v>191</v>
      </c>
      <c r="AJ32" s="22">
        <f t="shared" si="108"/>
        <v>236</v>
      </c>
      <c r="AK32" s="31">
        <f t="shared" si="118"/>
        <v>-0.12</v>
      </c>
      <c r="AL32" s="31">
        <f t="shared" si="109"/>
        <v>-0.3902439024390244</v>
      </c>
      <c r="AM32" s="31">
        <f t="shared" si="109"/>
        <v>-4.035874439461884E-2</v>
      </c>
      <c r="AN32" s="31">
        <f t="shared" si="109"/>
        <v>0.18324607329842935</v>
      </c>
      <c r="AO32" s="31">
        <f>AE32/SUM(L32:INDEX(L32:N32,MOD($B$2,3)))-1</f>
        <v>3.9365079365079367</v>
      </c>
      <c r="AP32" s="22">
        <f>[16]Actv!M39</f>
        <v>55</v>
      </c>
      <c r="AQ32" s="22">
        <f>[17]Actv!M40</f>
        <v>46</v>
      </c>
      <c r="AR32" s="22">
        <f>[18]Actv!M40</f>
        <v>95</v>
      </c>
      <c r="AS32" s="22">
        <f>[19]Actv!M40</f>
        <v>84</v>
      </c>
      <c r="AT32" s="22">
        <f>[20]Actv!M40</f>
        <v>76</v>
      </c>
      <c r="AU32" s="22">
        <f>[21]Actv!M40</f>
        <v>88</v>
      </c>
      <c r="AV32" s="22">
        <f>[22]Actv!M40</f>
        <v>63</v>
      </c>
      <c r="BB32" s="110">
        <f>SUM(AP32:INDEX(AP32:AR32,IF($B$2&lt;3,$B$2,3)))</f>
        <v>196</v>
      </c>
      <c r="BC32" s="110">
        <f>SUM(AS32:INDEX(AS32:AU32,IF($B$2&lt;7,$B$2-3,3)))</f>
        <v>248</v>
      </c>
      <c r="BD32" s="110">
        <f>SUM(AV32:INDEX(AV32:AX32,IF(AND($B$2&gt;6,$B$2&lt;10),$B$2-6,0)))</f>
        <v>63</v>
      </c>
      <c r="BE32" s="110">
        <f>SUM(AY32:INDEX(AY32:BA32,IF($B$2&gt;9,$B$2-9,0)))</f>
        <v>0</v>
      </c>
      <c r="BF32" s="110">
        <f>SUM($AP32:INDEX(AP32:BA32,$B$2))</f>
        <v>507</v>
      </c>
      <c r="BG32" s="122">
        <f t="shared" si="110"/>
        <v>1.4864864864864864</v>
      </c>
      <c r="BH32" s="111">
        <f t="shared" si="110"/>
        <v>3.2857142857142856</v>
      </c>
      <c r="BI32" s="111">
        <f t="shared" si="110"/>
        <v>3.9583333333333335</v>
      </c>
      <c r="BJ32" s="111">
        <f t="shared" si="110"/>
        <v>0.96551724137931039</v>
      </c>
      <c r="BK32" s="111">
        <f t="shared" si="110"/>
        <v>1.2881355932203389</v>
      </c>
      <c r="BL32" s="111">
        <f t="shared" si="110"/>
        <v>1.2941176470588236</v>
      </c>
      <c r="BM32" s="111">
        <f t="shared" si="110"/>
        <v>0.74117647058823533</v>
      </c>
      <c r="BN32" s="111">
        <f t="shared" si="110"/>
        <v>0</v>
      </c>
      <c r="BO32" s="111">
        <f t="shared" si="110"/>
        <v>0</v>
      </c>
      <c r="BP32" s="111">
        <f t="shared" si="110"/>
        <v>0</v>
      </c>
      <c r="BQ32" s="111">
        <f t="shared" si="110"/>
        <v>0</v>
      </c>
      <c r="BR32" s="111">
        <f t="shared" si="110"/>
        <v>0</v>
      </c>
      <c r="BS32" s="111">
        <f>BB32/SUM(O32:INDEX(O32:Q32,IF($B$2&lt;3,$B$2,3)))</f>
        <v>2.6133333333333333</v>
      </c>
      <c r="BT32" s="111">
        <f>BC32/SUM(R32:INDEX(R32:T32,IF($B$2&lt;7,$B$2-3,3)))</f>
        <v>1.1588785046728971</v>
      </c>
      <c r="BU32" s="111">
        <f t="shared" si="111"/>
        <v>0.27876106194690264</v>
      </c>
      <c r="BV32" s="111">
        <f t="shared" si="111"/>
        <v>0</v>
      </c>
      <c r="BW32" s="111">
        <f t="shared" si="112"/>
        <v>1.3556149732620322</v>
      </c>
    </row>
    <row r="33" spans="1:75" x14ac:dyDescent="0.25">
      <c r="A33" s="20" t="str">
        <f t="shared" si="113"/>
        <v># Active_by_rookie_mdrt:2-3 months</v>
      </c>
      <c r="B33" t="s">
        <v>7</v>
      </c>
      <c r="C33">
        <v>60</v>
      </c>
      <c r="D33">
        <v>62</v>
      </c>
      <c r="E33">
        <v>92</v>
      </c>
      <c r="F33">
        <v>52</v>
      </c>
      <c r="G33">
        <v>72</v>
      </c>
      <c r="H33">
        <v>138</v>
      </c>
      <c r="I33">
        <v>123</v>
      </c>
      <c r="J33">
        <v>74</v>
      </c>
      <c r="K33">
        <v>110</v>
      </c>
      <c r="L33">
        <v>76</v>
      </c>
      <c r="M33">
        <v>107</v>
      </c>
      <c r="N33">
        <v>121</v>
      </c>
      <c r="O33">
        <v>50</v>
      </c>
      <c r="P33">
        <v>56</v>
      </c>
      <c r="Q33">
        <v>54</v>
      </c>
      <c r="R33">
        <v>25</v>
      </c>
      <c r="S33">
        <v>80</v>
      </c>
      <c r="T33">
        <v>99</v>
      </c>
      <c r="U33">
        <v>73</v>
      </c>
      <c r="V33">
        <v>76</v>
      </c>
      <c r="W33">
        <v>72</v>
      </c>
      <c r="X33">
        <f>[14]Actv!AD19</f>
        <v>64</v>
      </c>
      <c r="Y33">
        <f>[24]Actv!AE19</f>
        <v>107</v>
      </c>
      <c r="Z33" s="6">
        <f>[15]Actv!M40</f>
        <v>166</v>
      </c>
      <c r="AA33" s="22">
        <f>SUM(O33:INDEX(O33:Z33,$B$2))</f>
        <v>437</v>
      </c>
      <c r="AB33" s="22">
        <f t="shared" si="114"/>
        <v>160</v>
      </c>
      <c r="AC33" s="22">
        <f t="shared" si="115"/>
        <v>204</v>
      </c>
      <c r="AD33" s="22">
        <f t="shared" si="116"/>
        <v>221</v>
      </c>
      <c r="AE33" s="22">
        <f t="shared" si="117"/>
        <v>337</v>
      </c>
      <c r="AF33" s="22">
        <f>SUM(C33                                                                                : INDEX(C33:N33,$B$2))</f>
        <v>599</v>
      </c>
      <c r="AG33" s="22">
        <f t="shared" si="105"/>
        <v>214</v>
      </c>
      <c r="AH33" s="22">
        <f t="shared" si="106"/>
        <v>262</v>
      </c>
      <c r="AI33" s="22">
        <f t="shared" si="107"/>
        <v>307</v>
      </c>
      <c r="AJ33" s="22">
        <f t="shared" si="108"/>
        <v>304</v>
      </c>
      <c r="AK33" s="31">
        <f t="shared" si="118"/>
        <v>-0.27045075125208684</v>
      </c>
      <c r="AL33" s="31">
        <f t="shared" si="109"/>
        <v>-0.25233644859813087</v>
      </c>
      <c r="AM33" s="31">
        <f t="shared" si="109"/>
        <v>-0.22137404580152675</v>
      </c>
      <c r="AN33" s="31">
        <f t="shared" si="109"/>
        <v>-0.28013029315960913</v>
      </c>
      <c r="AO33" s="31">
        <f>AE33/SUM(L33:INDEX(L33:N33,MOD($B$2,3)))-1</f>
        <v>3.4342105263157894</v>
      </c>
      <c r="AP33" s="22">
        <f>[16]Actv!M40</f>
        <v>84</v>
      </c>
      <c r="AQ33" s="22">
        <f>[17]Actv!M41</f>
        <v>124</v>
      </c>
      <c r="AR33" s="22">
        <f>[18]Actv!M41</f>
        <v>87</v>
      </c>
      <c r="AS33" s="22">
        <f>[19]Actv!M41</f>
        <v>75</v>
      </c>
      <c r="AT33" s="22">
        <f>[20]Actv!M41</f>
        <v>97</v>
      </c>
      <c r="AU33" s="22">
        <f>[21]Actv!M41</f>
        <v>94</v>
      </c>
      <c r="AV33" s="22">
        <f>[22]Actv!M41</f>
        <v>79</v>
      </c>
      <c r="BB33" s="110">
        <f>SUM(AP33:INDEX(AP33:AR33,IF($B$2&lt;3,$B$2,3)))</f>
        <v>295</v>
      </c>
      <c r="BC33" s="110">
        <f>SUM(AS33:INDEX(AS33:AU33,IF($B$2&lt;7,$B$2-3,3)))</f>
        <v>266</v>
      </c>
      <c r="BD33" s="110">
        <f>SUM(AV33:INDEX(AV33:AX33,IF(AND($B$2&gt;6,$B$2&lt;10),$B$2-6,0)))</f>
        <v>79</v>
      </c>
      <c r="BE33" s="110">
        <f>SUM(AY33:INDEX(AY33:BA33,IF($B$2&gt;9,$B$2-9,0)))</f>
        <v>0</v>
      </c>
      <c r="BF33" s="110">
        <f>SUM($AP33:INDEX(AP33:BA33,$B$2))</f>
        <v>640</v>
      </c>
      <c r="BG33" s="122">
        <f t="shared" si="110"/>
        <v>1.68</v>
      </c>
      <c r="BH33" s="111">
        <f t="shared" si="110"/>
        <v>2.2142857142857144</v>
      </c>
      <c r="BI33" s="111">
        <f t="shared" si="110"/>
        <v>1.6111111111111112</v>
      </c>
      <c r="BJ33" s="111">
        <f t="shared" si="110"/>
        <v>3</v>
      </c>
      <c r="BK33" s="111">
        <f t="shared" si="110"/>
        <v>1.2124999999999999</v>
      </c>
      <c r="BL33" s="111">
        <f t="shared" si="110"/>
        <v>0.9494949494949495</v>
      </c>
      <c r="BM33" s="111">
        <f t="shared" si="110"/>
        <v>1.0821917808219179</v>
      </c>
      <c r="BN33" s="111">
        <f t="shared" si="110"/>
        <v>0</v>
      </c>
      <c r="BO33" s="111">
        <f t="shared" si="110"/>
        <v>0</v>
      </c>
      <c r="BP33" s="111">
        <f t="shared" si="110"/>
        <v>0</v>
      </c>
      <c r="BQ33" s="111">
        <f t="shared" si="110"/>
        <v>0</v>
      </c>
      <c r="BR33" s="111">
        <f t="shared" si="110"/>
        <v>0</v>
      </c>
      <c r="BS33" s="111">
        <f>BB33/SUM(O33:INDEX(O33:Q33,IF($B$2&lt;3,$B$2,3)))</f>
        <v>1.84375</v>
      </c>
      <c r="BT33" s="111">
        <f>BC33/SUM(R33:INDEX(R33:T33,IF($B$2&lt;7,$B$2-3,3)))</f>
        <v>1.303921568627451</v>
      </c>
      <c r="BU33" s="111">
        <f t="shared" si="111"/>
        <v>0.3574660633484163</v>
      </c>
      <c r="BV33" s="111">
        <f t="shared" si="111"/>
        <v>0</v>
      </c>
      <c r="BW33" s="111">
        <f t="shared" si="112"/>
        <v>1.4645308924485125</v>
      </c>
    </row>
    <row r="34" spans="1:75" x14ac:dyDescent="0.25">
      <c r="A34" s="20" t="str">
        <f t="shared" si="113"/>
        <v># Active_by_rookie_mdrt:4 - 6 mths</v>
      </c>
      <c r="B34" t="s">
        <v>8</v>
      </c>
      <c r="C34">
        <v>51</v>
      </c>
      <c r="D34">
        <v>35</v>
      </c>
      <c r="E34">
        <v>58</v>
      </c>
      <c r="F34">
        <v>80</v>
      </c>
      <c r="G34">
        <v>97</v>
      </c>
      <c r="H34">
        <v>70</v>
      </c>
      <c r="I34">
        <v>71</v>
      </c>
      <c r="J34">
        <v>83</v>
      </c>
      <c r="K34">
        <v>137</v>
      </c>
      <c r="L34">
        <v>99</v>
      </c>
      <c r="M34">
        <v>91</v>
      </c>
      <c r="N34">
        <v>125</v>
      </c>
      <c r="O34">
        <v>36</v>
      </c>
      <c r="P34">
        <v>35</v>
      </c>
      <c r="Q34">
        <v>84</v>
      </c>
      <c r="R34">
        <v>76</v>
      </c>
      <c r="S34">
        <v>49</v>
      </c>
      <c r="T34">
        <v>50</v>
      </c>
      <c r="U34">
        <v>61</v>
      </c>
      <c r="V34">
        <v>80</v>
      </c>
      <c r="W34">
        <v>88</v>
      </c>
      <c r="X34">
        <f>[14]Actv!AD20</f>
        <v>65</v>
      </c>
      <c r="Y34">
        <f>[24]Actv!AE20</f>
        <v>48</v>
      </c>
      <c r="Z34" s="6">
        <f>[15]Actv!M41</f>
        <v>91</v>
      </c>
      <c r="AA34" s="22">
        <f>SUM(O34:INDEX(O34:Z34,$B$2))</f>
        <v>391</v>
      </c>
      <c r="AB34" s="22">
        <f t="shared" si="114"/>
        <v>155</v>
      </c>
      <c r="AC34" s="22">
        <f t="shared" si="115"/>
        <v>175</v>
      </c>
      <c r="AD34" s="22">
        <f t="shared" si="116"/>
        <v>229</v>
      </c>
      <c r="AE34" s="22">
        <f t="shared" si="117"/>
        <v>204</v>
      </c>
      <c r="AF34" s="22">
        <f>SUM(C34                                                                                : INDEX(C34:N34,$B$2))</f>
        <v>462</v>
      </c>
      <c r="AG34" s="22">
        <f t="shared" si="105"/>
        <v>144</v>
      </c>
      <c r="AH34" s="22">
        <f t="shared" si="106"/>
        <v>247</v>
      </c>
      <c r="AI34" s="22">
        <f t="shared" si="107"/>
        <v>291</v>
      </c>
      <c r="AJ34" s="22">
        <f t="shared" si="108"/>
        <v>315</v>
      </c>
      <c r="AK34" s="31">
        <f t="shared" si="118"/>
        <v>-0.15367965367965364</v>
      </c>
      <c r="AL34" s="31">
        <f t="shared" si="109"/>
        <v>7.638888888888884E-2</v>
      </c>
      <c r="AM34" s="31">
        <f t="shared" si="109"/>
        <v>-0.291497975708502</v>
      </c>
      <c r="AN34" s="31">
        <f t="shared" si="109"/>
        <v>-0.21305841924398627</v>
      </c>
      <c r="AO34" s="31">
        <f>AE34/SUM(L34:INDEX(L34:N34,MOD($B$2,3)))-1</f>
        <v>1.0606060606060606</v>
      </c>
      <c r="AP34" s="22">
        <f>[16]Actv!M41</f>
        <v>41</v>
      </c>
      <c r="AQ34" s="22">
        <f>[17]Actv!M42</f>
        <v>87</v>
      </c>
      <c r="AR34" s="22">
        <f>[18]Actv!M42</f>
        <v>148</v>
      </c>
      <c r="AS34" s="22">
        <f>[19]Actv!M42</f>
        <v>96</v>
      </c>
      <c r="AT34" s="22">
        <f>[20]Actv!M42</f>
        <v>68</v>
      </c>
      <c r="AU34" s="22">
        <f>[21]Actv!M42</f>
        <v>62</v>
      </c>
      <c r="AV34" s="22">
        <f>[22]Actv!M42</f>
        <v>64</v>
      </c>
      <c r="BB34" s="110">
        <f>SUM(AP34:INDEX(AP34:AR34,IF($B$2&lt;3,$B$2,3)))</f>
        <v>276</v>
      </c>
      <c r="BC34" s="110">
        <f>SUM(AS34:INDEX(AS34:AU34,IF($B$2&lt;7,$B$2-3,3)))</f>
        <v>226</v>
      </c>
      <c r="BD34" s="110">
        <f>SUM(AV34:INDEX(AV34:AX34,IF(AND($B$2&gt;6,$B$2&lt;10),$B$2-6,0)))</f>
        <v>64</v>
      </c>
      <c r="BE34" s="110">
        <f>SUM(AY34:INDEX(AY34:BA34,IF($B$2&gt;9,$B$2-9,0)))</f>
        <v>0</v>
      </c>
      <c r="BF34" s="110">
        <f>SUM($AP34:INDEX(AP34:BA34,$B$2))</f>
        <v>566</v>
      </c>
      <c r="BG34" s="122">
        <f t="shared" si="110"/>
        <v>1.1388888888888888</v>
      </c>
      <c r="BH34" s="111">
        <f t="shared" si="110"/>
        <v>2.4857142857142858</v>
      </c>
      <c r="BI34" s="111">
        <f t="shared" si="110"/>
        <v>1.7619047619047619</v>
      </c>
      <c r="BJ34" s="111">
        <f t="shared" si="110"/>
        <v>1.263157894736842</v>
      </c>
      <c r="BK34" s="111">
        <f t="shared" si="110"/>
        <v>1.3877551020408163</v>
      </c>
      <c r="BL34" s="111">
        <f t="shared" si="110"/>
        <v>1.24</v>
      </c>
      <c r="BM34" s="111">
        <f t="shared" si="110"/>
        <v>1.0491803278688525</v>
      </c>
      <c r="BN34" s="111">
        <f t="shared" si="110"/>
        <v>0</v>
      </c>
      <c r="BO34" s="111">
        <f t="shared" si="110"/>
        <v>0</v>
      </c>
      <c r="BP34" s="111">
        <f t="shared" si="110"/>
        <v>0</v>
      </c>
      <c r="BQ34" s="111">
        <f t="shared" si="110"/>
        <v>0</v>
      </c>
      <c r="BR34" s="111">
        <f t="shared" si="110"/>
        <v>0</v>
      </c>
      <c r="BS34" s="111">
        <f>BB34/SUM(O34:INDEX(O34:Q34,IF($B$2&lt;3,$B$2,3)))</f>
        <v>1.7806451612903227</v>
      </c>
      <c r="BT34" s="111">
        <f>BC34/SUM(R34:INDEX(R34:T34,IF($B$2&lt;7,$B$2-3,3)))</f>
        <v>1.2914285714285714</v>
      </c>
      <c r="BU34" s="111">
        <f t="shared" si="111"/>
        <v>0.27947598253275108</v>
      </c>
      <c r="BV34" s="111">
        <f t="shared" si="111"/>
        <v>0</v>
      </c>
      <c r="BW34" s="111">
        <f t="shared" si="112"/>
        <v>1.4475703324808185</v>
      </c>
    </row>
    <row r="35" spans="1:75" x14ac:dyDescent="0.25">
      <c r="A35" s="20" t="str">
        <f t="shared" si="113"/>
        <v># Active_by_rookie_mdrt:7-12mth</v>
      </c>
      <c r="B35" t="s">
        <v>1</v>
      </c>
      <c r="C35">
        <v>31</v>
      </c>
      <c r="D35">
        <v>32</v>
      </c>
      <c r="E35">
        <v>28</v>
      </c>
      <c r="F35">
        <v>60</v>
      </c>
      <c r="G35">
        <v>75</v>
      </c>
      <c r="H35">
        <v>91</v>
      </c>
      <c r="I35">
        <v>86</v>
      </c>
      <c r="J35">
        <v>75</v>
      </c>
      <c r="K35">
        <v>101</v>
      </c>
      <c r="L35">
        <v>92</v>
      </c>
      <c r="M35">
        <v>131</v>
      </c>
      <c r="N35">
        <v>142</v>
      </c>
      <c r="O35">
        <v>45</v>
      </c>
      <c r="P35">
        <v>44</v>
      </c>
      <c r="Q35">
        <v>81</v>
      </c>
      <c r="R35">
        <v>77</v>
      </c>
      <c r="S35">
        <v>69</v>
      </c>
      <c r="T35">
        <v>94</v>
      </c>
      <c r="U35">
        <v>81</v>
      </c>
      <c r="V35">
        <v>74</v>
      </c>
      <c r="W35">
        <v>61</v>
      </c>
      <c r="X35">
        <f>[14]Actv!AD21</f>
        <v>65</v>
      </c>
      <c r="Y35">
        <f>[24]Actv!AE21</f>
        <v>80</v>
      </c>
      <c r="Z35" s="6">
        <f>[15]Actv!M42</f>
        <v>112</v>
      </c>
      <c r="AA35" s="22">
        <f>SUM(O35:INDEX(O35:Z35,$B$2))</f>
        <v>491</v>
      </c>
      <c r="AB35" s="22">
        <f t="shared" si="114"/>
        <v>170</v>
      </c>
      <c r="AC35" s="22">
        <f t="shared" si="115"/>
        <v>240</v>
      </c>
      <c r="AD35" s="22">
        <f t="shared" si="116"/>
        <v>216</v>
      </c>
      <c r="AE35" s="22">
        <f t="shared" si="117"/>
        <v>257</v>
      </c>
      <c r="AF35" s="22">
        <f>SUM(C35                                                                                : INDEX(C35:N35,$B$2))</f>
        <v>403</v>
      </c>
      <c r="AG35" s="22">
        <f t="shared" si="105"/>
        <v>91</v>
      </c>
      <c r="AH35" s="22">
        <f t="shared" si="106"/>
        <v>226</v>
      </c>
      <c r="AI35" s="22">
        <f t="shared" si="107"/>
        <v>262</v>
      </c>
      <c r="AJ35" s="22">
        <f t="shared" si="108"/>
        <v>365</v>
      </c>
      <c r="AK35" s="31">
        <f t="shared" si="118"/>
        <v>0.21836228287841197</v>
      </c>
      <c r="AL35" s="31">
        <f t="shared" si="109"/>
        <v>0.86813186813186816</v>
      </c>
      <c r="AM35" s="31">
        <f t="shared" si="109"/>
        <v>6.1946902654867353E-2</v>
      </c>
      <c r="AN35" s="31">
        <f t="shared" si="109"/>
        <v>-0.17557251908396942</v>
      </c>
      <c r="AO35" s="31">
        <f>AE35/SUM(L35:INDEX(L35:N35,MOD($B$2,3)))-1</f>
        <v>1.7934782608695654</v>
      </c>
      <c r="AP35" s="22">
        <f>[16]Actv!M42</f>
        <v>28</v>
      </c>
      <c r="AQ35" s="22">
        <f>[17]Actv!M43</f>
        <v>34</v>
      </c>
      <c r="AR35" s="22">
        <f>[18]Actv!M43</f>
        <v>55</v>
      </c>
      <c r="AS35" s="22">
        <f>[19]Actv!M43</f>
        <v>57</v>
      </c>
      <c r="AT35" s="22">
        <f>[20]Actv!M43</f>
        <v>85</v>
      </c>
      <c r="AU35" s="22">
        <f>[21]Actv!M43</f>
        <v>88</v>
      </c>
      <c r="AV35" s="22">
        <f>[22]Actv!M43</f>
        <v>69</v>
      </c>
      <c r="BB35" s="110">
        <f>SUM(AP35:INDEX(AP35:AR35,IF($B$2&lt;3,$B$2,3)))</f>
        <v>117</v>
      </c>
      <c r="BC35" s="110">
        <f>SUM(AS35:INDEX(AS35:AU35,IF($B$2&lt;7,$B$2-3,3)))</f>
        <v>230</v>
      </c>
      <c r="BD35" s="110">
        <f>SUM(AV35:INDEX(AV35:AX35,IF(AND($B$2&gt;6,$B$2&lt;10),$B$2-6,0)))</f>
        <v>69</v>
      </c>
      <c r="BE35" s="110">
        <f>SUM(AY35:INDEX(AY35:BA35,IF($B$2&gt;9,$B$2-9,0)))</f>
        <v>0</v>
      </c>
      <c r="BF35" s="110">
        <f>SUM($AP35:INDEX(AP35:BA35,$B$2))</f>
        <v>416</v>
      </c>
      <c r="BG35" s="122">
        <f t="shared" si="110"/>
        <v>0.62222222222222223</v>
      </c>
      <c r="BH35" s="111">
        <f t="shared" si="110"/>
        <v>0.77272727272727271</v>
      </c>
      <c r="BI35" s="111">
        <f t="shared" si="110"/>
        <v>0.67901234567901236</v>
      </c>
      <c r="BJ35" s="111">
        <f t="shared" si="110"/>
        <v>0.74025974025974028</v>
      </c>
      <c r="BK35" s="111">
        <f t="shared" si="110"/>
        <v>1.2318840579710144</v>
      </c>
      <c r="BL35" s="111">
        <f t="shared" si="110"/>
        <v>0.93617021276595747</v>
      </c>
      <c r="BM35" s="111">
        <f t="shared" si="110"/>
        <v>0.85185185185185186</v>
      </c>
      <c r="BN35" s="111">
        <f t="shared" si="110"/>
        <v>0</v>
      </c>
      <c r="BO35" s="111">
        <f t="shared" si="110"/>
        <v>0</v>
      </c>
      <c r="BP35" s="111">
        <f t="shared" si="110"/>
        <v>0</v>
      </c>
      <c r="BQ35" s="111">
        <f t="shared" si="110"/>
        <v>0</v>
      </c>
      <c r="BR35" s="111">
        <f t="shared" si="110"/>
        <v>0</v>
      </c>
      <c r="BS35" s="111">
        <f>BB35/SUM(O35:INDEX(O35:Q35,IF($B$2&lt;3,$B$2,3)))</f>
        <v>0.68823529411764706</v>
      </c>
      <c r="BT35" s="111">
        <f>BC35/SUM(R35:INDEX(R35:T35,IF($B$2&lt;7,$B$2-3,3)))</f>
        <v>0.95833333333333337</v>
      </c>
      <c r="BU35" s="111">
        <f t="shared" si="111"/>
        <v>0.31944444444444442</v>
      </c>
      <c r="BV35" s="111">
        <f t="shared" si="111"/>
        <v>0</v>
      </c>
      <c r="BW35" s="111">
        <f t="shared" si="112"/>
        <v>0.84725050916496947</v>
      </c>
    </row>
    <row r="36" spans="1:75" x14ac:dyDescent="0.25">
      <c r="A36" s="20" t="str">
        <f t="shared" si="113"/>
        <v># Active_by_rookie_mdrt:13+mth</v>
      </c>
      <c r="B36" t="s">
        <v>2</v>
      </c>
      <c r="C36">
        <v>21</v>
      </c>
      <c r="D36">
        <v>11</v>
      </c>
      <c r="E36">
        <v>16</v>
      </c>
      <c r="F36">
        <v>18</v>
      </c>
      <c r="G36">
        <v>26</v>
      </c>
      <c r="H36">
        <v>27</v>
      </c>
      <c r="I36">
        <v>24</v>
      </c>
      <c r="J36">
        <v>30</v>
      </c>
      <c r="K36">
        <v>61</v>
      </c>
      <c r="L36">
        <v>51</v>
      </c>
      <c r="M36">
        <v>71</v>
      </c>
      <c r="N36">
        <v>90</v>
      </c>
      <c r="O36">
        <v>27</v>
      </c>
      <c r="P36">
        <v>28</v>
      </c>
      <c r="Q36">
        <v>57</v>
      </c>
      <c r="R36">
        <v>54</v>
      </c>
      <c r="S36">
        <v>57</v>
      </c>
      <c r="T36">
        <v>106</v>
      </c>
      <c r="U36">
        <v>69</v>
      </c>
      <c r="V36">
        <v>54</v>
      </c>
      <c r="W36">
        <v>74</v>
      </c>
      <c r="X36">
        <f>[14]Actv!AD22</f>
        <v>63</v>
      </c>
      <c r="Y36">
        <f>[24]Actv!AE22</f>
        <v>75</v>
      </c>
      <c r="Z36" s="6">
        <f>[15]Actv!M43</f>
        <v>135</v>
      </c>
      <c r="AA36" s="22">
        <f>SUM(O36:INDEX(O36:Z36,$B$2))</f>
        <v>398</v>
      </c>
      <c r="AB36" s="22">
        <f t="shared" si="114"/>
        <v>112</v>
      </c>
      <c r="AC36" s="22">
        <f t="shared" si="115"/>
        <v>217</v>
      </c>
      <c r="AD36" s="22">
        <f t="shared" si="116"/>
        <v>197</v>
      </c>
      <c r="AE36" s="22">
        <f t="shared" si="117"/>
        <v>273</v>
      </c>
      <c r="AF36" s="22">
        <f>SUM(C36                                                                                : INDEX(C36:N36,$B$2))</f>
        <v>143</v>
      </c>
      <c r="AG36" s="22">
        <f t="shared" si="105"/>
        <v>48</v>
      </c>
      <c r="AH36" s="22">
        <f t="shared" si="106"/>
        <v>71</v>
      </c>
      <c r="AI36" s="22">
        <f t="shared" si="107"/>
        <v>115</v>
      </c>
      <c r="AJ36" s="22">
        <f t="shared" si="108"/>
        <v>212</v>
      </c>
      <c r="AK36" s="31">
        <f t="shared" si="118"/>
        <v>1.7832167832167833</v>
      </c>
      <c r="AL36" s="31">
        <f t="shared" si="109"/>
        <v>1.3333333333333335</v>
      </c>
      <c r="AM36" s="31">
        <f t="shared" si="109"/>
        <v>2.056338028169014</v>
      </c>
      <c r="AN36" s="31">
        <f t="shared" si="109"/>
        <v>0.71304347826086967</v>
      </c>
      <c r="AO36" s="31">
        <f>AE36/SUM(L36:INDEX(L36:N36,MOD($B$2,3)))-1</f>
        <v>4.3529411764705879</v>
      </c>
      <c r="AP36" s="22">
        <f>[16]Actv!M43</f>
        <v>50</v>
      </c>
      <c r="AQ36" s="22">
        <f>[17]Actv!M44</f>
        <v>44</v>
      </c>
      <c r="AR36" s="22">
        <f>[18]Actv!M44</f>
        <v>68</v>
      </c>
      <c r="AS36" s="22">
        <f>[19]Actv!M44</f>
        <v>66</v>
      </c>
      <c r="AT36" s="22">
        <f>[20]Actv!M44</f>
        <v>62</v>
      </c>
      <c r="AU36" s="22">
        <f>[21]Actv!M44</f>
        <v>58</v>
      </c>
      <c r="AV36" s="22">
        <f>[22]Actv!M44</f>
        <v>52</v>
      </c>
      <c r="BB36" s="110">
        <f>SUM(AP36:INDEX(AP36:AR36,IF($B$2&lt;3,$B$2,3)))</f>
        <v>162</v>
      </c>
      <c r="BC36" s="110">
        <f>SUM(AS36:INDEX(AS36:AU36,IF($B$2&lt;7,$B$2-3,3)))</f>
        <v>186</v>
      </c>
      <c r="BD36" s="110">
        <f>SUM(AV36:INDEX(AV36:AX36,IF(AND($B$2&gt;6,$B$2&lt;10),$B$2-6,0)))</f>
        <v>52</v>
      </c>
      <c r="BE36" s="110">
        <f>SUM(AY36:INDEX(AY36:BA36,IF($B$2&gt;9,$B$2-9,0)))</f>
        <v>0</v>
      </c>
      <c r="BF36" s="110">
        <f>SUM($AP36:INDEX(AP36:BA36,$B$2))</f>
        <v>400</v>
      </c>
      <c r="BG36" s="122">
        <f t="shared" si="110"/>
        <v>1.8518518518518519</v>
      </c>
      <c r="BH36" s="111">
        <f t="shared" si="110"/>
        <v>1.5714285714285714</v>
      </c>
      <c r="BI36" s="111">
        <f t="shared" si="110"/>
        <v>1.1929824561403508</v>
      </c>
      <c r="BJ36" s="111">
        <f t="shared" si="110"/>
        <v>1.2222222222222223</v>
      </c>
      <c r="BK36" s="111">
        <f t="shared" si="110"/>
        <v>1.0877192982456141</v>
      </c>
      <c r="BL36" s="111">
        <f t="shared" si="110"/>
        <v>0.54716981132075471</v>
      </c>
      <c r="BM36" s="111">
        <f t="shared" si="110"/>
        <v>0.75362318840579712</v>
      </c>
      <c r="BN36" s="111">
        <f t="shared" si="110"/>
        <v>0</v>
      </c>
      <c r="BO36" s="111">
        <f t="shared" si="110"/>
        <v>0</v>
      </c>
      <c r="BP36" s="111">
        <f t="shared" si="110"/>
        <v>0</v>
      </c>
      <c r="BQ36" s="111">
        <f t="shared" si="110"/>
        <v>0</v>
      </c>
      <c r="BR36" s="111">
        <f t="shared" si="110"/>
        <v>0</v>
      </c>
      <c r="BS36" s="111">
        <f>BB36/SUM(O36:INDEX(O36:Q36,IF($B$2&lt;3,$B$2,3)))</f>
        <v>1.4464285714285714</v>
      </c>
      <c r="BT36" s="111">
        <f>BC36/SUM(R36:INDEX(R36:T36,IF($B$2&lt;7,$B$2-3,3)))</f>
        <v>0.8571428571428571</v>
      </c>
      <c r="BU36" s="111">
        <f t="shared" si="111"/>
        <v>0.26395939086294418</v>
      </c>
      <c r="BV36" s="111">
        <f t="shared" si="111"/>
        <v>0</v>
      </c>
      <c r="BW36" s="111">
        <f t="shared" si="112"/>
        <v>1.0050251256281406</v>
      </c>
    </row>
    <row r="37" spans="1:75" x14ac:dyDescent="0.25">
      <c r="A37" s="20" t="str">
        <f t="shared" si="113"/>
        <v># Active_by_rookie_mdrt:SA</v>
      </c>
      <c r="B37" s="135" t="s">
        <v>136</v>
      </c>
      <c r="Z37" s="6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31"/>
      <c r="AL37" s="31"/>
      <c r="AM37" s="31"/>
      <c r="AN37" s="31"/>
      <c r="AO37" s="31"/>
      <c r="AP37" s="22"/>
      <c r="AQ37" s="22">
        <f>[17]Actv!M45</f>
        <v>31</v>
      </c>
      <c r="AR37" s="22">
        <f>[18]Actv!M45</f>
        <v>31</v>
      </c>
      <c r="AS37" s="22">
        <f>[19]Actv!M45</f>
        <v>35</v>
      </c>
      <c r="AT37" s="22">
        <f>[20]Actv!M45</f>
        <v>23</v>
      </c>
      <c r="AU37" s="22">
        <f>[21]Actv!M45</f>
        <v>15</v>
      </c>
      <c r="AV37" s="22">
        <f>[22]Actv!M45</f>
        <v>20</v>
      </c>
      <c r="BB37" s="110">
        <f>SUM(AP37:INDEX(AP37:AR37,IF($B$2&lt;3,$B$2,3)))</f>
        <v>62</v>
      </c>
      <c r="BC37" s="110">
        <f>SUM(AS37:INDEX(AS37:AU37,IF($B$2&lt;7,$B$2-3,3)))</f>
        <v>73</v>
      </c>
      <c r="BD37" s="110">
        <f>SUM(AV37:INDEX(AV37:AX37,IF(AND($B$2&gt;6,$B$2&lt;10),$B$2-6,0)))</f>
        <v>20</v>
      </c>
      <c r="BE37" s="110"/>
      <c r="BF37" s="110">
        <f>SUM($AP37:INDEX(AP37:BA37,$B$2))</f>
        <v>155</v>
      </c>
      <c r="BG37" s="122"/>
      <c r="BH37" s="111"/>
      <c r="BI37" s="111"/>
      <c r="BJ37" s="111"/>
      <c r="BK37" s="111"/>
      <c r="BL37" s="111"/>
      <c r="BM37" s="111"/>
      <c r="BN37" s="111"/>
      <c r="BO37" s="111"/>
      <c r="BP37" s="111"/>
      <c r="BQ37" s="111"/>
      <c r="BR37" s="111"/>
      <c r="BS37" s="111"/>
      <c r="BT37" s="111"/>
      <c r="BU37" s="111"/>
      <c r="BV37" s="111"/>
      <c r="BW37" s="111"/>
    </row>
    <row r="38" spans="1:75" s="17" customFormat="1" x14ac:dyDescent="0.25">
      <c r="A38" s="20" t="str">
        <f t="shared" si="113"/>
        <v># Active_by_rookie_mdrt:Total (excl. SA)</v>
      </c>
      <c r="B38" s="1" t="s">
        <v>137</v>
      </c>
      <c r="C38" s="7">
        <f>SUM(C30:C36)</f>
        <v>295</v>
      </c>
      <c r="D38" s="7">
        <f t="shared" ref="D38" si="119">SUM(D30:D36)</f>
        <v>227</v>
      </c>
      <c r="E38" s="7">
        <f t="shared" ref="E38" si="120">SUM(E30:E36)</f>
        <v>306</v>
      </c>
      <c r="F38" s="7">
        <f t="shared" ref="F38" si="121">SUM(F30:F36)</f>
        <v>400</v>
      </c>
      <c r="G38" s="7">
        <f t="shared" ref="G38" si="122">SUM(G30:G36)</f>
        <v>466</v>
      </c>
      <c r="H38" s="7">
        <f t="shared" ref="H38" si="123">SUM(H30:H36)</f>
        <v>545</v>
      </c>
      <c r="I38" s="7">
        <f t="shared" ref="I38" si="124">SUM(I30:I36)</f>
        <v>516</v>
      </c>
      <c r="J38" s="7">
        <f t="shared" ref="J38" si="125">SUM(J30:J36)</f>
        <v>421</v>
      </c>
      <c r="K38" s="7">
        <f t="shared" ref="K38" si="126">SUM(K30:K36)</f>
        <v>599</v>
      </c>
      <c r="L38" s="7">
        <f t="shared" ref="L38" si="127">SUM(L30:L36)</f>
        <v>494</v>
      </c>
      <c r="M38" s="7">
        <f t="shared" ref="M38" si="128">SUM(M30:M36)</f>
        <v>610</v>
      </c>
      <c r="N38" s="7">
        <f t="shared" ref="N38" si="129">SUM(N30:N36)</f>
        <v>760</v>
      </c>
      <c r="O38" s="7">
        <f t="shared" ref="O38" si="130">SUM(O30:O36)</f>
        <v>241</v>
      </c>
      <c r="P38" s="7">
        <f t="shared" ref="P38" si="131">SUM(P30:P36)</f>
        <v>233</v>
      </c>
      <c r="Q38" s="7">
        <f t="shared" ref="Q38" si="132">SUM(Q30:Q36)</f>
        <v>461</v>
      </c>
      <c r="R38" s="7">
        <f t="shared" ref="R38" si="133">SUM(R30:R36)</f>
        <v>426</v>
      </c>
      <c r="S38" s="7">
        <f t="shared" ref="S38" si="134">SUM(S30:S36)</f>
        <v>425</v>
      </c>
      <c r="T38" s="7">
        <f t="shared" ref="T38" si="135">SUM(T30:T36)</f>
        <v>582</v>
      </c>
      <c r="U38" s="7">
        <f t="shared" ref="U38" si="136">SUM(U30:U36)</f>
        <v>479</v>
      </c>
      <c r="V38" s="7">
        <f t="shared" ref="V38" si="137">SUM(V30:V36)</f>
        <v>464</v>
      </c>
      <c r="W38" s="7">
        <f t="shared" ref="W38" si="138">SUM(W30:W36)</f>
        <v>531</v>
      </c>
      <c r="X38" s="7">
        <f t="shared" ref="X38" si="139">SUM(X30:X36)</f>
        <v>476</v>
      </c>
      <c r="Y38" s="7">
        <f t="shared" ref="Y38" si="140">SUM(Y30:Y36)</f>
        <v>574</v>
      </c>
      <c r="Z38" s="7">
        <f t="shared" ref="Z38" si="141">SUM(Z30:Z36)</f>
        <v>822</v>
      </c>
      <c r="AA38" s="1">
        <f>SUM(O38:INDEX(O38:Z38,$B$2))</f>
        <v>2847</v>
      </c>
      <c r="AB38" s="1">
        <f t="shared" ref="AB38:AJ38" si="142">SUM(AB30:AB36)</f>
        <v>935</v>
      </c>
      <c r="AC38" s="1">
        <f t="shared" si="142"/>
        <v>1433</v>
      </c>
      <c r="AD38" s="1">
        <f t="shared" si="142"/>
        <v>1474</v>
      </c>
      <c r="AE38" s="1">
        <f t="shared" si="142"/>
        <v>1872</v>
      </c>
      <c r="AF38" s="7">
        <f t="shared" si="142"/>
        <v>2755</v>
      </c>
      <c r="AG38" s="7">
        <f t="shared" si="142"/>
        <v>828</v>
      </c>
      <c r="AH38" s="7">
        <f t="shared" si="142"/>
        <v>1411</v>
      </c>
      <c r="AI38" s="7">
        <f t="shared" si="142"/>
        <v>1536</v>
      </c>
      <c r="AJ38" s="7">
        <f t="shared" si="142"/>
        <v>1864</v>
      </c>
      <c r="AK38" s="32">
        <f t="shared" si="118"/>
        <v>3.3393829401088926E-2</v>
      </c>
      <c r="AL38" s="32">
        <f t="shared" si="109"/>
        <v>0.12922705314009653</v>
      </c>
      <c r="AM38" s="32">
        <f t="shared" si="109"/>
        <v>1.5591778880226892E-2</v>
      </c>
      <c r="AN38" s="32">
        <f t="shared" si="109"/>
        <v>-4.036458333333337E-2</v>
      </c>
      <c r="AO38" s="31">
        <f>AE38/SUM(L38:INDEX(L38:N38,MOD($B$2,3)))-1</f>
        <v>2.7894736842105261</v>
      </c>
      <c r="AP38" s="7">
        <f t="shared" ref="AP38" si="143">SUM(AP30:AP36)</f>
        <v>360</v>
      </c>
      <c r="AQ38" s="7">
        <f>SUM(AQ30:AQ36)</f>
        <v>522</v>
      </c>
      <c r="AR38" s="7">
        <f t="shared" ref="AR38:AV38" si="144">SUM(AR30:AR36)</f>
        <v>669</v>
      </c>
      <c r="AS38" s="7">
        <f t="shared" si="144"/>
        <v>585</v>
      </c>
      <c r="AT38" s="7">
        <f t="shared" si="144"/>
        <v>603</v>
      </c>
      <c r="AU38" s="7">
        <f t="shared" si="144"/>
        <v>662</v>
      </c>
      <c r="AV38" s="7">
        <f t="shared" si="144"/>
        <v>540</v>
      </c>
      <c r="BB38" s="116">
        <f>SUM(AP38:INDEX(AP38:AR38,IF($B$2&lt;3,$B$2,3)))</f>
        <v>1551</v>
      </c>
      <c r="BC38" s="116">
        <f>SUM(AS38:INDEX(AS38:AU38,IF($B$2&lt;7,$B$2-3,3)))</f>
        <v>1850</v>
      </c>
      <c r="BD38" s="116">
        <f>SUM(AV38:INDEX(AV38:AX38,IF(AND($B$2&gt;6,$B$2&lt;10),$B$2-6,0)))</f>
        <v>540</v>
      </c>
      <c r="BE38" s="116">
        <f>SUM(AY38:INDEX(AY38:BA38,IF($B$2&gt;9,$B$2-9,0)))</f>
        <v>0</v>
      </c>
      <c r="BF38" s="116">
        <f>SUM($AP38:INDEX(AP38:BA38,$B$2))</f>
        <v>3941</v>
      </c>
      <c r="BG38" s="123">
        <f t="shared" si="110"/>
        <v>1.4937759336099585</v>
      </c>
      <c r="BH38" s="118">
        <f t="shared" si="110"/>
        <v>2.2403433476394849</v>
      </c>
      <c r="BI38" s="118">
        <f t="shared" si="110"/>
        <v>1.4511930585683297</v>
      </c>
      <c r="BJ38" s="118">
        <f t="shared" si="110"/>
        <v>1.3732394366197183</v>
      </c>
      <c r="BK38" s="118">
        <f t="shared" si="110"/>
        <v>1.4188235294117648</v>
      </c>
      <c r="BL38" s="118">
        <f t="shared" si="110"/>
        <v>1.1374570446735395</v>
      </c>
      <c r="BM38" s="118">
        <f t="shared" si="110"/>
        <v>1.1273486430062631</v>
      </c>
      <c r="BN38" s="118">
        <f t="shared" si="110"/>
        <v>0</v>
      </c>
      <c r="BO38" s="118">
        <f t="shared" si="110"/>
        <v>0</v>
      </c>
      <c r="BP38" s="118">
        <f t="shared" si="110"/>
        <v>0</v>
      </c>
      <c r="BQ38" s="118">
        <f t="shared" si="110"/>
        <v>0</v>
      </c>
      <c r="BR38" s="118">
        <f t="shared" si="110"/>
        <v>0</v>
      </c>
      <c r="BS38" s="118">
        <f>BB38/SUM(O38:INDEX(O38:Q38,IF($B$2&lt;3,$B$2,3)))</f>
        <v>1.6588235294117648</v>
      </c>
      <c r="BT38" s="118">
        <f>BC38/SUM(R38:INDEX(R38:T38,IF($B$2&lt;7,$B$2-3,3)))</f>
        <v>1.2909979064898813</v>
      </c>
      <c r="BU38" s="118">
        <f t="shared" si="111"/>
        <v>0.36635006784260515</v>
      </c>
      <c r="BV38" s="118">
        <f t="shared" si="111"/>
        <v>0</v>
      </c>
      <c r="BW38" s="118">
        <f t="shared" si="112"/>
        <v>1.3842641376887952</v>
      </c>
    </row>
    <row r="39" spans="1:75" x14ac:dyDescent="0.25">
      <c r="A39" s="20" t="s">
        <v>159</v>
      </c>
      <c r="B39" t="s">
        <v>187</v>
      </c>
      <c r="C39">
        <f>SUM(C30:C37)</f>
        <v>295</v>
      </c>
      <c r="D39">
        <f t="shared" ref="D39:AJ39" si="145">SUM(D30:D37)</f>
        <v>227</v>
      </c>
      <c r="E39">
        <f t="shared" si="145"/>
        <v>306</v>
      </c>
      <c r="F39">
        <f t="shared" si="145"/>
        <v>400</v>
      </c>
      <c r="G39">
        <f t="shared" si="145"/>
        <v>466</v>
      </c>
      <c r="H39">
        <f t="shared" si="145"/>
        <v>545</v>
      </c>
      <c r="I39">
        <f t="shared" si="145"/>
        <v>516</v>
      </c>
      <c r="J39">
        <f t="shared" si="145"/>
        <v>421</v>
      </c>
      <c r="K39">
        <f t="shared" si="145"/>
        <v>599</v>
      </c>
      <c r="L39">
        <f t="shared" si="145"/>
        <v>494</v>
      </c>
      <c r="M39">
        <f t="shared" si="145"/>
        <v>610</v>
      </c>
      <c r="N39">
        <f t="shared" si="145"/>
        <v>760</v>
      </c>
      <c r="O39">
        <f t="shared" si="145"/>
        <v>241</v>
      </c>
      <c r="P39">
        <f t="shared" si="145"/>
        <v>233</v>
      </c>
      <c r="Q39">
        <f t="shared" si="145"/>
        <v>461</v>
      </c>
      <c r="R39">
        <f t="shared" si="145"/>
        <v>426</v>
      </c>
      <c r="S39">
        <f t="shared" si="145"/>
        <v>425</v>
      </c>
      <c r="T39">
        <f t="shared" si="145"/>
        <v>582</v>
      </c>
      <c r="U39">
        <f t="shared" si="145"/>
        <v>479</v>
      </c>
      <c r="V39">
        <f t="shared" si="145"/>
        <v>464</v>
      </c>
      <c r="W39">
        <f t="shared" si="145"/>
        <v>531</v>
      </c>
      <c r="X39">
        <f t="shared" si="145"/>
        <v>476</v>
      </c>
      <c r="Y39">
        <f t="shared" si="145"/>
        <v>574</v>
      </c>
      <c r="Z39">
        <f t="shared" si="145"/>
        <v>822</v>
      </c>
      <c r="AA39">
        <f>SUM(AA30:AA37)</f>
        <v>2847</v>
      </c>
      <c r="AB39">
        <f t="shared" si="145"/>
        <v>935</v>
      </c>
      <c r="AC39">
        <f t="shared" si="145"/>
        <v>1433</v>
      </c>
      <c r="AD39">
        <f t="shared" si="145"/>
        <v>1474</v>
      </c>
      <c r="AE39">
        <f t="shared" si="145"/>
        <v>1872</v>
      </c>
      <c r="AF39">
        <f t="shared" si="145"/>
        <v>2755</v>
      </c>
      <c r="AG39">
        <f>SUM(AG30:AG37)</f>
        <v>828</v>
      </c>
      <c r="AH39">
        <f t="shared" si="145"/>
        <v>1411</v>
      </c>
      <c r="AI39">
        <f t="shared" si="145"/>
        <v>1536</v>
      </c>
      <c r="AJ39">
        <f t="shared" si="145"/>
        <v>1864</v>
      </c>
      <c r="AK39" s="32">
        <f t="shared" ref="AK39" si="146">AA39/AF39-1</f>
        <v>3.3393829401088926E-2</v>
      </c>
      <c r="AL39" s="32">
        <f t="shared" ref="AL39" si="147">AB39/AG39-1</f>
        <v>0.12922705314009653</v>
      </c>
      <c r="AM39" s="32">
        <f t="shared" ref="AM39" si="148">AC39/AH39-1</f>
        <v>1.5591778880226892E-2</v>
      </c>
      <c r="AN39" s="32">
        <f t="shared" ref="AN39" si="149">AD39/AI39-1</f>
        <v>-4.036458333333337E-2</v>
      </c>
      <c r="AO39" s="31">
        <f>AE39/SUM(L39:INDEX(L39:N39,MOD($B$2,3)))-1</f>
        <v>2.7894736842105261</v>
      </c>
      <c r="AP39" s="22">
        <f>SUM(AP30:AP37)</f>
        <v>360</v>
      </c>
      <c r="AQ39" s="22">
        <f t="shared" ref="AQ39:AV39" si="150">SUM(AQ30:AQ37)</f>
        <v>553</v>
      </c>
      <c r="AR39" s="22">
        <f t="shared" si="150"/>
        <v>700</v>
      </c>
      <c r="AS39" s="22">
        <f t="shared" si="150"/>
        <v>620</v>
      </c>
      <c r="AT39" s="22">
        <f t="shared" si="150"/>
        <v>626</v>
      </c>
      <c r="AU39" s="22">
        <f t="shared" si="150"/>
        <v>677</v>
      </c>
      <c r="AV39" s="22">
        <f t="shared" si="150"/>
        <v>560</v>
      </c>
      <c r="BB39" s="110">
        <f>SUM(BB30:BB37)</f>
        <v>1613</v>
      </c>
      <c r="BC39" s="110">
        <f t="shared" ref="BC39:BF39" si="151">SUM(BC30:BC37)</f>
        <v>1923</v>
      </c>
      <c r="BD39" s="110">
        <f t="shared" si="151"/>
        <v>560</v>
      </c>
      <c r="BE39" s="110">
        <f t="shared" si="151"/>
        <v>0</v>
      </c>
      <c r="BF39" s="110">
        <f t="shared" si="151"/>
        <v>4096</v>
      </c>
      <c r="BG39" s="123">
        <f t="shared" ref="BG39" si="152">AP39/O39</f>
        <v>1.4937759336099585</v>
      </c>
      <c r="BH39" s="118">
        <f t="shared" ref="BH39" si="153">AQ39/P39</f>
        <v>2.3733905579399144</v>
      </c>
      <c r="BI39" s="118">
        <f t="shared" ref="BI39" si="154">AR39/Q39</f>
        <v>1.5184381778741864</v>
      </c>
      <c r="BJ39" s="118">
        <f t="shared" ref="BJ39" si="155">AS39/R39</f>
        <v>1.4553990610328638</v>
      </c>
      <c r="BK39" s="118">
        <f t="shared" ref="BK39" si="156">AT39/S39</f>
        <v>1.4729411764705882</v>
      </c>
      <c r="BL39" s="118">
        <f t="shared" si="110"/>
        <v>1.1632302405498283</v>
      </c>
      <c r="BM39" s="118">
        <f t="shared" si="110"/>
        <v>1.1691022964509394</v>
      </c>
      <c r="BS39" s="118">
        <f>BB39/SUM(O39:INDEX(O39:Q39,IF($B$2&lt;3,$B$2,3)))</f>
        <v>1.7251336898395722</v>
      </c>
      <c r="BT39" s="118">
        <f>BC39/SUM(R39:INDEX(R39:T39,IF($B$2&lt;7,$B$2-3,3)))</f>
        <v>1.3419399860432659</v>
      </c>
      <c r="BU39" s="118">
        <f t="shared" si="111"/>
        <v>0.37991858887381275</v>
      </c>
      <c r="BW39" s="118">
        <f t="shared" si="112"/>
        <v>1.438707411310151</v>
      </c>
    </row>
    <row r="40" spans="1:75" x14ac:dyDescent="0.25">
      <c r="B40" t="s">
        <v>187</v>
      </c>
      <c r="BG40" s="124"/>
    </row>
    <row r="41" spans="1:75" s="17" customFormat="1" x14ac:dyDescent="0.25">
      <c r="A41" s="20"/>
      <c r="B41" s="2" t="s">
        <v>11</v>
      </c>
      <c r="C41" s="3">
        <f t="shared" ref="C41:Z41" si="157">C3</f>
        <v>42005</v>
      </c>
      <c r="D41" s="3">
        <f t="shared" si="157"/>
        <v>42036</v>
      </c>
      <c r="E41" s="3">
        <f t="shared" si="157"/>
        <v>42064</v>
      </c>
      <c r="F41" s="3">
        <f t="shared" si="157"/>
        <v>42095</v>
      </c>
      <c r="G41" s="3">
        <f t="shared" si="157"/>
        <v>42125</v>
      </c>
      <c r="H41" s="3">
        <f t="shared" si="157"/>
        <v>42156</v>
      </c>
      <c r="I41" s="3">
        <f t="shared" si="157"/>
        <v>42186</v>
      </c>
      <c r="J41" s="3">
        <f t="shared" si="157"/>
        <v>42217</v>
      </c>
      <c r="K41" s="3">
        <f t="shared" si="157"/>
        <v>42248</v>
      </c>
      <c r="L41" s="3">
        <f t="shared" si="157"/>
        <v>42278</v>
      </c>
      <c r="M41" s="3">
        <f t="shared" si="157"/>
        <v>42309</v>
      </c>
      <c r="N41" s="3">
        <f t="shared" si="157"/>
        <v>42339</v>
      </c>
      <c r="O41" s="3">
        <f t="shared" si="157"/>
        <v>42370</v>
      </c>
      <c r="P41" s="3">
        <f t="shared" si="157"/>
        <v>42401</v>
      </c>
      <c r="Q41" s="3">
        <f t="shared" si="157"/>
        <v>42430</v>
      </c>
      <c r="R41" s="3">
        <f t="shared" si="157"/>
        <v>42461</v>
      </c>
      <c r="S41" s="3">
        <f t="shared" si="157"/>
        <v>42491</v>
      </c>
      <c r="T41" s="3">
        <f t="shared" si="157"/>
        <v>42522</v>
      </c>
      <c r="U41" s="3">
        <f t="shared" si="157"/>
        <v>42552</v>
      </c>
      <c r="V41" s="3">
        <f t="shared" si="157"/>
        <v>42583</v>
      </c>
      <c r="W41" s="3">
        <f t="shared" si="157"/>
        <v>42614</v>
      </c>
      <c r="X41" s="3">
        <f t="shared" si="157"/>
        <v>42644</v>
      </c>
      <c r="Y41" s="3">
        <f t="shared" si="157"/>
        <v>42675</v>
      </c>
      <c r="Z41" s="3">
        <f t="shared" si="157"/>
        <v>42705</v>
      </c>
      <c r="AA41" s="29" t="str">
        <f>$AA$3</f>
        <v>YTD 7/16</v>
      </c>
      <c r="AB41" s="29" t="s">
        <v>19</v>
      </c>
      <c r="AC41" s="29" t="s">
        <v>20</v>
      </c>
      <c r="AD41" s="29" t="s">
        <v>21</v>
      </c>
      <c r="AE41" s="29" t="s">
        <v>22</v>
      </c>
      <c r="AF41" s="26" t="str">
        <f t="shared" ref="AF41:AJ41" si="158">AF17</f>
        <v>YTD 7/15</v>
      </c>
      <c r="AG41" s="26" t="str">
        <f t="shared" si="158"/>
        <v>Q1 '15</v>
      </c>
      <c r="AH41" s="26" t="str">
        <f t="shared" si="158"/>
        <v>Q2 '15</v>
      </c>
      <c r="AI41" s="26" t="str">
        <f t="shared" si="158"/>
        <v>Q3 '15</v>
      </c>
      <c r="AJ41" s="26" t="str">
        <f t="shared" si="158"/>
        <v>Q4 '15</v>
      </c>
      <c r="AK41" s="30" t="s">
        <v>27</v>
      </c>
      <c r="AL41" s="30" t="s">
        <v>29</v>
      </c>
      <c r="AM41" s="30" t="s">
        <v>30</v>
      </c>
      <c r="AN41" s="30" t="s">
        <v>31</v>
      </c>
      <c r="AO41" s="30" t="s">
        <v>32</v>
      </c>
      <c r="AP41" s="108">
        <v>42736</v>
      </c>
      <c r="AQ41" s="108">
        <v>42767</v>
      </c>
      <c r="AR41" s="108">
        <v>42795</v>
      </c>
      <c r="AS41" s="108">
        <v>42826</v>
      </c>
      <c r="AT41" s="108">
        <v>42856</v>
      </c>
      <c r="AU41" s="108">
        <v>42887</v>
      </c>
      <c r="AV41" s="108">
        <v>42917</v>
      </c>
      <c r="AW41" s="108">
        <v>42948</v>
      </c>
      <c r="AX41" s="108">
        <v>42979</v>
      </c>
      <c r="AY41" s="108">
        <v>43009</v>
      </c>
      <c r="AZ41" s="108">
        <v>43040</v>
      </c>
      <c r="BA41" s="108">
        <v>43070</v>
      </c>
      <c r="BB41" s="29" t="s">
        <v>123</v>
      </c>
      <c r="BC41" s="29" t="s">
        <v>124</v>
      </c>
      <c r="BD41" s="29" t="s">
        <v>125</v>
      </c>
      <c r="BE41" s="29" t="s">
        <v>126</v>
      </c>
      <c r="BF41" s="29" t="str">
        <f>$BF$3</f>
        <v>YTD 7/17</v>
      </c>
      <c r="BG41" s="121">
        <v>42736</v>
      </c>
      <c r="BH41" s="108">
        <v>42767</v>
      </c>
      <c r="BI41" s="108">
        <v>42795</v>
      </c>
      <c r="BJ41" s="108">
        <v>42826</v>
      </c>
      <c r="BK41" s="108">
        <v>42856</v>
      </c>
      <c r="BL41" s="108">
        <v>42887</v>
      </c>
      <c r="BM41" s="108">
        <v>42917</v>
      </c>
      <c r="BN41" s="108">
        <v>42948</v>
      </c>
      <c r="BO41" s="108">
        <v>42979</v>
      </c>
      <c r="BP41" s="108">
        <v>43009</v>
      </c>
      <c r="BQ41" s="108">
        <v>43040</v>
      </c>
      <c r="BR41" s="108">
        <v>43070</v>
      </c>
      <c r="BS41" s="29" t="s">
        <v>127</v>
      </c>
      <c r="BT41" s="29" t="s">
        <v>128</v>
      </c>
      <c r="BU41" s="29" t="s">
        <v>96</v>
      </c>
      <c r="BV41" s="29" t="s">
        <v>129</v>
      </c>
      <c r="BW41" s="112" t="s">
        <v>130</v>
      </c>
    </row>
    <row r="42" spans="1:75" x14ac:dyDescent="0.25">
      <c r="A42" s="20" t="str">
        <f>$B$41&amp;"_by_rookie_mdrt:"&amp;B42</f>
        <v>Activity Ratio_by_rookie_mdrt:MDRT</v>
      </c>
      <c r="B42" t="s">
        <v>4</v>
      </c>
      <c r="C42" s="8">
        <f>IFERROR(C30/C18,"")</f>
        <v>0.79411764705882348</v>
      </c>
      <c r="D42" s="8">
        <f t="shared" ref="D42:N42" si="159">IFERROR(D30/D18,"")</f>
        <v>0.64102564102564108</v>
      </c>
      <c r="E42" s="8">
        <f t="shared" si="159"/>
        <v>0.69767441860465118</v>
      </c>
      <c r="F42" s="8">
        <f t="shared" si="159"/>
        <v>0.84</v>
      </c>
      <c r="G42" s="8">
        <f t="shared" si="159"/>
        <v>0.82692307692307687</v>
      </c>
      <c r="H42" s="8">
        <f t="shared" si="159"/>
        <v>0.77358490566037741</v>
      </c>
      <c r="I42" s="8">
        <f t="shared" si="159"/>
        <v>0.71698113207547165</v>
      </c>
      <c r="J42" s="8">
        <f t="shared" si="159"/>
        <v>0.64150943396226412</v>
      </c>
      <c r="K42" s="8">
        <f t="shared" si="159"/>
        <v>0.90566037735849059</v>
      </c>
      <c r="L42" s="8">
        <f t="shared" si="159"/>
        <v>0.79245283018867929</v>
      </c>
      <c r="M42" s="8">
        <f t="shared" si="159"/>
        <v>0.84</v>
      </c>
      <c r="N42" s="8">
        <f t="shared" si="159"/>
        <v>0.82352941176470584</v>
      </c>
      <c r="O42" s="8">
        <f t="shared" ref="O42:O48" si="160">O30*2/SUM(N18:O18)</f>
        <v>0.50381679389312972</v>
      </c>
      <c r="P42" s="8">
        <f t="shared" ref="P42:Z42" si="161">P30*2/SUM(O18:P18)</f>
        <v>0.41249999999999998</v>
      </c>
      <c r="Q42" s="8">
        <f t="shared" si="161"/>
        <v>0.58385093167701863</v>
      </c>
      <c r="R42" s="8">
        <f t="shared" si="161"/>
        <v>0.46913580246913578</v>
      </c>
      <c r="S42" s="8">
        <f t="shared" si="161"/>
        <v>0.45962732919254656</v>
      </c>
      <c r="T42" s="8">
        <f t="shared" si="161"/>
        <v>0.62420382165605093</v>
      </c>
      <c r="U42" s="8">
        <f>U30*2/SUM(T18:U18)</f>
        <v>0.42176870748299322</v>
      </c>
      <c r="V42" s="8">
        <f t="shared" si="161"/>
        <v>0.5</v>
      </c>
      <c r="W42" s="8">
        <f t="shared" si="161"/>
        <v>0.55072463768115942</v>
      </c>
      <c r="X42" s="8">
        <f t="shared" si="161"/>
        <v>0.45925925925925926</v>
      </c>
      <c r="Y42" s="8">
        <f t="shared" si="161"/>
        <v>0.46969696969696972</v>
      </c>
      <c r="Z42" s="8">
        <f t="shared" si="161"/>
        <v>0.60317460317460314</v>
      </c>
      <c r="AA42" s="139">
        <f>2*SUM(O30:INDEX(O30:Z30,$B$2))/(SUM(O18:INDEX(O18:Z18,$B$2))*2+N18-INDEX(O18:Z18,$B$2))</f>
        <v>0.49675625579240035</v>
      </c>
      <c r="AB42" s="8">
        <f>AVERAGE(O42:Q42)</f>
        <v>0.50005590852338277</v>
      </c>
      <c r="AC42" s="8">
        <f>2*SUM(R30:INDEX(R30:T30,$C$2))/(Q18+SUM(R18:INDEX(R18:T18,$C$2))*2-INDEX(R18:T18,$C$2))</f>
        <v>0.46913580246913578</v>
      </c>
      <c r="AD42" s="8">
        <f t="shared" ref="AD42:AD50" si="162">IFERROR(AVERAGE(U42:W42),"")</f>
        <v>0.49083111505471755</v>
      </c>
      <c r="AE42" s="8">
        <f t="shared" ref="AE42:AE50" si="163">IFERROR(AVERAGE(X42:Z42),"")</f>
        <v>0.51071027737694408</v>
      </c>
      <c r="AF42" s="8">
        <f>AVERAGE(C42:INDEX(C42:N42,$B$2))</f>
        <v>0.75575811733543463</v>
      </c>
      <c r="AG42" s="8">
        <f>AVERAGE(C42:E42)</f>
        <v>0.71093923556303862</v>
      </c>
      <c r="AH42" s="8">
        <f>AVERAGE(F42:H42)</f>
        <v>0.81350266086115142</v>
      </c>
      <c r="AI42" s="8">
        <f>AVERAGE(I42:K42)</f>
        <v>0.75471698113207542</v>
      </c>
      <c r="AJ42" s="8">
        <f>AVERAGE(L42:N42)</f>
        <v>0.81866074731779503</v>
      </c>
      <c r="AK42" s="31">
        <f>AA42/AF42-1</f>
        <v>-0.3427047035315921</v>
      </c>
      <c r="AL42" s="31">
        <f t="shared" ref="AL42:AO50" si="164">AB42/AG42-1</f>
        <v>-0.29662637324080687</v>
      </c>
      <c r="AM42" s="31">
        <f t="shared" si="164"/>
        <v>-0.42331374555982204</v>
      </c>
      <c r="AN42" s="31">
        <f t="shared" si="164"/>
        <v>-0.34964877255249915</v>
      </c>
      <c r="AO42" s="31">
        <f t="shared" si="164"/>
        <v>-0.37616371732710907</v>
      </c>
      <c r="AP42" s="8">
        <f t="shared" ref="AP42:AP48" si="165">IFERROR(AP30/AVERAGE(Z18,AP18),"")</f>
        <v>0.69620253164556967</v>
      </c>
      <c r="AQ42" s="8">
        <f t="shared" ref="AQ42:AV49" si="166">IFERROR(AQ30/AVERAGE(AP18,AQ18),"")</f>
        <v>0.67708333333333337</v>
      </c>
      <c r="AR42" s="8">
        <f t="shared" si="166"/>
        <v>0.76842105263157889</v>
      </c>
      <c r="AS42" s="8">
        <f t="shared" si="166"/>
        <v>0.69565217391304346</v>
      </c>
      <c r="AT42" s="8">
        <f t="shared" si="166"/>
        <v>0.70114942528735635</v>
      </c>
      <c r="AU42" s="8">
        <f t="shared" si="166"/>
        <v>0.77108433734939763</v>
      </c>
      <c r="AV42" s="8">
        <f t="shared" si="166"/>
        <v>0.73417721518987344</v>
      </c>
      <c r="BB42" s="8">
        <f t="shared" ref="BB42:BB44" si="167">IFERROR(BB30/(AVERAGE(Z18,AP18)+AVERAGE(AP18,AQ18)+AVERAGE(AR18,AQ18)),"")</f>
        <v>0.71481481481481479</v>
      </c>
      <c r="BC42" s="8">
        <f>IFERROR(BC30*2/(AR18+2*SUM(AS18:INDEX(AS18:AU18,$C$2))-INDEX(AS18:AU18,$C$2)),"")</f>
        <v>2.0543478260869565</v>
      </c>
      <c r="BD42" s="8">
        <f>IFERROR(BD30*2/(AU18+2*SUM(AV18:INDEX(AV18:AX18,$C$2))-INDEX(AV18:AX18,$C$2)),"")</f>
        <v>0.73417721518987344</v>
      </c>
      <c r="BF42" s="8">
        <f>2*SUM(AP30:INDEX(AP30:BA30,$B$2))/(SUM(AP18:INDEX(AP18:BA18,$B$2))*2+Z18-INDEX(AP18:BA18,$B$2))</f>
        <v>0.72013093289689034</v>
      </c>
      <c r="BG42" s="122">
        <f t="shared" ref="BG42:BJ50" si="168">AP42/O42</f>
        <v>1.3818565400843885</v>
      </c>
      <c r="BH42" s="111">
        <f t="shared" si="168"/>
        <v>1.6414141414141417</v>
      </c>
      <c r="BI42" s="111">
        <f t="shared" si="168"/>
        <v>1.3161254199328107</v>
      </c>
      <c r="BJ42" s="111">
        <f t="shared" si="168"/>
        <v>1.4828375286041191</v>
      </c>
      <c r="BK42" s="111">
        <f t="shared" ref="BK42:BK48" si="169">AT42/S42</f>
        <v>1.5254737496116808</v>
      </c>
      <c r="BL42" s="111">
        <f t="shared" ref="BL42:BL48" si="170">AU42/T42</f>
        <v>1.2353085812638309</v>
      </c>
      <c r="BM42" s="111">
        <f>AV42/U42</f>
        <v>1.740710494079216</v>
      </c>
      <c r="BN42" s="111"/>
      <c r="BO42" s="111"/>
      <c r="BP42" s="111"/>
      <c r="BQ42" s="111"/>
      <c r="BR42" s="111"/>
      <c r="BS42" s="111">
        <f>BB42/((O30+P30+Q30)/(SUM(N18,O18,O18,P18,P18,Q18)/2))</f>
        <v>1.4296296296296296</v>
      </c>
      <c r="BT42" s="111">
        <f t="shared" ref="BT42:BV50" si="171">BC42/AC42</f>
        <v>4.3790045766590389</v>
      </c>
      <c r="BU42" s="111">
        <f>BD42/(SUM(U30:INDEX(U30:W30, $C$2))*2/(T18+2*SUM(U18:INDEX(U18:W18,$C$2))-INDEX(U18:W18,$C$2)))</f>
        <v>1.740710494079216</v>
      </c>
      <c r="BV42" s="111">
        <f t="shared" si="171"/>
        <v>0</v>
      </c>
      <c r="BW42" s="111">
        <f t="shared" ref="BW42:BW50" si="172">BF42/AA42</f>
        <v>1.4496665608129566</v>
      </c>
    </row>
    <row r="43" spans="1:75" x14ac:dyDescent="0.25">
      <c r="A43" s="20" t="str">
        <f t="shared" ref="A43:A50" si="173">$B$41&amp;"_by_rookie_mdrt:"&amp;B43</f>
        <v>Activity Ratio_by_rookie_mdrt:Rookie in month</v>
      </c>
      <c r="B43" t="s">
        <v>5</v>
      </c>
      <c r="C43" s="8">
        <f t="shared" ref="C43:N43" si="174">IFERROR(C31/C19,"")</f>
        <v>0.20930232558139536</v>
      </c>
      <c r="D43" s="8">
        <f t="shared" si="174"/>
        <v>0.29411764705882354</v>
      </c>
      <c r="E43" s="8">
        <f t="shared" si="174"/>
        <v>0.27232142857142855</v>
      </c>
      <c r="F43" s="8">
        <f t="shared" si="174"/>
        <v>0.25249169435215946</v>
      </c>
      <c r="G43" s="8">
        <f t="shared" si="174"/>
        <v>0.33031674208144796</v>
      </c>
      <c r="H43" s="8">
        <f t="shared" si="174"/>
        <v>0.41796875</v>
      </c>
      <c r="I43" s="8">
        <f t="shared" si="174"/>
        <v>0.41484716157205243</v>
      </c>
      <c r="J43" s="8">
        <f t="shared" si="174"/>
        <v>0.33480176211453744</v>
      </c>
      <c r="K43" s="8">
        <f t="shared" si="174"/>
        <v>0.35267857142857145</v>
      </c>
      <c r="L43" s="8">
        <f t="shared" si="174"/>
        <v>0.38378378378378381</v>
      </c>
      <c r="M43" s="8">
        <f t="shared" si="174"/>
        <v>0.38585209003215432</v>
      </c>
      <c r="N43" s="8">
        <f t="shared" si="174"/>
        <v>0.46370967741935482</v>
      </c>
      <c r="O43" s="8">
        <f t="shared" si="160"/>
        <v>8.1504702194357362E-2</v>
      </c>
      <c r="P43" s="8">
        <f t="shared" ref="P43:Z43" si="175">P31*2/SUM(O19:P19)</f>
        <v>0.31724137931034485</v>
      </c>
      <c r="Q43" s="8">
        <f t="shared" si="175"/>
        <v>0.57868020304568524</v>
      </c>
      <c r="R43" s="8">
        <f t="shared" si="175"/>
        <v>0.26235741444866922</v>
      </c>
      <c r="S43" s="8">
        <f t="shared" si="175"/>
        <v>0.3532219570405728</v>
      </c>
      <c r="T43" s="8">
        <f t="shared" si="175"/>
        <v>0.43939393939393939</v>
      </c>
      <c r="U43" s="8">
        <f t="shared" si="175"/>
        <v>0.28163992869875221</v>
      </c>
      <c r="V43" s="8">
        <f t="shared" si="175"/>
        <v>0.30991735537190085</v>
      </c>
      <c r="W43" s="8">
        <f t="shared" si="175"/>
        <v>0.44718309859154931</v>
      </c>
      <c r="X43" s="8">
        <f t="shared" si="175"/>
        <v>0.28031496062992128</v>
      </c>
      <c r="Y43" s="8">
        <f t="shared" si="175"/>
        <v>0.37243401759530792</v>
      </c>
      <c r="Z43" s="8">
        <f t="shared" si="175"/>
        <v>0.45910290237467016</v>
      </c>
      <c r="AA43" s="139">
        <f>2*SUM(O31:INDEX(O31:Z31,$B$2))/(SUM(O19:INDEX(O19:Z19,$B$2))*2+N19-INDEX(O19:Z19,$B$2))</f>
        <v>0.33748271092669435</v>
      </c>
      <c r="AB43" s="8">
        <f t="shared" ref="AB43:AB50" si="176">AVERAGE(O43:Q43)</f>
        <v>0.32580876151679578</v>
      </c>
      <c r="AC43" s="8">
        <f>2*SUM(R31:INDEX(R31:T31,$C$2))/(Q19+SUM(R19:INDEX(R19:T19,$C$2))*2-INDEX(R19:T19,$C$2))</f>
        <v>0.26235741444866922</v>
      </c>
      <c r="AD43" s="8">
        <f t="shared" si="162"/>
        <v>0.34624679422073412</v>
      </c>
      <c r="AE43" s="8">
        <f t="shared" si="163"/>
        <v>0.37061729353329981</v>
      </c>
      <c r="AF43" s="8">
        <f>AVERAGE(C43:INDEX(C43:N43,$B$2))</f>
        <v>0.31305224988818675</v>
      </c>
      <c r="AG43" s="8">
        <f t="shared" ref="AG43:AG50" si="177">AVERAGE(C43:E43)</f>
        <v>0.25858046707054916</v>
      </c>
      <c r="AH43" s="8">
        <f t="shared" ref="AH43:AH50" si="178">AVERAGE(F43:H43)</f>
        <v>0.33359239547786917</v>
      </c>
      <c r="AI43" s="8">
        <f t="shared" ref="AI43:AI50" si="179">AVERAGE(I43:K43)</f>
        <v>0.36744249837172044</v>
      </c>
      <c r="AJ43" s="8">
        <f t="shared" ref="AJ43:AJ50" si="180">AVERAGE(L43:N43)</f>
        <v>0.41111518374509765</v>
      </c>
      <c r="AK43" s="31">
        <f t="shared" ref="AK43:AK50" si="181">AA43/AF43-1</f>
        <v>7.8039563833939729E-2</v>
      </c>
      <c r="AL43" s="31">
        <f t="shared" si="164"/>
        <v>0.25998984071718212</v>
      </c>
      <c r="AM43" s="31">
        <f t="shared" si="164"/>
        <v>-0.21353898348658773</v>
      </c>
      <c r="AN43" s="31">
        <f t="shared" si="164"/>
        <v>-5.7684411152527759E-2</v>
      </c>
      <c r="AO43" s="31">
        <f t="shared" si="164"/>
        <v>-9.8507405741811827E-2</v>
      </c>
      <c r="AP43" s="8">
        <f t="shared" si="165"/>
        <v>0.1649122807017544</v>
      </c>
      <c r="AQ43" s="8">
        <f t="shared" si="166"/>
        <v>0.42957746478873238</v>
      </c>
      <c r="AR43" s="8">
        <f t="shared" si="166"/>
        <v>0.39448275862068966</v>
      </c>
      <c r="AS43" s="8">
        <f t="shared" si="166"/>
        <v>0.4503937007874016</v>
      </c>
      <c r="AT43" s="8">
        <f t="shared" si="166"/>
        <v>0.48427672955974843</v>
      </c>
      <c r="AU43" s="8">
        <f t="shared" si="166"/>
        <v>0.55319148936170215</v>
      </c>
      <c r="AV43" s="8">
        <f t="shared" si="166"/>
        <v>0.41722745625841184</v>
      </c>
      <c r="BB43" s="8">
        <f t="shared" si="167"/>
        <v>0.33494363929146537</v>
      </c>
      <c r="BC43" s="8">
        <f>IFERROR(BC31*2/(AR19+2*SUM(AS19:INDEX(AS19:AU19,$C$2))-INDEX(AS19:AU19,$C$2)),"")</f>
        <v>1.5905511811023623</v>
      </c>
      <c r="BD43" s="8">
        <f>IFERROR(BD31*2/(AU19+2*SUM(AV19:INDEX(AV19:AX19,$C$2))-INDEX(AV19:AX19,$C$2)),"")</f>
        <v>0.41722745625841184</v>
      </c>
      <c r="BF43" s="8">
        <f>2*SUM(AP31:INDEX(AP31:BA31,$B$2))/(SUM(AP19:INDEX(AP19:BA19,$B$2))*2+Z19-INDEX(AP19:BA19,$B$2))</f>
        <v>0.4199611147116008</v>
      </c>
      <c r="BG43" s="122">
        <f t="shared" si="168"/>
        <v>2.0233468286099869</v>
      </c>
      <c r="BH43" s="111">
        <f t="shared" si="168"/>
        <v>1.3541028781383955</v>
      </c>
      <c r="BI43" s="111">
        <f t="shared" si="168"/>
        <v>0.68169388989715674</v>
      </c>
      <c r="BJ43" s="111">
        <f t="shared" si="168"/>
        <v>1.7167180189432842</v>
      </c>
      <c r="BK43" s="111">
        <f t="shared" si="169"/>
        <v>1.371026687064423</v>
      </c>
      <c r="BL43" s="111">
        <f t="shared" si="170"/>
        <v>1.2589875275128395</v>
      </c>
      <c r="BM43" s="111">
        <f t="shared" ref="BM43:BM50" si="182">AV43/U43</f>
        <v>1.4814215377276523</v>
      </c>
      <c r="BN43" s="111"/>
      <c r="BO43" s="111"/>
      <c r="BP43" s="111"/>
      <c r="BQ43" s="111"/>
      <c r="BR43" s="111"/>
      <c r="BS43" s="111">
        <f t="shared" ref="BS43:BS48" si="183">BB43/((O31+P31+Q31)/(SUM(N19,O19,O19,P19,P19,Q19)/2))</f>
        <v>0.95793880837359102</v>
      </c>
      <c r="BT43" s="111">
        <f t="shared" si="171"/>
        <v>6.0625356613032064</v>
      </c>
      <c r="BU43" s="111">
        <f>BD43/(SUM(U31:INDEX(U31:W31, $C$2))*2/(T19+2*SUM(U19:INDEX(U19:W19,$C$2))-INDEX(U19:W19,$C$2)))</f>
        <v>1.4814215377276523</v>
      </c>
      <c r="BV43" s="111">
        <f t="shared" si="171"/>
        <v>0</v>
      </c>
      <c r="BW43" s="111">
        <f t="shared" si="172"/>
        <v>1.2443929751495384</v>
      </c>
    </row>
    <row r="44" spans="1:75" x14ac:dyDescent="0.25">
      <c r="A44" s="20" t="str">
        <f t="shared" si="173"/>
        <v>Activity Ratio_by_rookie_mdrt:Rookie last month</v>
      </c>
      <c r="B44" t="s">
        <v>6</v>
      </c>
      <c r="C44" s="8">
        <f t="shared" ref="C44:N44" si="184">IFERROR(C32/C20,"")</f>
        <v>0.25316455696202533</v>
      </c>
      <c r="D44" s="8">
        <f t="shared" si="184"/>
        <v>0.19626168224299065</v>
      </c>
      <c r="E44" s="8">
        <f t="shared" si="184"/>
        <v>0.30882352941176472</v>
      </c>
      <c r="F44" s="8">
        <f t="shared" si="184"/>
        <v>0.32286995515695066</v>
      </c>
      <c r="G44" s="8">
        <f t="shared" si="184"/>
        <v>0.26936026936026936</v>
      </c>
      <c r="H44" s="8">
        <f t="shared" si="184"/>
        <v>0.33023255813953489</v>
      </c>
      <c r="I44" s="8">
        <f t="shared" si="184"/>
        <v>0.31726907630522089</v>
      </c>
      <c r="J44" s="8">
        <f t="shared" si="184"/>
        <v>0.21491228070175439</v>
      </c>
      <c r="K44" s="8">
        <f t="shared" si="184"/>
        <v>0.2930232558139535</v>
      </c>
      <c r="L44" s="8">
        <f t="shared" si="184"/>
        <v>0.28378378378378377</v>
      </c>
      <c r="M44" s="8">
        <f t="shared" si="184"/>
        <v>0.26519337016574585</v>
      </c>
      <c r="N44" s="8">
        <f t="shared" si="184"/>
        <v>0.4098360655737705</v>
      </c>
      <c r="O44" s="8">
        <f t="shared" si="160"/>
        <v>0.13430127041742287</v>
      </c>
      <c r="P44" s="8">
        <f t="shared" ref="P44:Z44" si="185">P32*2/SUM(O20:P20)</f>
        <v>8.8328075709779186E-2</v>
      </c>
      <c r="Q44" s="8">
        <f t="shared" si="185"/>
        <v>0.33566433566433568</v>
      </c>
      <c r="R44" s="8">
        <f t="shared" si="185"/>
        <v>0.44501278772378516</v>
      </c>
      <c r="S44" s="8">
        <f t="shared" si="185"/>
        <v>0.22476190476190477</v>
      </c>
      <c r="T44" s="8">
        <f t="shared" si="185"/>
        <v>0.32458233890214799</v>
      </c>
      <c r="U44" s="8">
        <f t="shared" si="185"/>
        <v>0.32258064516129031</v>
      </c>
      <c r="V44" s="8">
        <f t="shared" si="185"/>
        <v>0.25044722719141321</v>
      </c>
      <c r="W44" s="8">
        <f t="shared" si="185"/>
        <v>0.29645093945720252</v>
      </c>
      <c r="X44" s="8">
        <f t="shared" si="185"/>
        <v>0.35168738898756663</v>
      </c>
      <c r="Y44" s="8">
        <f t="shared" si="185"/>
        <v>0.33491311216429698</v>
      </c>
      <c r="Z44" s="8">
        <f t="shared" si="185"/>
        <v>0.31130690161527164</v>
      </c>
      <c r="AA44" s="139">
        <f>2*SUM(O32:INDEX(O32:Z32,$B$2))/(SUM(O20:INDEX(O20:Z20,$B$2))*2+N20-INDEX(O20:Z20,$B$2))</f>
        <v>0.26035502958579881</v>
      </c>
      <c r="AB44" s="8">
        <f t="shared" si="176"/>
        <v>0.18609789393051257</v>
      </c>
      <c r="AC44" s="8">
        <f>2*SUM(R32:INDEX(R32:T32,$C$2))/(Q20+SUM(R20:INDEX(R20:T20,$C$2))*2-INDEX(R20:T20,$C$2))</f>
        <v>0.44501278772378516</v>
      </c>
      <c r="AD44" s="8">
        <f t="shared" si="162"/>
        <v>0.28982627060330207</v>
      </c>
      <c r="AE44" s="8">
        <f t="shared" si="163"/>
        <v>0.33263580092237843</v>
      </c>
      <c r="AF44" s="8">
        <f>AVERAGE(C44:INDEX(C44:N44,$B$2))</f>
        <v>0.2854259467969652</v>
      </c>
      <c r="AG44" s="8">
        <f t="shared" si="177"/>
        <v>0.25274992287226022</v>
      </c>
      <c r="AH44" s="8">
        <f t="shared" si="178"/>
        <v>0.3074875942189183</v>
      </c>
      <c r="AI44" s="8">
        <f t="shared" si="179"/>
        <v>0.27506820427364292</v>
      </c>
      <c r="AJ44" s="8">
        <f t="shared" si="180"/>
        <v>0.31960440650776673</v>
      </c>
      <c r="AK44" s="31">
        <f t="shared" si="181"/>
        <v>-8.7836853980904239E-2</v>
      </c>
      <c r="AL44" s="31">
        <f t="shared" si="164"/>
        <v>-0.2637074155525404</v>
      </c>
      <c r="AM44" s="31">
        <f t="shared" si="164"/>
        <v>0.44725444567677308</v>
      </c>
      <c r="AN44" s="31">
        <f t="shared" si="164"/>
        <v>5.3652389117927912E-2</v>
      </c>
      <c r="AO44" s="31">
        <f t="shared" si="164"/>
        <v>4.0773512971871373E-2</v>
      </c>
      <c r="AP44" s="8">
        <f t="shared" si="165"/>
        <v>0.14550264550264549</v>
      </c>
      <c r="AQ44" s="8">
        <f t="shared" si="166"/>
        <v>0.1619718309859155</v>
      </c>
      <c r="AR44" s="8">
        <f t="shared" si="166"/>
        <v>0.33450704225352113</v>
      </c>
      <c r="AS44" s="8">
        <f t="shared" si="166"/>
        <v>0.23628691983122363</v>
      </c>
      <c r="AT44" s="8">
        <f t="shared" si="166"/>
        <v>0.2459546925566343</v>
      </c>
      <c r="AU44" s="8">
        <f t="shared" si="166"/>
        <v>0.28852459016393445</v>
      </c>
      <c r="AV44" s="8">
        <f t="shared" si="166"/>
        <v>0.17427385892116182</v>
      </c>
      <c r="BB44" s="8">
        <f t="shared" si="167"/>
        <v>0.20718816067653276</v>
      </c>
      <c r="BC44" s="8">
        <f>IFERROR(BC32*2/(AR20+2*SUM(AS20:INDEX(AS20:AU20,$C$2))-INDEX(AS20:AU20,$C$2)),"")</f>
        <v>0.69760900140646975</v>
      </c>
      <c r="BD44" s="8">
        <f>IFERROR(BD32*2/(AU20+2*SUM(AV20:INDEX(AV20:AX20,$C$2))-INDEX(AV20:AX20,$C$2)),"")</f>
        <v>0.17427385892116182</v>
      </c>
      <c r="BF44" s="8">
        <f>2*SUM(AP32:INDEX(AP32:BA32,$B$2))/(SUM(AP20:INDEX(AP20:BA20,$B$2))*2+Z20-INDEX(AP20:BA20,$B$2))</f>
        <v>0.22266139657444006</v>
      </c>
      <c r="BG44" s="122">
        <f t="shared" si="168"/>
        <v>1.0834048334048332</v>
      </c>
      <c r="BH44" s="111">
        <f t="shared" si="168"/>
        <v>1.8337525150905432</v>
      </c>
      <c r="BI44" s="111">
        <f t="shared" si="168"/>
        <v>0.99655223004694826</v>
      </c>
      <c r="BJ44" s="111">
        <f t="shared" si="168"/>
        <v>0.53096658421843934</v>
      </c>
      <c r="BK44" s="111">
        <f t="shared" si="169"/>
        <v>1.0942899456968898</v>
      </c>
      <c r="BL44" s="111">
        <f t="shared" si="170"/>
        <v>0.88891031822565092</v>
      </c>
      <c r="BM44" s="111">
        <f t="shared" si="182"/>
        <v>0.54024896265560163</v>
      </c>
      <c r="BN44" s="111"/>
      <c r="BO44" s="111"/>
      <c r="BP44" s="111"/>
      <c r="BQ44" s="111"/>
      <c r="BR44" s="111"/>
      <c r="BS44" s="111">
        <f t="shared" si="183"/>
        <v>1.3964482029598309</v>
      </c>
      <c r="BT44" s="111">
        <f t="shared" si="171"/>
        <v>1.5676156295972969</v>
      </c>
      <c r="BU44" s="111">
        <f>BD44/(SUM(U32:INDEX(U32:W32, $C$2))*2/(T20+2*SUM(U20:INDEX(U20:W20,$C$2))-INDEX(U20:W20,$C$2)))</f>
        <v>0.54024896265560163</v>
      </c>
      <c r="BV44" s="111">
        <f t="shared" si="171"/>
        <v>0</v>
      </c>
      <c r="BW44" s="111">
        <f t="shared" si="172"/>
        <v>0.8552221822972812</v>
      </c>
    </row>
    <row r="45" spans="1:75" x14ac:dyDescent="0.25">
      <c r="A45" s="20" t="str">
        <f t="shared" si="173"/>
        <v>Activity Ratio_by_rookie_mdrt:2-3 months</v>
      </c>
      <c r="B45" t="s">
        <v>7</v>
      </c>
      <c r="C45" s="8">
        <f t="shared" ref="C45:N45" si="186">IFERROR(C33/C21,"")</f>
        <v>0.20270270270270271</v>
      </c>
      <c r="D45" s="8">
        <f t="shared" si="186"/>
        <v>0.14418604651162792</v>
      </c>
      <c r="E45" s="8">
        <f t="shared" si="186"/>
        <v>0.20956719817767655</v>
      </c>
      <c r="F45" s="8">
        <f t="shared" si="186"/>
        <v>0.19259259259259259</v>
      </c>
      <c r="G45" s="8">
        <f t="shared" si="186"/>
        <v>0.28125</v>
      </c>
      <c r="H45" s="8">
        <f t="shared" si="186"/>
        <v>0.31724137931034485</v>
      </c>
      <c r="I45" s="8">
        <f t="shared" si="186"/>
        <v>0.28604651162790695</v>
      </c>
      <c r="J45" s="8">
        <f t="shared" si="186"/>
        <v>0.17209302325581396</v>
      </c>
      <c r="K45" s="8">
        <f t="shared" si="186"/>
        <v>0.26570048309178745</v>
      </c>
      <c r="L45" s="8">
        <f t="shared" si="186"/>
        <v>0.19143576826196473</v>
      </c>
      <c r="M45" s="8">
        <f t="shared" si="186"/>
        <v>0.26884422110552764</v>
      </c>
      <c r="N45" s="8">
        <f t="shared" si="186"/>
        <v>0.3457142857142857</v>
      </c>
      <c r="O45" s="8">
        <f t="shared" si="160"/>
        <v>0.12285012285012285</v>
      </c>
      <c r="P45" s="8">
        <f t="shared" ref="P45:Z45" si="187">P33*2/SUM(O21:P21)</f>
        <v>0.11267605633802817</v>
      </c>
      <c r="Q45" s="8">
        <f t="shared" si="187"/>
        <v>0.13138686131386862</v>
      </c>
      <c r="R45" s="8">
        <f t="shared" si="187"/>
        <v>0.11574074074074074</v>
      </c>
      <c r="S45" s="8">
        <f t="shared" si="187"/>
        <v>0.30534351145038169</v>
      </c>
      <c r="T45" s="8">
        <f t="shared" si="187"/>
        <v>0.22602739726027396</v>
      </c>
      <c r="U45" s="8">
        <f t="shared" si="187"/>
        <v>0.16367713004484305</v>
      </c>
      <c r="V45" s="8">
        <f t="shared" si="187"/>
        <v>0.16907675194660735</v>
      </c>
      <c r="W45" s="8">
        <f t="shared" si="187"/>
        <v>0.140625</v>
      </c>
      <c r="X45" s="8">
        <f t="shared" si="187"/>
        <v>0.12968591691995948</v>
      </c>
      <c r="Y45" s="8">
        <f t="shared" si="187"/>
        <v>0.214</v>
      </c>
      <c r="Z45" s="8">
        <f t="shared" si="187"/>
        <v>0.29097283085013148</v>
      </c>
      <c r="AA45" s="139">
        <f>2*SUM(O33:INDEX(O33:Z33,$B$2))/(SUM(O21:INDEX(O21:Z21,$B$2))*2+N21-INDEX(O21:Z21,$B$2))</f>
        <v>0.16324243556219648</v>
      </c>
      <c r="AB45" s="8">
        <f t="shared" si="176"/>
        <v>0.12230434683400655</v>
      </c>
      <c r="AC45" s="8">
        <f>2*SUM(R33:INDEX(R33:T33,$C$2))/(Q21+SUM(R21:INDEX(R21:T21,$C$2))*2-INDEX(R21:T21,$C$2))</f>
        <v>0.11574074074074074</v>
      </c>
      <c r="AD45" s="8">
        <f t="shared" si="162"/>
        <v>0.15779296066381679</v>
      </c>
      <c r="AE45" s="8">
        <f t="shared" si="163"/>
        <v>0.21155291592336364</v>
      </c>
      <c r="AF45" s="8">
        <f>AVERAGE(C45:INDEX(C45:N45,$B$2))</f>
        <v>0.23336949013183594</v>
      </c>
      <c r="AG45" s="8">
        <f t="shared" si="177"/>
        <v>0.18548531579733574</v>
      </c>
      <c r="AH45" s="8">
        <f t="shared" si="178"/>
        <v>0.26369465730097913</v>
      </c>
      <c r="AI45" s="8">
        <f t="shared" si="179"/>
        <v>0.24128000599183616</v>
      </c>
      <c r="AJ45" s="8">
        <f t="shared" si="180"/>
        <v>0.26866475836059273</v>
      </c>
      <c r="AK45" s="31">
        <f t="shared" si="181"/>
        <v>-0.30049795510982624</v>
      </c>
      <c r="AL45" s="31">
        <f t="shared" si="164"/>
        <v>-0.3406251793665529</v>
      </c>
      <c r="AM45" s="31">
        <f t="shared" si="164"/>
        <v>-0.56108044840424998</v>
      </c>
      <c r="AN45" s="31">
        <f t="shared" si="164"/>
        <v>-0.34601725486878598</v>
      </c>
      <c r="AO45" s="31">
        <f t="shared" si="164"/>
        <v>-0.21257660582552296</v>
      </c>
      <c r="AP45" s="8">
        <f t="shared" si="165"/>
        <v>0.13322759714512292</v>
      </c>
      <c r="AQ45" s="8">
        <f t="shared" si="166"/>
        <v>0.17613636363636365</v>
      </c>
      <c r="AR45" s="8">
        <f t="shared" si="166"/>
        <v>0.13272311212814644</v>
      </c>
      <c r="AS45" s="8">
        <f t="shared" si="166"/>
        <v>0.1372369624885636</v>
      </c>
      <c r="AT45" s="8">
        <f t="shared" si="166"/>
        <v>0.15849673202614378</v>
      </c>
      <c r="AU45" s="8">
        <f t="shared" si="166"/>
        <v>0.14664586583463338</v>
      </c>
      <c r="AV45" s="8">
        <f t="shared" si="166"/>
        <v>0.13679653679653681</v>
      </c>
      <c r="BB45" s="8">
        <f>IFERROR(BB33/(AVERAGE(Z21,AP21)+AVERAGE(AP21,AQ21)+AVERAGE(AR21,AQ21)),"")</f>
        <v>0.14824120603015076</v>
      </c>
      <c r="BC45" s="8">
        <f>IFERROR(BC33*2/(AR21+2*SUM(AS21:INDEX(AS21:AU21,$C$2))-INDEX(AS21:AU21,$C$2)),"")</f>
        <v>0.48673376029277221</v>
      </c>
      <c r="BD45" s="8">
        <f>IFERROR(BD33*2/(AU21+2*SUM(AV21:INDEX(AV21:AX21,$C$2))-INDEX(AV21:AX21,$C$2)),"")</f>
        <v>0.13679653679653681</v>
      </c>
      <c r="BF45" s="8">
        <f>2*SUM(AP33:INDEX(AP33:BA33,$B$2))/(SUM(AP21:INDEX(AP21:BA21,$B$2))*2+Z21-INDEX(AP21:BA21,$B$2))</f>
        <v>0.1465536981909778</v>
      </c>
      <c r="BG45" s="122">
        <f t="shared" si="168"/>
        <v>1.0844726407613006</v>
      </c>
      <c r="BH45" s="111">
        <f t="shared" si="168"/>
        <v>1.5632102272727273</v>
      </c>
      <c r="BI45" s="111">
        <f t="shared" si="168"/>
        <v>1.0101703534197812</v>
      </c>
      <c r="BJ45" s="111">
        <f t="shared" si="168"/>
        <v>1.1857273559011894</v>
      </c>
      <c r="BK45" s="111">
        <f t="shared" si="169"/>
        <v>0.51907679738562085</v>
      </c>
      <c r="BL45" s="111">
        <f t="shared" si="170"/>
        <v>0.64879686096534772</v>
      </c>
      <c r="BM45" s="111">
        <f t="shared" si="182"/>
        <v>0.83577062207199193</v>
      </c>
      <c r="BN45" s="111"/>
      <c r="BO45" s="111"/>
      <c r="BP45" s="111"/>
      <c r="BQ45" s="111"/>
      <c r="BR45" s="111"/>
      <c r="BS45" s="111">
        <f t="shared" si="183"/>
        <v>1.2183574120603016</v>
      </c>
      <c r="BT45" s="111">
        <f t="shared" si="171"/>
        <v>4.2053796889295523</v>
      </c>
      <c r="BU45" s="111">
        <f>BD45/(SUM(U33:INDEX(U33:W33, $C$2))*2/(T21+2*SUM(U21:INDEX(U21:W21,$C$2))-INDEX(U21:W21,$C$2)))</f>
        <v>0.83577062207199193</v>
      </c>
      <c r="BV45" s="111">
        <f t="shared" si="171"/>
        <v>0</v>
      </c>
      <c r="BW45" s="111">
        <f t="shared" si="172"/>
        <v>0.89776716260239731</v>
      </c>
    </row>
    <row r="46" spans="1:75" x14ac:dyDescent="0.25">
      <c r="A46" s="20" t="str">
        <f t="shared" si="173"/>
        <v>Activity Ratio_by_rookie_mdrt:4 - 6 mths</v>
      </c>
      <c r="B46" t="s">
        <v>8</v>
      </c>
      <c r="C46" s="8">
        <f t="shared" ref="C46:N46" si="188">IFERROR(C34/C22,"")</f>
        <v>0.17708333333333334</v>
      </c>
      <c r="D46" s="8">
        <f t="shared" si="188"/>
        <v>0.12110726643598616</v>
      </c>
      <c r="E46" s="8">
        <f t="shared" si="188"/>
        <v>0.1853035143769968</v>
      </c>
      <c r="F46" s="8">
        <f t="shared" si="188"/>
        <v>0.22408963585434175</v>
      </c>
      <c r="G46" s="8">
        <f t="shared" si="188"/>
        <v>0.27873563218390807</v>
      </c>
      <c r="H46" s="8">
        <f t="shared" si="188"/>
        <v>0.2834008097165992</v>
      </c>
      <c r="I46" s="8">
        <f t="shared" si="188"/>
        <v>0.2874493927125506</v>
      </c>
      <c r="J46" s="8">
        <f t="shared" si="188"/>
        <v>0.23646723646723647</v>
      </c>
      <c r="K46" s="8">
        <f t="shared" si="188"/>
        <v>0.35128205128205126</v>
      </c>
      <c r="L46" s="8">
        <f t="shared" si="188"/>
        <v>0.23627684964200477</v>
      </c>
      <c r="M46" s="8">
        <f t="shared" si="188"/>
        <v>0.26224783861671469</v>
      </c>
      <c r="N46" s="8">
        <f t="shared" si="188"/>
        <v>0.36656891495601174</v>
      </c>
      <c r="O46" s="8">
        <f t="shared" si="160"/>
        <v>0.10112359550561797</v>
      </c>
      <c r="P46" s="8">
        <f t="shared" ref="P46:Z46" si="189">P34*2/SUM(O22:P22)</f>
        <v>9.2348284960422161E-2</v>
      </c>
      <c r="Q46" s="8">
        <f t="shared" si="189"/>
        <v>0.19399538106235567</v>
      </c>
      <c r="R46" s="8">
        <f t="shared" si="189"/>
        <v>0.15686274509803921</v>
      </c>
      <c r="S46" s="8">
        <f t="shared" si="189"/>
        <v>0.10901001112347053</v>
      </c>
      <c r="T46" s="8">
        <f t="shared" si="189"/>
        <v>0.15455950540958269</v>
      </c>
      <c r="U46" s="8">
        <f t="shared" si="189"/>
        <v>0.20608108108108109</v>
      </c>
      <c r="V46" s="8">
        <f t="shared" si="189"/>
        <v>0.19631901840490798</v>
      </c>
      <c r="W46" s="8">
        <f t="shared" si="189"/>
        <v>0.18144329896907216</v>
      </c>
      <c r="X46" s="8">
        <f t="shared" si="189"/>
        <v>0.12037037037037036</v>
      </c>
      <c r="Y46" s="8">
        <f t="shared" si="189"/>
        <v>8.2051282051282051E-2</v>
      </c>
      <c r="Z46" s="8">
        <f t="shared" si="189"/>
        <v>0.15978928884986832</v>
      </c>
      <c r="AA46" s="139">
        <f>2*SUM(O34:INDEX(O34:Z34,$B$2))/(SUM(O22:INDEX(O22:Z22,$B$2))*2+N22-INDEX(O22:Z22,$B$2))</f>
        <v>0.14367076979606835</v>
      </c>
      <c r="AB46" s="8">
        <f t="shared" si="176"/>
        <v>0.12915575384279862</v>
      </c>
      <c r="AC46" s="8">
        <f>2*SUM(R34:INDEX(R34:T34,$C$2))/(Q22+SUM(R22:INDEX(R22:T22,$C$2))*2-INDEX(R22:T22,$C$2))</f>
        <v>0.15686274509803921</v>
      </c>
      <c r="AD46" s="8">
        <f t="shared" si="162"/>
        <v>0.19461446615168709</v>
      </c>
      <c r="AE46" s="8">
        <f t="shared" si="163"/>
        <v>0.12073698042384025</v>
      </c>
      <c r="AF46" s="8">
        <f>AVERAGE(C46:INDEX(C46:N46,$B$2))</f>
        <v>0.2224527978019594</v>
      </c>
      <c r="AG46" s="8">
        <f t="shared" si="177"/>
        <v>0.16116470471543876</v>
      </c>
      <c r="AH46" s="8">
        <f t="shared" si="178"/>
        <v>0.26207535925161635</v>
      </c>
      <c r="AI46" s="8">
        <f t="shared" si="179"/>
        <v>0.29173289348727943</v>
      </c>
      <c r="AJ46" s="8">
        <f t="shared" si="180"/>
        <v>0.28836453440491039</v>
      </c>
      <c r="AK46" s="31">
        <f t="shared" si="181"/>
        <v>-0.35415166176524082</v>
      </c>
      <c r="AL46" s="31">
        <f t="shared" si="164"/>
        <v>-0.19861017912797285</v>
      </c>
      <c r="AM46" s="31">
        <f t="shared" si="164"/>
        <v>-0.40145939112331197</v>
      </c>
      <c r="AN46" s="31">
        <f t="shared" si="164"/>
        <v>-0.33290187532393234</v>
      </c>
      <c r="AO46" s="31">
        <f t="shared" si="164"/>
        <v>-0.58130433524704528</v>
      </c>
      <c r="AP46" s="8">
        <f t="shared" si="165"/>
        <v>7.4342701722574803E-2</v>
      </c>
      <c r="AQ46" s="8">
        <f t="shared" si="166"/>
        <v>0.17279046673286991</v>
      </c>
      <c r="AR46" s="8">
        <f t="shared" si="166"/>
        <v>0.32</v>
      </c>
      <c r="AS46" s="8">
        <f t="shared" si="166"/>
        <v>0.20062695924764889</v>
      </c>
      <c r="AT46" s="8">
        <f t="shared" si="166"/>
        <v>0.16464891041162227</v>
      </c>
      <c r="AU46" s="8">
        <f t="shared" si="166"/>
        <v>0.18128654970760233</v>
      </c>
      <c r="AV46" s="8">
        <f t="shared" si="166"/>
        <v>0.20578778135048231</v>
      </c>
      <c r="BB46" s="8">
        <f t="shared" ref="BB46:BB48" si="190">IFERROR(BB34/(AVERAGE(Z22,AP22)+AVERAGE(AP22,AQ22)+AVERAGE(AR22,AQ22)),"")</f>
        <v>0.18187808896210872</v>
      </c>
      <c r="BC46" s="8">
        <f>IFERROR(BC34*2/(AR22+2*SUM(AS22:INDEX(AS22:AU22,$C$2))-INDEX(AS22:AU22,$C$2)),"")</f>
        <v>0.4723092998955068</v>
      </c>
      <c r="BD46" s="8">
        <f>IFERROR(BD34*2/(AU22+2*SUM(AV22:INDEX(AV22:AX22,$C$2))-INDEX(AV22:AX22,$C$2)),"")</f>
        <v>0.20578778135048231</v>
      </c>
      <c r="BF46" s="8">
        <f>2*SUM(AP34:INDEX(AP34:BA34,$B$2))/(SUM(AP22:INDEX(AP22:BA22,$B$2))*2+Z22-INDEX(AP22:BA22,$B$2))</f>
        <v>0.18484650555192683</v>
      </c>
      <c r="BG46" s="122">
        <f t="shared" si="168"/>
        <v>0.73516671703435088</v>
      </c>
      <c r="BH46" s="111">
        <f t="shared" si="168"/>
        <v>1.871073911193077</v>
      </c>
      <c r="BI46" s="111">
        <f t="shared" si="168"/>
        <v>1.6495238095238094</v>
      </c>
      <c r="BJ46" s="111">
        <f t="shared" si="168"/>
        <v>1.2789968652037618</v>
      </c>
      <c r="BK46" s="111">
        <f t="shared" si="169"/>
        <v>1.5104017393882492</v>
      </c>
      <c r="BL46" s="111">
        <f t="shared" si="170"/>
        <v>1.1729239766081871</v>
      </c>
      <c r="BM46" s="111">
        <f t="shared" si="182"/>
        <v>0.99857677507775022</v>
      </c>
      <c r="BN46" s="111"/>
      <c r="BO46" s="111"/>
      <c r="BP46" s="111"/>
      <c r="BQ46" s="111"/>
      <c r="BR46" s="111"/>
      <c r="BS46" s="111">
        <f t="shared" si="183"/>
        <v>1.3705394058564062</v>
      </c>
      <c r="BT46" s="111">
        <f t="shared" si="171"/>
        <v>3.0109717868338559</v>
      </c>
      <c r="BU46" s="111">
        <f>BD46/(SUM(U34:INDEX(U34:W34, $C$2))*2/(T22+2*SUM(U22:INDEX(U22:W22,$C$2))-INDEX(U22:W22,$C$2)))</f>
        <v>0.99857677507775022</v>
      </c>
      <c r="BV46" s="111">
        <f t="shared" si="171"/>
        <v>0</v>
      </c>
      <c r="BW46" s="111">
        <f t="shared" si="172"/>
        <v>1.286597864090969</v>
      </c>
    </row>
    <row r="47" spans="1:75" x14ac:dyDescent="0.25">
      <c r="A47" s="20" t="str">
        <f t="shared" si="173"/>
        <v>Activity Ratio_by_rookie_mdrt:7-12mth</v>
      </c>
      <c r="B47" t="s">
        <v>1</v>
      </c>
      <c r="C47" s="8">
        <f t="shared" ref="C47:N47" si="191">IFERROR(C35/C23,"")</f>
        <v>0.15656565656565657</v>
      </c>
      <c r="D47" s="8">
        <f t="shared" si="191"/>
        <v>0.12648221343873517</v>
      </c>
      <c r="E47" s="8">
        <f t="shared" si="191"/>
        <v>9.3645484949832769E-2</v>
      </c>
      <c r="F47" s="8">
        <f t="shared" si="191"/>
        <v>0.17595307917888564</v>
      </c>
      <c r="G47" s="8">
        <f t="shared" si="191"/>
        <v>0.234375</v>
      </c>
      <c r="H47" s="8">
        <f t="shared" si="191"/>
        <v>0.30847457627118646</v>
      </c>
      <c r="I47" s="8">
        <f t="shared" si="191"/>
        <v>0.28104575163398693</v>
      </c>
      <c r="J47" s="8">
        <f t="shared" si="191"/>
        <v>0.2435064935064935</v>
      </c>
      <c r="K47" s="8">
        <f t="shared" si="191"/>
        <v>0.37546468401486988</v>
      </c>
      <c r="L47" s="8">
        <f t="shared" si="191"/>
        <v>0.27138643067846607</v>
      </c>
      <c r="M47" s="8">
        <f t="shared" si="191"/>
        <v>0.31873479318734793</v>
      </c>
      <c r="N47" s="8">
        <f t="shared" si="191"/>
        <v>0.34382566585956414</v>
      </c>
      <c r="O47" s="8">
        <f t="shared" si="160"/>
        <v>0.10650887573964497</v>
      </c>
      <c r="P47" s="8">
        <f t="shared" ref="P47:Z47" si="192">P35*2/SUM(O23:P23)</f>
        <v>9.6491228070175433E-2</v>
      </c>
      <c r="Q47" s="8">
        <f t="shared" si="192"/>
        <v>0.16463414634146342</v>
      </c>
      <c r="R47" s="8">
        <f t="shared" si="192"/>
        <v>0.15083251714005877</v>
      </c>
      <c r="S47" s="8">
        <f t="shared" si="192"/>
        <v>0.14038657171922686</v>
      </c>
      <c r="T47" s="8">
        <f t="shared" si="192"/>
        <v>0.19282051282051282</v>
      </c>
      <c r="U47" s="8">
        <f t="shared" si="192"/>
        <v>0.15866797257590598</v>
      </c>
      <c r="V47" s="8">
        <f t="shared" si="192"/>
        <v>0.15055951169888099</v>
      </c>
      <c r="W47" s="8">
        <f t="shared" si="192"/>
        <v>0.1373873873873874</v>
      </c>
      <c r="X47" s="8">
        <f t="shared" si="192"/>
        <v>0.14238773274917854</v>
      </c>
      <c r="Y47" s="8">
        <f t="shared" si="192"/>
        <v>0.15281757402101243</v>
      </c>
      <c r="Z47" s="8">
        <f t="shared" si="192"/>
        <v>0.20664206642066421</v>
      </c>
      <c r="AA47" s="139">
        <f>2*SUM(O35:INDEX(O35:Z35,$B$2))/(SUM(O23:INDEX(O23:Z23,$B$2))*2+N23-INDEX(O23:Z23,$B$2))</f>
        <v>0.14567571576917371</v>
      </c>
      <c r="AB47" s="8">
        <f t="shared" si="176"/>
        <v>0.12254475005042793</v>
      </c>
      <c r="AC47" s="8">
        <f>2*SUM(R35:INDEX(R35:T35,$C$2))/(Q23+SUM(R23:INDEX(R23:T23,$C$2))*2-INDEX(R23:T23,$C$2))</f>
        <v>0.15083251714005877</v>
      </c>
      <c r="AD47" s="8">
        <f t="shared" si="162"/>
        <v>0.14887162388739147</v>
      </c>
      <c r="AE47" s="8">
        <f t="shared" si="163"/>
        <v>0.16728245773028505</v>
      </c>
      <c r="AF47" s="8">
        <f>AVERAGE(C47:INDEX(C47:N47,$B$2))</f>
        <v>0.19664882314832624</v>
      </c>
      <c r="AG47" s="8">
        <f t="shared" si="177"/>
        <v>0.12556445165140817</v>
      </c>
      <c r="AH47" s="8">
        <f t="shared" si="178"/>
        <v>0.23960088515002406</v>
      </c>
      <c r="AI47" s="8">
        <f t="shared" si="179"/>
        <v>0.30000564305178345</v>
      </c>
      <c r="AJ47" s="8">
        <f t="shared" si="180"/>
        <v>0.3113156299084594</v>
      </c>
      <c r="AK47" s="31">
        <f t="shared" si="181"/>
        <v>-0.25920880971001314</v>
      </c>
      <c r="AL47" s="31">
        <f t="shared" si="164"/>
        <v>-2.4049016750087304E-2</v>
      </c>
      <c r="AM47" s="31">
        <f t="shared" si="164"/>
        <v>-0.37048430749487316</v>
      </c>
      <c r="AN47" s="31">
        <f t="shared" si="164"/>
        <v>-0.50377058786959217</v>
      </c>
      <c r="AO47" s="31">
        <f t="shared" si="164"/>
        <v>-0.46265962367686608</v>
      </c>
      <c r="AP47" s="8">
        <f t="shared" si="165"/>
        <v>4.9036777583187391E-2</v>
      </c>
      <c r="AQ47" s="8">
        <f t="shared" si="166"/>
        <v>7.2649572649572655E-2</v>
      </c>
      <c r="AR47" s="8">
        <f t="shared" si="166"/>
        <v>0.17268445839874411</v>
      </c>
      <c r="AS47" s="8">
        <f t="shared" si="166"/>
        <v>0.1975736568457539</v>
      </c>
      <c r="AT47" s="8">
        <f t="shared" si="166"/>
        <v>0.2814569536423841</v>
      </c>
      <c r="AU47" s="8">
        <f t="shared" si="166"/>
        <v>0.23404255319148937</v>
      </c>
      <c r="AV47" s="8">
        <f t="shared" si="166"/>
        <v>0.17100371747211895</v>
      </c>
      <c r="BB47" s="8">
        <f t="shared" si="190"/>
        <v>8.6187845303867403E-2</v>
      </c>
      <c r="BC47" s="8">
        <f>IFERROR(BC35*2/(AR23+2*SUM(AS23:INDEX(AS23:AU23,$C$2))-INDEX(AS23:AU23,$C$2)),"")</f>
        <v>0.79722703639514736</v>
      </c>
      <c r="BD47" s="8">
        <f>IFERROR(BD35*2/(AU23+2*SUM(AV23:INDEX(AV23:AX23,$C$2))-INDEX(AV23:AX23,$C$2)),"")</f>
        <v>0.17100371747211895</v>
      </c>
      <c r="BF47" s="8">
        <f>2*SUM(AP35:INDEX(AP35:BA35,$B$2))/(SUM(AP23:INDEX(AP23:BA23,$B$2))*2+Z23-INDEX(AP23:BA23,$B$2))</f>
        <v>0.15252062328139321</v>
      </c>
      <c r="BG47" s="122">
        <f t="shared" si="168"/>
        <v>0.46040085619770382</v>
      </c>
      <c r="BH47" s="111">
        <f t="shared" si="168"/>
        <v>0.75291375291375306</v>
      </c>
      <c r="BI47" s="111">
        <f t="shared" si="168"/>
        <v>1.0488981917553346</v>
      </c>
      <c r="BJ47" s="111">
        <f t="shared" si="168"/>
        <v>1.3098876859708748</v>
      </c>
      <c r="BK47" s="111">
        <f t="shared" si="169"/>
        <v>2.0048709089164025</v>
      </c>
      <c r="BL47" s="111">
        <f t="shared" si="170"/>
        <v>1.2137845178813944</v>
      </c>
      <c r="BM47" s="111">
        <f t="shared" si="182"/>
        <v>1.077745651475515</v>
      </c>
      <c r="BN47" s="111"/>
      <c r="BO47" s="111"/>
      <c r="BP47" s="111"/>
      <c r="BQ47" s="111"/>
      <c r="BR47" s="111"/>
      <c r="BS47" s="111">
        <f t="shared" si="183"/>
        <v>0.69482612934676635</v>
      </c>
      <c r="BT47" s="111">
        <f t="shared" si="171"/>
        <v>5.285511715321074</v>
      </c>
      <c r="BU47" s="111">
        <f>BD47/(SUM(U35:INDEX(U35:W35, $C$2))*2/(T23+2*SUM(U23:INDEX(U23:W23,$C$2))-INDEX(U23:W23,$C$2)))</f>
        <v>1.077745651475515</v>
      </c>
      <c r="BV47" s="111">
        <f t="shared" si="171"/>
        <v>0</v>
      </c>
      <c r="BW47" s="111">
        <f t="shared" si="172"/>
        <v>1.04698729281046</v>
      </c>
    </row>
    <row r="48" spans="1:75" x14ac:dyDescent="0.25">
      <c r="A48" s="20" t="str">
        <f t="shared" si="173"/>
        <v>Activity Ratio_by_rookie_mdrt:13+mth</v>
      </c>
      <c r="B48" t="s">
        <v>2</v>
      </c>
      <c r="C48" s="8">
        <f t="shared" ref="C48:N48" si="193">IFERROR(C36/C24,"")</f>
        <v>0.2441860465116279</v>
      </c>
      <c r="D48" s="8">
        <f t="shared" si="193"/>
        <v>0.12222222222222222</v>
      </c>
      <c r="E48" s="8">
        <f t="shared" si="193"/>
        <v>0.18181818181818182</v>
      </c>
      <c r="F48" s="8">
        <f t="shared" si="193"/>
        <v>0.20454545454545456</v>
      </c>
      <c r="G48" s="8">
        <f t="shared" si="193"/>
        <v>0.27956989247311825</v>
      </c>
      <c r="H48" s="8">
        <f t="shared" si="193"/>
        <v>0.23478260869565218</v>
      </c>
      <c r="I48" s="8">
        <f t="shared" si="193"/>
        <v>0.1875</v>
      </c>
      <c r="J48" s="8">
        <f t="shared" si="193"/>
        <v>0.20547945205479451</v>
      </c>
      <c r="K48" s="8">
        <f t="shared" si="193"/>
        <v>0.37195121951219512</v>
      </c>
      <c r="L48" s="8">
        <f t="shared" si="193"/>
        <v>0.27868852459016391</v>
      </c>
      <c r="M48" s="8">
        <f t="shared" si="193"/>
        <v>0.36597938144329895</v>
      </c>
      <c r="N48" s="8">
        <f t="shared" si="193"/>
        <v>0.41474654377880182</v>
      </c>
      <c r="O48" s="8">
        <f t="shared" si="160"/>
        <v>0.11020408163265306</v>
      </c>
      <c r="P48" s="8">
        <f t="shared" ref="P48:Z48" si="194">P36*2/SUM(O24:P24)</f>
        <v>9.5238095238095233E-2</v>
      </c>
      <c r="Q48" s="8">
        <f t="shared" si="194"/>
        <v>0.17981072555205047</v>
      </c>
      <c r="R48" s="8">
        <f t="shared" si="194"/>
        <v>0.15743440233236153</v>
      </c>
      <c r="S48" s="8">
        <f t="shared" si="194"/>
        <v>0.14143920595533499</v>
      </c>
      <c r="T48" s="8">
        <f t="shared" si="194"/>
        <v>0.23873873873873874</v>
      </c>
      <c r="U48" s="8">
        <f t="shared" si="194"/>
        <v>0.14822771213748656</v>
      </c>
      <c r="V48" s="8">
        <f t="shared" si="194"/>
        <v>0.10821643286573146</v>
      </c>
      <c r="W48" s="8">
        <f t="shared" si="194"/>
        <v>0.14001892147587511</v>
      </c>
      <c r="X48" s="8">
        <f t="shared" si="194"/>
        <v>0.11219946571682991</v>
      </c>
      <c r="Y48" s="8">
        <f t="shared" si="194"/>
        <v>0.1272264631043257</v>
      </c>
      <c r="Z48" s="8">
        <f t="shared" si="194"/>
        <v>0.21669341894060995</v>
      </c>
      <c r="AA48" s="139">
        <f>2*SUM(O36:INDEX(O36:Z36,$B$2))/(SUM(O24:INDEX(O24:Z24,$B$2))*2+N24-INDEX(O24:Z24,$B$2))</f>
        <v>0.15847103324706352</v>
      </c>
      <c r="AB48" s="8">
        <f t="shared" si="176"/>
        <v>0.12841763414093291</v>
      </c>
      <c r="AC48" s="8">
        <f>2*SUM(R36:INDEX(R36:T36,$C$2))/(Q24+SUM(R24:INDEX(R24:T24,$C$2))*2-INDEX(R24:T24,$C$2))</f>
        <v>0.15743440233236153</v>
      </c>
      <c r="AD48" s="8">
        <f t="shared" si="162"/>
        <v>0.13215435549303103</v>
      </c>
      <c r="AE48" s="8">
        <f t="shared" si="163"/>
        <v>0.15203978258725517</v>
      </c>
      <c r="AF48" s="8">
        <f>AVERAGE(C48:INDEX(C48:N48,$B$2))</f>
        <v>0.20780348660946529</v>
      </c>
      <c r="AG48" s="8">
        <f t="shared" si="177"/>
        <v>0.18274215018401066</v>
      </c>
      <c r="AH48" s="8">
        <f t="shared" si="178"/>
        <v>0.23963265190474167</v>
      </c>
      <c r="AI48" s="8">
        <f t="shared" si="179"/>
        <v>0.25497689052232991</v>
      </c>
      <c r="AJ48" s="8">
        <f t="shared" si="180"/>
        <v>0.35313814993742154</v>
      </c>
      <c r="AK48" s="31">
        <f t="shared" si="181"/>
        <v>-0.23739954592347401</v>
      </c>
      <c r="AL48" s="31">
        <f t="shared" si="164"/>
        <v>-0.29727414276550945</v>
      </c>
      <c r="AM48" s="31">
        <f t="shared" si="164"/>
        <v>-0.34301773535042057</v>
      </c>
      <c r="AN48" s="31">
        <f t="shared" si="164"/>
        <v>-0.48170065443065146</v>
      </c>
      <c r="AO48" s="31">
        <f t="shared" si="164"/>
        <v>-0.56946089621243789</v>
      </c>
      <c r="AP48" s="8">
        <f t="shared" si="165"/>
        <v>7.2780203784570591E-2</v>
      </c>
      <c r="AQ48" s="8">
        <f t="shared" si="166"/>
        <v>7.963800904977375E-2</v>
      </c>
      <c r="AR48" s="8">
        <f t="shared" si="166"/>
        <v>0.18328840970350405</v>
      </c>
      <c r="AS48" s="8">
        <f t="shared" si="166"/>
        <v>0.1875</v>
      </c>
      <c r="AT48" s="8">
        <f t="shared" si="166"/>
        <v>0.18208516886930984</v>
      </c>
      <c r="AU48" s="8">
        <f t="shared" si="166"/>
        <v>0.17033773861967694</v>
      </c>
      <c r="AV48" s="8">
        <f t="shared" si="166"/>
        <v>0.15007215007215008</v>
      </c>
      <c r="BB48" s="8">
        <f t="shared" si="190"/>
        <v>0.10058987891959019</v>
      </c>
      <c r="BC48" s="8">
        <f>IFERROR(BC36*2/(AR24+2*SUM(AS24:INDEX(AS24:AU24,$C$2))-INDEX(AS24:AU24,$C$2)),"")</f>
        <v>0.52840909090909094</v>
      </c>
      <c r="BD48" s="8">
        <f>IFERROR(BD36*2/(AU24+2*SUM(AV24:INDEX(AV24:AX24,$C$2))-INDEX(AV24:AX24,$C$2)),"")</f>
        <v>0.15007215007215008</v>
      </c>
      <c r="BF48" s="8">
        <f>2*SUM(AP36:INDEX(AP36:BA36,$B$2))/(SUM(AP24:INDEX(AP24:BA24,$B$2))*2+Z24-INDEX(AP24:BA24,$B$2))</f>
        <v>0.13377926421404682</v>
      </c>
      <c r="BG48" s="122">
        <f t="shared" si="168"/>
        <v>0.66041296026739982</v>
      </c>
      <c r="BH48" s="111">
        <f t="shared" si="168"/>
        <v>0.83619909502262446</v>
      </c>
      <c r="BI48" s="111">
        <f t="shared" si="168"/>
        <v>1.0193408048422945</v>
      </c>
      <c r="BJ48" s="111">
        <f t="shared" si="168"/>
        <v>1.1909722222222221</v>
      </c>
      <c r="BK48" s="111">
        <f t="shared" si="169"/>
        <v>1.2873740886724889</v>
      </c>
      <c r="BL48" s="111">
        <f t="shared" si="170"/>
        <v>0.71349015044468456</v>
      </c>
      <c r="BM48" s="111">
        <f t="shared" si="182"/>
        <v>1.0124432733128386</v>
      </c>
      <c r="BN48" s="111"/>
      <c r="BO48" s="111"/>
      <c r="BP48" s="111"/>
      <c r="BQ48" s="111"/>
      <c r="BR48" s="111"/>
      <c r="BS48" s="111">
        <f t="shared" si="183"/>
        <v>0.76879407459972504</v>
      </c>
      <c r="BT48" s="111">
        <f t="shared" si="171"/>
        <v>3.3563762626262625</v>
      </c>
      <c r="BU48" s="111">
        <f>BD48/(SUM(U36:INDEX(U36:W36, $C$2))*2/(T24+2*SUM(U24:INDEX(U24:W24,$C$2))-INDEX(U24:W24,$C$2)))</f>
        <v>1.0124432733128386</v>
      </c>
      <c r="BV48" s="111">
        <f t="shared" si="171"/>
        <v>0</v>
      </c>
      <c r="BW48" s="111">
        <f t="shared" si="172"/>
        <v>0.84418749264718229</v>
      </c>
    </row>
    <row r="49" spans="1:75" x14ac:dyDescent="0.25">
      <c r="A49" s="20" t="str">
        <f t="shared" si="173"/>
        <v>Activity Ratio_by_rookie_mdrt:SA</v>
      </c>
      <c r="B49" s="135" t="s">
        <v>136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31"/>
      <c r="AL49" s="31"/>
      <c r="AM49" s="31"/>
      <c r="AN49" s="31"/>
      <c r="AO49" s="31"/>
      <c r="AP49" s="8"/>
      <c r="AQ49" s="8">
        <f>IFERROR(AQ37/(SUM(AP25,AQ25)/2),"")</f>
        <v>7.7596996245306638E-2</v>
      </c>
      <c r="AR49" s="8">
        <f t="shared" si="166"/>
        <v>3.6449147560258674E-2</v>
      </c>
      <c r="AS49" s="8">
        <f t="shared" si="166"/>
        <v>3.4448818897637797E-2</v>
      </c>
      <c r="AT49" s="8">
        <f t="shared" si="166"/>
        <v>1.8922254216371864E-2</v>
      </c>
      <c r="AU49" s="8">
        <f t="shared" si="166"/>
        <v>1.052262364082778E-2</v>
      </c>
      <c r="AV49" s="8">
        <f t="shared" si="166"/>
        <v>1.2080942313500454E-2</v>
      </c>
      <c r="BB49" s="8">
        <f>IFERROR(BB37/(SUM(AP25,AQ25,AQ25,AR25)/2),"")</f>
        <v>4.9599999999999998E-2</v>
      </c>
      <c r="BC49" s="8">
        <f>IFERROR(BC37*2/(AR25+2*SUM(AS25:INDEX(AS25:AU25,$C$2))-INDEX(AS25:AU25,$C$2)),"")</f>
        <v>7.1850393700787399E-2</v>
      </c>
      <c r="BD49" s="8">
        <f>IFERROR(BD37*2/(AU25+2*SUM(AV25:INDEX(AV25:AX25,$C$2))-INDEX(AV25:AX25,$C$2)),"")</f>
        <v>1.2080942313500454E-2</v>
      </c>
      <c r="BF49" s="8">
        <f>2*SUM(AP37:INDEX(AP37:BA37,$B$2))/(SUM(AP25:INDEX(AP25:BA25,$B$2))*2+Z25-INDEX(AP25:BA25,$B$2))</f>
        <v>2.3619047619047619E-2</v>
      </c>
      <c r="BG49" s="122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</row>
    <row r="50" spans="1:75" s="17" customFormat="1" x14ac:dyDescent="0.25">
      <c r="A50" s="20" t="str">
        <f t="shared" si="173"/>
        <v>Activity Ratio_by_rookie_mdrt:Total</v>
      </c>
      <c r="B50" s="1" t="s">
        <v>186</v>
      </c>
      <c r="C50" s="9">
        <f t="shared" ref="C50:N50" si="195">IFERROR(C38/C26,"")</f>
        <v>0.21787296898079764</v>
      </c>
      <c r="D50" s="9">
        <f t="shared" si="195"/>
        <v>0.16413593637020968</v>
      </c>
      <c r="E50" s="9">
        <f t="shared" si="195"/>
        <v>0.20759837177747625</v>
      </c>
      <c r="F50" s="9">
        <f t="shared" si="195"/>
        <v>0.24539877300613497</v>
      </c>
      <c r="G50" s="9">
        <f t="shared" si="195"/>
        <v>0.29363579080025204</v>
      </c>
      <c r="H50" s="9">
        <f t="shared" si="195"/>
        <v>0.33725247524752477</v>
      </c>
      <c r="I50" s="9">
        <f t="shared" si="195"/>
        <v>0.31425091352009743</v>
      </c>
      <c r="J50" s="9">
        <f t="shared" si="195"/>
        <v>0.24153757888697647</v>
      </c>
      <c r="K50" s="9">
        <f t="shared" si="195"/>
        <v>0.34644303065355697</v>
      </c>
      <c r="L50" s="9">
        <f t="shared" si="195"/>
        <v>0.27474972191323693</v>
      </c>
      <c r="M50" s="9">
        <f t="shared" si="195"/>
        <v>0.32241014799154333</v>
      </c>
      <c r="N50" s="9">
        <f t="shared" si="195"/>
        <v>0.39480519480519483</v>
      </c>
      <c r="O50" s="9">
        <f>O38/AVERAGE(N26:O26)</f>
        <v>0.12480580010357328</v>
      </c>
      <c r="P50" s="9">
        <f t="shared" ref="P50:Z50" si="196">P38*2/SUM(O26:P26)</f>
        <v>0.12028910686628808</v>
      </c>
      <c r="Q50" s="9">
        <f t="shared" si="196"/>
        <v>0.23026973026973027</v>
      </c>
      <c r="R50" s="9">
        <f t="shared" si="196"/>
        <v>0.20348698352042036</v>
      </c>
      <c r="S50" s="9">
        <f t="shared" si="196"/>
        <v>0.19689599258744497</v>
      </c>
      <c r="T50" s="9">
        <f t="shared" si="196"/>
        <v>0.25924276169265031</v>
      </c>
      <c r="U50" s="9">
        <f t="shared" si="196"/>
        <v>0.2050952686790837</v>
      </c>
      <c r="V50" s="9">
        <f t="shared" si="196"/>
        <v>0.19024190241902419</v>
      </c>
      <c r="W50" s="9">
        <f t="shared" si="196"/>
        <v>0.20725995316159251</v>
      </c>
      <c r="X50" s="9">
        <f t="shared" si="196"/>
        <v>0.17512877115526121</v>
      </c>
      <c r="Y50" s="9">
        <f t="shared" si="196"/>
        <v>0.19647441382851275</v>
      </c>
      <c r="Z50" s="9">
        <f t="shared" si="196"/>
        <v>0.26623481781376518</v>
      </c>
      <c r="AA50" s="9">
        <f>2*SUM(O38:INDEX(O38:Z38,$B$2))/(SUM(O26:INDEX(O26:Z26,$B$2))*2+N26-INDEX(O26:Z26,$B$2))</f>
        <v>0.19364053732358441</v>
      </c>
      <c r="AB50" s="9">
        <f t="shared" si="176"/>
        <v>0.15845487907986389</v>
      </c>
      <c r="AC50" s="9">
        <f>2*SUM(R38:INDEX(R38:T38,$C$2))/(Q26+SUM(R26:INDEX(R26:T26,$C$2))*2-INDEX(R26:T26,$C$2))</f>
        <v>0.20348698352042036</v>
      </c>
      <c r="AD50" s="9">
        <f t="shared" si="162"/>
        <v>0.20086570808656679</v>
      </c>
      <c r="AE50" s="9">
        <f t="shared" si="163"/>
        <v>0.21261266759917974</v>
      </c>
      <c r="AF50" s="28">
        <f>AVERAGE(C50:INDEX(C50:N50,$B$2))</f>
        <v>0.25430646138607044</v>
      </c>
      <c r="AG50" s="28">
        <f t="shared" si="177"/>
        <v>0.19653575904282783</v>
      </c>
      <c r="AH50" s="28">
        <f t="shared" si="178"/>
        <v>0.29209567968463729</v>
      </c>
      <c r="AI50" s="28">
        <f t="shared" si="179"/>
        <v>0.30074384102021029</v>
      </c>
      <c r="AJ50" s="28">
        <f t="shared" si="180"/>
        <v>0.33065502156999166</v>
      </c>
      <c r="AK50" s="32">
        <f t="shared" si="181"/>
        <v>-0.23855439508627829</v>
      </c>
      <c r="AL50" s="32">
        <f t="shared" si="164"/>
        <v>-0.1937605662624764</v>
      </c>
      <c r="AM50" s="32">
        <f t="shared" si="164"/>
        <v>-0.30335503852670398</v>
      </c>
      <c r="AN50" s="32">
        <f t="shared" si="164"/>
        <v>-0.33210366867307384</v>
      </c>
      <c r="AO50" s="32">
        <f t="shared" si="164"/>
        <v>-0.35699549763476135</v>
      </c>
      <c r="AP50" s="28">
        <f t="shared" ref="AP50" si="197">IFERROR(AP38/AVERAGE(Z26,AP26),"")</f>
        <v>0.11313639220615965</v>
      </c>
      <c r="AQ50" s="28">
        <f t="shared" ref="AQ50:AV50" si="198">IFERROR(AQ38/AVERAGE(AP26,AQ26),"")</f>
        <v>0.18049792531120332</v>
      </c>
      <c r="AR50" s="28">
        <f t="shared" si="198"/>
        <v>0.26245586504511575</v>
      </c>
      <c r="AS50" s="28">
        <f t="shared" si="198"/>
        <v>0.24069121579921826</v>
      </c>
      <c r="AT50" s="28">
        <f t="shared" si="198"/>
        <v>0.2532017635943733</v>
      </c>
      <c r="AU50" s="28">
        <f t="shared" si="198"/>
        <v>0.26872336107164602</v>
      </c>
      <c r="AV50" s="28">
        <f t="shared" si="198"/>
        <v>0.22036319118547235</v>
      </c>
      <c r="AW50" s="37"/>
      <c r="AX50" s="37"/>
      <c r="AY50" s="37"/>
      <c r="AZ50" s="37"/>
      <c r="BA50" s="37"/>
      <c r="BB50" s="28">
        <f>IFERROR(BB38/(AVERAGE(Z26,AP26)+AVERAGE(AP26,AQ26)+AVERAGE(AR26,AQ26)),"")</f>
        <v>0.17986779543082454</v>
      </c>
      <c r="BC50" s="28">
        <f>IFERROR(BC38*2/(AR26+2*SUM(AS26:INDEX(AS26:AU26,$C$2))-INDEX(AS26:AU26,$C$2)),"")</f>
        <v>0.76116025509154495</v>
      </c>
      <c r="BD50" s="8">
        <f>IFERROR(BD38*2/(AU26+2*SUM(AV26:INDEX(AV26:AX26,$C$2))-INDEX(AV26:AX26,$C$2)),"")</f>
        <v>0.22036319118547235</v>
      </c>
      <c r="BE50" s="37"/>
      <c r="BF50" s="28">
        <f>2*SUM(AP38:INDEX(AP38:BA38,$B$2))/(SUM(AP26:INDEX(AP26:BA26,$B$2))*2+Z26-INDEX(AP26:BA26,$B$2))</f>
        <v>0.21478009700801134</v>
      </c>
      <c r="BG50" s="123">
        <f t="shared" si="168"/>
        <v>0.90649947448171897</v>
      </c>
      <c r="BH50" s="118">
        <f t="shared" si="168"/>
        <v>1.5005342546257545</v>
      </c>
      <c r="BI50" s="118">
        <f t="shared" si="168"/>
        <v>1.1397757957056871</v>
      </c>
      <c r="BJ50" s="118">
        <f t="shared" si="168"/>
        <v>1.1828334748255009</v>
      </c>
      <c r="BK50" s="118">
        <f t="shared" ref="BK50" si="199">AT50/S50</f>
        <v>1.2859670746316583</v>
      </c>
      <c r="BL50" s="118">
        <f t="shared" ref="BL50" si="200">AU50/T50</f>
        <v>1.0365703532746484</v>
      </c>
      <c r="BM50" s="118">
        <f t="shared" si="182"/>
        <v>1.0744430751851162</v>
      </c>
      <c r="BN50" s="118"/>
      <c r="BO50" s="118"/>
      <c r="BP50" s="118"/>
      <c r="BQ50" s="118"/>
      <c r="BR50" s="118"/>
      <c r="BS50" s="118">
        <f>BB50/((O38+P38+Q38)/(SUM(N26,O26,O26,P26,P26,Q26)/2))</f>
        <v>1.1292234857528769</v>
      </c>
      <c r="BT50" s="118">
        <f t="shared" si="171"/>
        <v>3.7405844930379093</v>
      </c>
      <c r="BU50" s="111">
        <f>BD50/(SUM(U38:INDEX(U38:W38, $C$2))*2/(T26+2*SUM(U26:INDEX(U26:W26,$C$2))-INDEX(U26:W26,$C$2)))</f>
        <v>1.0744430751851162</v>
      </c>
      <c r="BV50" s="118">
        <f t="shared" si="171"/>
        <v>0</v>
      </c>
      <c r="BW50" s="118">
        <f t="shared" si="172"/>
        <v>1.1091690819319588</v>
      </c>
    </row>
    <row r="51" spans="1:75" x14ac:dyDescent="0.25">
      <c r="B51" t="s">
        <v>187</v>
      </c>
      <c r="AA51" s="31">
        <f>2*SUM(O38:INDEX(O38:Z38,$B$2))/(SUM(O26:INDEX(O26:Z26,$B$2))*2+N26-INDEX(O26:Z26,$B$2))</f>
        <v>0.19364053732358441</v>
      </c>
      <c r="AF51" s="31">
        <f>2*SUM(C38:INDEX(C38:N38,$B$2))/(SUM(C26:INDEX(C26:N26,$B$2))*2+C26-INDEX(C26:N26,$B$2))</f>
        <v>0.26133560994118765</v>
      </c>
      <c r="BF51" s="32">
        <f>2*SUM(AP38:INDEX(AP38:BA38,B2))/(SUM(AP26:INDEX(AP26:BA26,B2))*2+Z26-INDEX(AP26:BA26,B2))</f>
        <v>0.21478009700801134</v>
      </c>
      <c r="BG51" s="124"/>
    </row>
    <row r="52" spans="1:75" x14ac:dyDescent="0.25">
      <c r="B52" t="s">
        <v>187</v>
      </c>
      <c r="BG52" s="124"/>
    </row>
    <row r="53" spans="1:75" s="17" customFormat="1" x14ac:dyDescent="0.25">
      <c r="A53" s="19"/>
      <c r="B53" s="2" t="s">
        <v>12</v>
      </c>
      <c r="C53" s="3">
        <f t="shared" ref="C53:Z53" si="201">C17</f>
        <v>42005</v>
      </c>
      <c r="D53" s="3">
        <f t="shared" si="201"/>
        <v>42036</v>
      </c>
      <c r="E53" s="3">
        <f t="shared" si="201"/>
        <v>42064</v>
      </c>
      <c r="F53" s="3">
        <f t="shared" si="201"/>
        <v>42095</v>
      </c>
      <c r="G53" s="3">
        <f t="shared" si="201"/>
        <v>42125</v>
      </c>
      <c r="H53" s="3">
        <f t="shared" si="201"/>
        <v>42156</v>
      </c>
      <c r="I53" s="3">
        <f t="shared" si="201"/>
        <v>42186</v>
      </c>
      <c r="J53" s="3">
        <f t="shared" si="201"/>
        <v>42217</v>
      </c>
      <c r="K53" s="3">
        <f t="shared" si="201"/>
        <v>42248</v>
      </c>
      <c r="L53" s="3">
        <f t="shared" si="201"/>
        <v>42278</v>
      </c>
      <c r="M53" s="3">
        <f t="shared" si="201"/>
        <v>42309</v>
      </c>
      <c r="N53" s="3">
        <f t="shared" si="201"/>
        <v>42339</v>
      </c>
      <c r="O53" s="3">
        <f t="shared" si="201"/>
        <v>42370</v>
      </c>
      <c r="P53" s="3">
        <f t="shared" si="201"/>
        <v>42401</v>
      </c>
      <c r="Q53" s="3">
        <f t="shared" si="201"/>
        <v>42430</v>
      </c>
      <c r="R53" s="3">
        <f t="shared" si="201"/>
        <v>42461</v>
      </c>
      <c r="S53" s="3">
        <f t="shared" si="201"/>
        <v>42491</v>
      </c>
      <c r="T53" s="3">
        <f t="shared" si="201"/>
        <v>42522</v>
      </c>
      <c r="U53" s="3">
        <f t="shared" si="201"/>
        <v>42552</v>
      </c>
      <c r="V53" s="3">
        <f t="shared" si="201"/>
        <v>42583</v>
      </c>
      <c r="W53" s="3">
        <f t="shared" si="201"/>
        <v>42614</v>
      </c>
      <c r="X53" s="3">
        <f t="shared" si="201"/>
        <v>42644</v>
      </c>
      <c r="Y53" s="3">
        <f t="shared" si="201"/>
        <v>42675</v>
      </c>
      <c r="Z53" s="3">
        <f t="shared" si="201"/>
        <v>42705</v>
      </c>
      <c r="AA53" s="29" t="str">
        <f>$AA$3</f>
        <v>YTD 7/16</v>
      </c>
      <c r="AB53" s="29" t="s">
        <v>19</v>
      </c>
      <c r="AC53" s="29" t="s">
        <v>20</v>
      </c>
      <c r="AD53" s="29" t="s">
        <v>21</v>
      </c>
      <c r="AE53" s="29" t="s">
        <v>22</v>
      </c>
      <c r="AF53" s="26" t="str">
        <f t="shared" ref="AF53:AJ53" si="202">AF29</f>
        <v>YTD 7/15</v>
      </c>
      <c r="AG53" s="26" t="str">
        <f t="shared" si="202"/>
        <v>Q1 '15</v>
      </c>
      <c r="AH53" s="26" t="str">
        <f t="shared" si="202"/>
        <v>Q2 '15</v>
      </c>
      <c r="AI53" s="26" t="str">
        <f t="shared" si="202"/>
        <v>Q3 '15</v>
      </c>
      <c r="AJ53" s="26" t="str">
        <f t="shared" si="202"/>
        <v>Q4 '15</v>
      </c>
      <c r="AK53" s="30" t="s">
        <v>27</v>
      </c>
      <c r="AL53" s="30" t="s">
        <v>29</v>
      </c>
      <c r="AM53" s="30" t="s">
        <v>30</v>
      </c>
      <c r="AN53" s="30" t="s">
        <v>31</v>
      </c>
      <c r="AO53" s="30" t="s">
        <v>32</v>
      </c>
      <c r="AP53" s="108">
        <v>42736</v>
      </c>
      <c r="AQ53" s="108">
        <v>42767</v>
      </c>
      <c r="AR53" s="108">
        <v>42795</v>
      </c>
      <c r="AS53" s="108">
        <v>42826</v>
      </c>
      <c r="AT53" s="108">
        <v>42856</v>
      </c>
      <c r="AU53" s="108">
        <v>42887</v>
      </c>
      <c r="AV53" s="108">
        <v>42917</v>
      </c>
      <c r="AW53" s="108">
        <v>42948</v>
      </c>
      <c r="AX53" s="108">
        <v>42979</v>
      </c>
      <c r="AY53" s="108">
        <v>43009</v>
      </c>
      <c r="AZ53" s="108">
        <v>43040</v>
      </c>
      <c r="BA53" s="108">
        <v>43070</v>
      </c>
      <c r="BB53" s="29" t="s">
        <v>123</v>
      </c>
      <c r="BC53" s="29" t="s">
        <v>124</v>
      </c>
      <c r="BD53" s="29" t="s">
        <v>125</v>
      </c>
      <c r="BE53" s="29" t="s">
        <v>126</v>
      </c>
      <c r="BF53" s="29" t="str">
        <f>$BF$3</f>
        <v>YTD 7/17</v>
      </c>
      <c r="BG53" s="121">
        <v>42736</v>
      </c>
      <c r="BH53" s="108">
        <v>42767</v>
      </c>
      <c r="BI53" s="108">
        <v>42795</v>
      </c>
      <c r="BJ53" s="108">
        <v>42826</v>
      </c>
      <c r="BK53" s="108">
        <v>42856</v>
      </c>
      <c r="BL53" s="108">
        <v>42887</v>
      </c>
      <c r="BM53" s="108">
        <v>42917</v>
      </c>
      <c r="BN53" s="108">
        <v>42948</v>
      </c>
      <c r="BO53" s="108">
        <v>42979</v>
      </c>
      <c r="BP53" s="108">
        <v>43009</v>
      </c>
      <c r="BQ53" s="108">
        <v>43040</v>
      </c>
      <c r="BR53" s="108">
        <v>43070</v>
      </c>
      <c r="BS53" s="29" t="s">
        <v>127</v>
      </c>
      <c r="BT53" s="29" t="s">
        <v>128</v>
      </c>
      <c r="BU53" s="29" t="s">
        <v>96</v>
      </c>
      <c r="BV53" s="29" t="s">
        <v>129</v>
      </c>
      <c r="BW53" s="112" t="s">
        <v>130</v>
      </c>
    </row>
    <row r="54" spans="1:75" x14ac:dyDescent="0.25">
      <c r="A54" s="20" t="str">
        <f>$B$53&amp;"_by_rookie_mdrt:"&amp;B54</f>
        <v># Case_by_rookie_mdrt:MDRT</v>
      </c>
      <c r="B54" t="s">
        <v>4</v>
      </c>
      <c r="C54">
        <v>60</v>
      </c>
      <c r="D54">
        <v>58</v>
      </c>
      <c r="E54">
        <v>115</v>
      </c>
      <c r="F54">
        <v>150</v>
      </c>
      <c r="G54">
        <v>99.5</v>
      </c>
      <c r="H54">
        <v>121.5</v>
      </c>
      <c r="I54">
        <v>126</v>
      </c>
      <c r="J54">
        <v>70.5</v>
      </c>
      <c r="K54">
        <v>141.5</v>
      </c>
      <c r="L54">
        <v>141.5</v>
      </c>
      <c r="M54">
        <v>124</v>
      </c>
      <c r="N54">
        <v>192.5</v>
      </c>
      <c r="O54">
        <v>47</v>
      </c>
      <c r="P54">
        <v>55</v>
      </c>
      <c r="Q54">
        <v>120</v>
      </c>
      <c r="R54">
        <v>152</v>
      </c>
      <c r="S54">
        <v>88</v>
      </c>
      <c r="T54">
        <v>100</v>
      </c>
      <c r="U54">
        <v>76</v>
      </c>
      <c r="V54">
        <v>73.5</v>
      </c>
      <c r="W54">
        <v>106</v>
      </c>
      <c r="X54">
        <f>[14]cc!AB19</f>
        <v>92</v>
      </c>
      <c r="Y54">
        <f>[24]cc!AC19</f>
        <v>118.5</v>
      </c>
      <c r="Z54" s="6">
        <f>[15]cc!J41</f>
        <v>165.5</v>
      </c>
      <c r="AA54" s="22">
        <f>SUM(O54:INDEX(O54:Z54,$B$2))</f>
        <v>638</v>
      </c>
      <c r="AB54" s="22">
        <f>SUM(O54:Q54)</f>
        <v>222</v>
      </c>
      <c r="AC54" s="22">
        <f>SUM(R54:T54)</f>
        <v>340</v>
      </c>
      <c r="AD54" s="22">
        <f>SUM(U54:W54)</f>
        <v>255.5</v>
      </c>
      <c r="AE54" s="22">
        <f>SUM(X54:Z54)</f>
        <v>376</v>
      </c>
      <c r="AF54" s="22">
        <f>SUM(C54                                                                                : INDEX(C54:N54,$B$2))</f>
        <v>730</v>
      </c>
      <c r="AG54" s="22">
        <f t="shared" ref="AG54:AG60" si="203">SUM(C54:E54)</f>
        <v>233</v>
      </c>
      <c r="AH54" s="22">
        <f t="shared" ref="AH54:AH60" si="204">SUM(F54:H54)</f>
        <v>371</v>
      </c>
      <c r="AI54" s="22">
        <f t="shared" ref="AI54:AI60" si="205">SUM(I54:K54)</f>
        <v>338</v>
      </c>
      <c r="AJ54" s="22">
        <f t="shared" ref="AJ54:AJ60" si="206">SUM(L54:N54)</f>
        <v>458</v>
      </c>
      <c r="AK54" s="31">
        <f>AA54/AF54-1</f>
        <v>-0.12602739726027401</v>
      </c>
      <c r="AL54" s="31">
        <f t="shared" ref="AL54:AN62" si="207">AB54/AG54-1</f>
        <v>-4.7210300429184504E-2</v>
      </c>
      <c r="AM54" s="31">
        <f t="shared" si="207"/>
        <v>-8.3557951482479798E-2</v>
      </c>
      <c r="AN54" s="31">
        <f t="shared" si="207"/>
        <v>-0.24408284023668636</v>
      </c>
      <c r="AO54" s="31">
        <f>AE54/SUM(L54:INDEX(L54:N54,MOD($B$2,3)))-1</f>
        <v>1.6572438162544167</v>
      </c>
      <c r="AP54" s="113">
        <f>[16]cc!J41</f>
        <v>172.5</v>
      </c>
      <c r="AQ54" s="113">
        <f>[17]cc!J42</f>
        <v>194.5</v>
      </c>
      <c r="AR54" s="113">
        <f>[18]cc!J42</f>
        <v>284.5</v>
      </c>
      <c r="AS54" s="113">
        <f>[19]cc!J42</f>
        <v>236</v>
      </c>
      <c r="AT54" s="113">
        <f>[20]cc!J42</f>
        <v>239</v>
      </c>
      <c r="AU54" s="113">
        <f>[21]cc!J42</f>
        <v>304.5</v>
      </c>
      <c r="AV54" s="113">
        <f>[22]cc!J42</f>
        <v>208</v>
      </c>
      <c r="AW54" s="113"/>
      <c r="AX54" s="113"/>
      <c r="AY54" s="113"/>
      <c r="AZ54" s="113"/>
      <c r="BA54" s="113"/>
      <c r="BB54" s="110">
        <f>SUM(AP54:INDEX(AP54:AR54,IF($B$2&lt;3,$B$2,3)))</f>
        <v>651.5</v>
      </c>
      <c r="BC54" s="110">
        <f>SUM(AS54:INDEX(AS54:AU54,IF(AND($B$2&gt;3,B52&lt;7),$B$2-3,0)))</f>
        <v>779.5</v>
      </c>
      <c r="BD54" s="110">
        <f>SUM(AV54:INDEX(AV54:AX54,IF(AND($B$2&gt;6,$B$2&lt;10),$B$2-6,0)))</f>
        <v>208</v>
      </c>
      <c r="BE54" s="110">
        <f>SUM(AY54:INDEX(AY54:BA54,IF($B$2&gt;9,$B$2-9,0)))</f>
        <v>0</v>
      </c>
      <c r="BF54" s="110">
        <f>SUM($AP54:INDEX(AP54:BA54,$B$2))</f>
        <v>1639</v>
      </c>
      <c r="BG54" s="122">
        <f t="shared" ref="BG54:BR62" si="208">AP54/O54</f>
        <v>3.6702127659574466</v>
      </c>
      <c r="BH54" s="111">
        <f t="shared" si="208"/>
        <v>3.5363636363636362</v>
      </c>
      <c r="BI54" s="111">
        <f t="shared" si="208"/>
        <v>2.3708333333333331</v>
      </c>
      <c r="BJ54" s="111">
        <f t="shared" si="208"/>
        <v>1.5526315789473684</v>
      </c>
      <c r="BK54" s="111">
        <f t="shared" si="208"/>
        <v>2.7159090909090908</v>
      </c>
      <c r="BL54" s="111">
        <f t="shared" si="208"/>
        <v>3.0449999999999999</v>
      </c>
      <c r="BM54" s="111">
        <f t="shared" si="208"/>
        <v>2.736842105263158</v>
      </c>
      <c r="BN54" s="111">
        <f t="shared" si="208"/>
        <v>0</v>
      </c>
      <c r="BO54" s="111">
        <f t="shared" si="208"/>
        <v>0</v>
      </c>
      <c r="BP54" s="111">
        <f t="shared" si="208"/>
        <v>0</v>
      </c>
      <c r="BQ54" s="111">
        <f t="shared" si="208"/>
        <v>0</v>
      </c>
      <c r="BR54" s="111">
        <f t="shared" si="208"/>
        <v>0</v>
      </c>
      <c r="BS54" s="111">
        <f>BB54/SUM(O54:INDEX(O54:Q54,IF($B$2&lt;3,$B$2,3)))</f>
        <v>2.9346846846846848</v>
      </c>
      <c r="BT54" s="111">
        <f>BC54/SUM(R54:INDEX(R54:T54,IF($B$2&lt;7,$B$2-3,3)))</f>
        <v>2.2926470588235293</v>
      </c>
      <c r="BU54" s="111">
        <f>BD54/SUM(U54:INDEX(U54:W54,IF($B$2&lt;7,$B$2-3,IF($B$2&lt;9,$B$2-6,3))))</f>
        <v>2.736842105263158</v>
      </c>
      <c r="BV54" s="111">
        <f t="shared" ref="BV54:BV62" si="209">BE54/AE54</f>
        <v>0</v>
      </c>
      <c r="BW54" s="111">
        <f t="shared" ref="BW54:BW62" si="210">BF54/AA54</f>
        <v>2.5689655172413794</v>
      </c>
    </row>
    <row r="55" spans="1:75" x14ac:dyDescent="0.25">
      <c r="A55" s="20" t="str">
        <f t="shared" ref="A55:A62" si="211">$B$53&amp;"_by_rookie_mdrt:"&amp;B55</f>
        <v># Case_by_rookie_mdrt:Rookie in month</v>
      </c>
      <c r="B55" t="s">
        <v>5</v>
      </c>
      <c r="C55">
        <v>53</v>
      </c>
      <c r="D55">
        <v>24</v>
      </c>
      <c r="E55">
        <v>97</v>
      </c>
      <c r="F55">
        <v>108</v>
      </c>
      <c r="G55">
        <v>90</v>
      </c>
      <c r="H55">
        <v>140</v>
      </c>
      <c r="I55">
        <v>136</v>
      </c>
      <c r="J55">
        <v>102</v>
      </c>
      <c r="K55">
        <v>121</v>
      </c>
      <c r="L55">
        <v>96</v>
      </c>
      <c r="M55">
        <v>200</v>
      </c>
      <c r="N55">
        <v>277</v>
      </c>
      <c r="O55">
        <v>19</v>
      </c>
      <c r="P55">
        <v>35</v>
      </c>
      <c r="Q55">
        <v>229</v>
      </c>
      <c r="R55">
        <v>116</v>
      </c>
      <c r="S55">
        <v>102</v>
      </c>
      <c r="T55">
        <v>200</v>
      </c>
      <c r="U55">
        <v>120</v>
      </c>
      <c r="V55">
        <v>139</v>
      </c>
      <c r="W55">
        <v>262</v>
      </c>
      <c r="X55">
        <f>[14]cc!AB20</f>
        <v>139</v>
      </c>
      <c r="Y55">
        <f>[24]cc!AC20</f>
        <v>205</v>
      </c>
      <c r="Z55" s="6">
        <f>[15]cc!J42</f>
        <v>320</v>
      </c>
      <c r="AA55" s="22">
        <f>SUM(O55:INDEX(O55:Z55,$B$2))</f>
        <v>821</v>
      </c>
      <c r="AB55" s="22">
        <f t="shared" ref="AB55:AB60" si="212">SUM(O55:Q55)</f>
        <v>283</v>
      </c>
      <c r="AC55" s="22">
        <f t="shared" ref="AC55:AC60" si="213">SUM(R55:T55)</f>
        <v>418</v>
      </c>
      <c r="AD55" s="22">
        <f t="shared" ref="AD55:AD60" si="214">SUM(U55:W55)</f>
        <v>521</v>
      </c>
      <c r="AE55" s="22">
        <f t="shared" ref="AE55:AE60" si="215">SUM(X55:Z55)</f>
        <v>664</v>
      </c>
      <c r="AF55" s="22">
        <f>SUM(C55                                                                                : INDEX(C55:N55,$B$2))</f>
        <v>648</v>
      </c>
      <c r="AG55" s="22">
        <f t="shared" si="203"/>
        <v>174</v>
      </c>
      <c r="AH55" s="22">
        <f t="shared" si="204"/>
        <v>338</v>
      </c>
      <c r="AI55" s="22">
        <f t="shared" si="205"/>
        <v>359</v>
      </c>
      <c r="AJ55" s="22">
        <f t="shared" si="206"/>
        <v>573</v>
      </c>
      <c r="AK55" s="31">
        <f t="shared" ref="AK55:AK62" si="216">AA55/AF55-1</f>
        <v>0.26697530864197527</v>
      </c>
      <c r="AL55" s="31">
        <f t="shared" si="207"/>
        <v>0.62643678160919536</v>
      </c>
      <c r="AM55" s="31">
        <f t="shared" si="207"/>
        <v>0.23668639053254448</v>
      </c>
      <c r="AN55" s="31">
        <f t="shared" si="207"/>
        <v>0.45125348189415049</v>
      </c>
      <c r="AO55" s="31">
        <f>AE55/SUM(L55:INDEX(L55:N55,MOD($B$2,3)))-1</f>
        <v>5.916666666666667</v>
      </c>
      <c r="AP55" s="113">
        <f>[16]cc!J42</f>
        <v>90</v>
      </c>
      <c r="AQ55" s="113">
        <f>[17]cc!J43</f>
        <v>158</v>
      </c>
      <c r="AR55" s="113">
        <f>[18]cc!J43</f>
        <v>260</v>
      </c>
      <c r="AS55" s="113">
        <f>[19]cc!J43</f>
        <v>253</v>
      </c>
      <c r="AT55" s="113">
        <f>[20]cc!J43</f>
        <v>218.5</v>
      </c>
      <c r="AU55" s="113">
        <f>[21]cc!J43</f>
        <v>337</v>
      </c>
      <c r="AV55" s="113">
        <f>[22]cc!J43</f>
        <v>224</v>
      </c>
      <c r="AW55" s="113"/>
      <c r="AX55" s="113"/>
      <c r="AY55" s="113"/>
      <c r="AZ55" s="113"/>
      <c r="BA55" s="113"/>
      <c r="BB55" s="110">
        <f>SUM(AP55:INDEX(AP55:AR55,IF($B$2&lt;3,$B$2,3)))</f>
        <v>508</v>
      </c>
      <c r="BC55" s="110">
        <f>SUM(AS55:INDEX(AS55:AU55,IF(AND($B$2&gt;3,B53&lt;7),$B$2-3,0)))</f>
        <v>808.5</v>
      </c>
      <c r="BD55" s="110">
        <f>SUM(AV55:INDEX(AV55:AX55,IF(AND($B$2&gt;6,$B$2&lt;10),$B$2-6,0)))</f>
        <v>224</v>
      </c>
      <c r="BE55" s="110">
        <f>SUM(AY55:INDEX(AY55:BA55,IF($B$2&gt;9,$B$2-9,0)))</f>
        <v>0</v>
      </c>
      <c r="BF55" s="110">
        <f>SUM($AP55:INDEX(AP55:BA55,$B$2))</f>
        <v>1540.5</v>
      </c>
      <c r="BG55" s="122">
        <f t="shared" si="208"/>
        <v>4.7368421052631575</v>
      </c>
      <c r="BH55" s="111">
        <f t="shared" si="208"/>
        <v>4.5142857142857142</v>
      </c>
      <c r="BI55" s="111">
        <f t="shared" si="208"/>
        <v>1.1353711790393013</v>
      </c>
      <c r="BJ55" s="111">
        <f t="shared" si="208"/>
        <v>2.1810344827586206</v>
      </c>
      <c r="BK55" s="111">
        <f t="shared" si="208"/>
        <v>2.142156862745098</v>
      </c>
      <c r="BL55" s="111">
        <f t="shared" si="208"/>
        <v>1.6850000000000001</v>
      </c>
      <c r="BM55" s="111">
        <f t="shared" si="208"/>
        <v>1.8666666666666667</v>
      </c>
      <c r="BN55" s="111">
        <f t="shared" si="208"/>
        <v>0</v>
      </c>
      <c r="BO55" s="111">
        <f t="shared" si="208"/>
        <v>0</v>
      </c>
      <c r="BP55" s="111">
        <f t="shared" si="208"/>
        <v>0</v>
      </c>
      <c r="BQ55" s="111">
        <f t="shared" si="208"/>
        <v>0</v>
      </c>
      <c r="BR55" s="111">
        <f t="shared" si="208"/>
        <v>0</v>
      </c>
      <c r="BS55" s="111">
        <f>BB55/SUM(O55:INDEX(O55:Q55,IF($B$2&lt;3,$B$2,3)))</f>
        <v>1.795053003533569</v>
      </c>
      <c r="BT55" s="111">
        <f>BC55/SUM(R55:INDEX(R55:T55,IF($B$2&lt;7,$B$2-3,3)))</f>
        <v>1.9342105263157894</v>
      </c>
      <c r="BU55" s="111">
        <f>BD55/SUM(U55:INDEX(U55:W55,IF($B$2&lt;7,$B$2-3,IF($B$2&lt;9,$B$2-6,3))))</f>
        <v>1.8666666666666667</v>
      </c>
      <c r="BV55" s="111">
        <f t="shared" si="209"/>
        <v>0</v>
      </c>
      <c r="BW55" s="111">
        <f t="shared" si="210"/>
        <v>1.8763702801461632</v>
      </c>
    </row>
    <row r="56" spans="1:75" x14ac:dyDescent="0.25">
      <c r="A56" s="20" t="str">
        <f t="shared" si="211"/>
        <v># Case_by_rookie_mdrt:Rookie last month</v>
      </c>
      <c r="B56" t="s">
        <v>6</v>
      </c>
      <c r="C56">
        <v>76</v>
      </c>
      <c r="D56">
        <v>54</v>
      </c>
      <c r="E56">
        <v>37</v>
      </c>
      <c r="F56">
        <v>115</v>
      </c>
      <c r="G56">
        <v>119</v>
      </c>
      <c r="H56">
        <v>118</v>
      </c>
      <c r="I56">
        <v>109</v>
      </c>
      <c r="J56">
        <v>74</v>
      </c>
      <c r="K56">
        <v>111.5</v>
      </c>
      <c r="L56">
        <v>95</v>
      </c>
      <c r="M56">
        <v>99</v>
      </c>
      <c r="N56">
        <v>255.5</v>
      </c>
      <c r="O56">
        <v>62</v>
      </c>
      <c r="P56">
        <v>21</v>
      </c>
      <c r="Q56">
        <v>51</v>
      </c>
      <c r="R56">
        <v>150</v>
      </c>
      <c r="S56">
        <v>100</v>
      </c>
      <c r="T56">
        <v>132.5</v>
      </c>
      <c r="U56">
        <v>133</v>
      </c>
      <c r="V56">
        <v>95</v>
      </c>
      <c r="W56">
        <v>151</v>
      </c>
      <c r="X56">
        <f>[14]cc!AB21</f>
        <v>166</v>
      </c>
      <c r="Y56">
        <f>[24]cc!AC21</f>
        <v>229</v>
      </c>
      <c r="Z56" s="6">
        <f>[15]cc!J43</f>
        <v>190.5</v>
      </c>
      <c r="AA56" s="22">
        <f>SUM(O56:INDEX(O56:Z56,$B$2))</f>
        <v>649.5</v>
      </c>
      <c r="AB56" s="22">
        <f t="shared" si="212"/>
        <v>134</v>
      </c>
      <c r="AC56" s="22">
        <f t="shared" si="213"/>
        <v>382.5</v>
      </c>
      <c r="AD56" s="22">
        <f t="shared" si="214"/>
        <v>379</v>
      </c>
      <c r="AE56" s="22">
        <f t="shared" si="215"/>
        <v>585.5</v>
      </c>
      <c r="AF56" s="22">
        <f>SUM(C56                                                                                : INDEX(C56:N56,$B$2))</f>
        <v>628</v>
      </c>
      <c r="AG56" s="22">
        <f t="shared" si="203"/>
        <v>167</v>
      </c>
      <c r="AH56" s="22">
        <f t="shared" si="204"/>
        <v>352</v>
      </c>
      <c r="AI56" s="22">
        <f t="shared" si="205"/>
        <v>294.5</v>
      </c>
      <c r="AJ56" s="22">
        <f t="shared" si="206"/>
        <v>449.5</v>
      </c>
      <c r="AK56" s="31">
        <f t="shared" si="216"/>
        <v>3.4235668789808882E-2</v>
      </c>
      <c r="AL56" s="31">
        <f t="shared" si="207"/>
        <v>-0.19760479041916168</v>
      </c>
      <c r="AM56" s="31">
        <f t="shared" si="207"/>
        <v>8.6647727272727293E-2</v>
      </c>
      <c r="AN56" s="31">
        <f t="shared" si="207"/>
        <v>0.28692699490662132</v>
      </c>
      <c r="AO56" s="31">
        <f>AE56/SUM(L56:INDEX(L56:N56,MOD($B$2,3)))-1</f>
        <v>5.1631578947368419</v>
      </c>
      <c r="AP56" s="113">
        <f>[16]cc!J43</f>
        <v>83</v>
      </c>
      <c r="AQ56" s="113">
        <f>[17]cc!J44</f>
        <v>69</v>
      </c>
      <c r="AR56" s="113">
        <f>[18]cc!J44</f>
        <v>201</v>
      </c>
      <c r="AS56" s="113">
        <f>[19]cc!J44</f>
        <v>128</v>
      </c>
      <c r="AT56" s="113">
        <f>[20]cc!J44</f>
        <v>158</v>
      </c>
      <c r="AU56" s="113">
        <f>[21]cc!J44</f>
        <v>149</v>
      </c>
      <c r="AV56" s="113">
        <f>[22]cc!J44</f>
        <v>121</v>
      </c>
      <c r="AW56" s="113"/>
      <c r="AX56" s="113"/>
      <c r="AY56" s="113"/>
      <c r="AZ56" s="113"/>
      <c r="BA56" s="113"/>
      <c r="BB56" s="110">
        <f>SUM(AP56:INDEX(AP56:AR56,IF($B$2&lt;3,$B$2,3)))</f>
        <v>353</v>
      </c>
      <c r="BC56" s="110">
        <f>SUM(AS56:INDEX(AS56:AU56,IF(AND($B$2&gt;3,B54&lt;7),$B$2-3,0)))</f>
        <v>435</v>
      </c>
      <c r="BD56" s="110">
        <f>SUM(AV56:INDEX(AV56:AX56,IF(AND($B$2&gt;6,$B$2&lt;10),$B$2-6,0)))</f>
        <v>121</v>
      </c>
      <c r="BE56" s="110">
        <f>SUM(AY56:INDEX(AY56:BA56,IF($B$2&gt;9,$B$2-9,0)))</f>
        <v>0</v>
      </c>
      <c r="BF56" s="110">
        <f>SUM($AP56:INDEX(AP56:BA56,$B$2))</f>
        <v>909</v>
      </c>
      <c r="BG56" s="122">
        <f t="shared" si="208"/>
        <v>1.3387096774193548</v>
      </c>
      <c r="BH56" s="111">
        <f t="shared" si="208"/>
        <v>3.2857142857142856</v>
      </c>
      <c r="BI56" s="111">
        <f t="shared" si="208"/>
        <v>3.9411764705882355</v>
      </c>
      <c r="BJ56" s="111">
        <f t="shared" si="208"/>
        <v>0.85333333333333339</v>
      </c>
      <c r="BK56" s="111">
        <f t="shared" si="208"/>
        <v>1.58</v>
      </c>
      <c r="BL56" s="111">
        <f t="shared" si="208"/>
        <v>1.1245283018867924</v>
      </c>
      <c r="BM56" s="111">
        <f t="shared" si="208"/>
        <v>0.90977443609022557</v>
      </c>
      <c r="BN56" s="111">
        <f t="shared" si="208"/>
        <v>0</v>
      </c>
      <c r="BO56" s="111">
        <f t="shared" si="208"/>
        <v>0</v>
      </c>
      <c r="BP56" s="111">
        <f t="shared" si="208"/>
        <v>0</v>
      </c>
      <c r="BQ56" s="111">
        <f t="shared" si="208"/>
        <v>0</v>
      </c>
      <c r="BR56" s="111">
        <f t="shared" si="208"/>
        <v>0</v>
      </c>
      <c r="BS56" s="111">
        <f>BB56/SUM(O56:INDEX(O56:Q56,IF($B$2&lt;3,$B$2,3)))</f>
        <v>2.6343283582089554</v>
      </c>
      <c r="BT56" s="111">
        <f>BC56/SUM(R56:INDEX(R56:T56,IF($B$2&lt;7,$B$2-3,3)))</f>
        <v>1.1372549019607843</v>
      </c>
      <c r="BU56" s="111">
        <f>BD56/SUM(U56:INDEX(U56:W56,IF($B$2&lt;7,$B$2-3,IF($B$2&lt;9,$B$2-6,3))))</f>
        <v>0.90977443609022557</v>
      </c>
      <c r="BV56" s="111">
        <f t="shared" si="209"/>
        <v>0</v>
      </c>
      <c r="BW56" s="111">
        <f t="shared" si="210"/>
        <v>1.3995381062355658</v>
      </c>
    </row>
    <row r="57" spans="1:75" x14ac:dyDescent="0.25">
      <c r="A57" s="20" t="str">
        <f t="shared" si="211"/>
        <v># Case_by_rookie_mdrt:2-3 months</v>
      </c>
      <c r="B57" t="s">
        <v>7</v>
      </c>
      <c r="C57">
        <v>77</v>
      </c>
      <c r="D57">
        <v>86</v>
      </c>
      <c r="E57">
        <v>126</v>
      </c>
      <c r="F57">
        <v>84</v>
      </c>
      <c r="G57">
        <v>94.5</v>
      </c>
      <c r="H57">
        <v>189.5</v>
      </c>
      <c r="I57">
        <v>161</v>
      </c>
      <c r="J57">
        <v>95</v>
      </c>
      <c r="K57">
        <v>146</v>
      </c>
      <c r="L57">
        <v>110</v>
      </c>
      <c r="M57">
        <v>197</v>
      </c>
      <c r="N57">
        <v>219</v>
      </c>
      <c r="O57">
        <v>70.5</v>
      </c>
      <c r="P57">
        <v>77</v>
      </c>
      <c r="Q57">
        <v>112</v>
      </c>
      <c r="R57">
        <v>50</v>
      </c>
      <c r="S57">
        <v>134</v>
      </c>
      <c r="T57">
        <v>197.5</v>
      </c>
      <c r="U57">
        <v>143</v>
      </c>
      <c r="V57">
        <v>129</v>
      </c>
      <c r="W57">
        <v>131</v>
      </c>
      <c r="X57">
        <f>[14]cc!AB22</f>
        <v>88</v>
      </c>
      <c r="Y57">
        <f>[24]cc!AC22</f>
        <v>267</v>
      </c>
      <c r="Z57" s="6">
        <f>[15]cc!J44</f>
        <v>470</v>
      </c>
      <c r="AA57" s="22">
        <f>SUM(O57:INDEX(O57:Z57,$B$2))</f>
        <v>784</v>
      </c>
      <c r="AB57" s="22">
        <f t="shared" si="212"/>
        <v>259.5</v>
      </c>
      <c r="AC57" s="22">
        <f t="shared" si="213"/>
        <v>381.5</v>
      </c>
      <c r="AD57" s="22">
        <f t="shared" si="214"/>
        <v>403</v>
      </c>
      <c r="AE57" s="22">
        <f t="shared" si="215"/>
        <v>825</v>
      </c>
      <c r="AF57" s="22">
        <f>SUM(C57                                                                                : INDEX(C57:N57,$B$2))</f>
        <v>818</v>
      </c>
      <c r="AG57" s="22">
        <f t="shared" si="203"/>
        <v>289</v>
      </c>
      <c r="AH57" s="22">
        <f t="shared" si="204"/>
        <v>368</v>
      </c>
      <c r="AI57" s="22">
        <f t="shared" si="205"/>
        <v>402</v>
      </c>
      <c r="AJ57" s="22">
        <f t="shared" si="206"/>
        <v>526</v>
      </c>
      <c r="AK57" s="31">
        <f t="shared" si="216"/>
        <v>-4.1564792176039145E-2</v>
      </c>
      <c r="AL57" s="31">
        <f t="shared" si="207"/>
        <v>-0.10207612456747406</v>
      </c>
      <c r="AM57" s="31">
        <f t="shared" si="207"/>
        <v>3.6684782608695565E-2</v>
      </c>
      <c r="AN57" s="31">
        <f t="shared" si="207"/>
        <v>2.4875621890547706E-3</v>
      </c>
      <c r="AO57" s="31">
        <f>AE57/SUM(L57:INDEX(L57:N57,MOD($B$2,3)))-1</f>
        <v>6.5</v>
      </c>
      <c r="AP57" s="113">
        <f>[16]cc!J44</f>
        <v>173</v>
      </c>
      <c r="AQ57" s="113">
        <f>[17]cc!J45</f>
        <v>208</v>
      </c>
      <c r="AR57" s="113">
        <f>[18]cc!J45</f>
        <v>149</v>
      </c>
      <c r="AS57" s="113">
        <f>[19]cc!J45</f>
        <v>131</v>
      </c>
      <c r="AT57" s="113">
        <f>[20]cc!J45</f>
        <v>205</v>
      </c>
      <c r="AU57" s="113">
        <f>[21]cc!J45</f>
        <v>230.5</v>
      </c>
      <c r="AV57" s="113">
        <f>[22]cc!J45</f>
        <v>149</v>
      </c>
      <c r="AW57" s="113"/>
      <c r="AX57" s="113"/>
      <c r="AY57" s="113"/>
      <c r="AZ57" s="113"/>
      <c r="BA57" s="113"/>
      <c r="BB57" s="110">
        <f>SUM(AP57:INDEX(AP57:AR57,IF($B$2&lt;3,$B$2,3)))</f>
        <v>530</v>
      </c>
      <c r="BC57" s="110">
        <f>SUM(AS57:INDEX(AS57:AU57,IF(AND($B$2&gt;3,B55&lt;7),$B$2-3,0)))</f>
        <v>566.5</v>
      </c>
      <c r="BD57" s="110">
        <f>SUM(AV57:INDEX(AV57:AX57,IF(AND($B$2&gt;6,$B$2&lt;10),$B$2-6,0)))</f>
        <v>149</v>
      </c>
      <c r="BE57" s="110">
        <f>SUM(AY57:INDEX(AY57:BA57,IF($B$2&gt;9,$B$2-9,0)))</f>
        <v>0</v>
      </c>
      <c r="BF57" s="110">
        <f>SUM($AP57:INDEX(AP57:BA57,$B$2))</f>
        <v>1245.5</v>
      </c>
      <c r="BG57" s="122">
        <f t="shared" si="208"/>
        <v>2.4539007092198584</v>
      </c>
      <c r="BH57" s="111">
        <f t="shared" si="208"/>
        <v>2.7012987012987013</v>
      </c>
      <c r="BI57" s="111">
        <f t="shared" si="208"/>
        <v>1.3303571428571428</v>
      </c>
      <c r="BJ57" s="111">
        <f t="shared" si="208"/>
        <v>2.62</v>
      </c>
      <c r="BK57" s="111">
        <f t="shared" si="208"/>
        <v>1.5298507462686568</v>
      </c>
      <c r="BL57" s="111">
        <f t="shared" si="208"/>
        <v>1.1670886075949367</v>
      </c>
      <c r="BM57" s="111">
        <f t="shared" si="208"/>
        <v>1.0419580419580419</v>
      </c>
      <c r="BN57" s="111">
        <f t="shared" si="208"/>
        <v>0</v>
      </c>
      <c r="BO57" s="111">
        <f t="shared" si="208"/>
        <v>0</v>
      </c>
      <c r="BP57" s="111">
        <f t="shared" si="208"/>
        <v>0</v>
      </c>
      <c r="BQ57" s="111">
        <f t="shared" si="208"/>
        <v>0</v>
      </c>
      <c r="BR57" s="111">
        <f t="shared" si="208"/>
        <v>0</v>
      </c>
      <c r="BS57" s="111">
        <f>BB57/SUM(O57:INDEX(O57:Q57,IF($B$2&lt;3,$B$2,3)))</f>
        <v>2.0423892100192678</v>
      </c>
      <c r="BT57" s="111">
        <f>BC57/SUM(R57:INDEX(R57:T57,IF($B$2&lt;7,$B$2-3,3)))</f>
        <v>1.4849279161205766</v>
      </c>
      <c r="BU57" s="111">
        <f>BD57/SUM(U57:INDEX(U57:W57,IF($B$2&lt;7,$B$2-3,IF($B$2&lt;9,$B$2-6,3))))</f>
        <v>1.0419580419580419</v>
      </c>
      <c r="BV57" s="111">
        <f t="shared" si="209"/>
        <v>0</v>
      </c>
      <c r="BW57" s="111">
        <f t="shared" si="210"/>
        <v>1.5886479591836735</v>
      </c>
    </row>
    <row r="58" spans="1:75" x14ac:dyDescent="0.25">
      <c r="A58" s="20" t="str">
        <f t="shared" si="211"/>
        <v># Case_by_rookie_mdrt:4 - 6 mths</v>
      </c>
      <c r="B58" t="s">
        <v>8</v>
      </c>
      <c r="C58">
        <v>53</v>
      </c>
      <c r="D58">
        <v>43</v>
      </c>
      <c r="E58">
        <v>83</v>
      </c>
      <c r="F58">
        <v>106</v>
      </c>
      <c r="G58">
        <v>114</v>
      </c>
      <c r="H58">
        <v>92</v>
      </c>
      <c r="I58">
        <v>88</v>
      </c>
      <c r="J58">
        <v>116</v>
      </c>
      <c r="K58">
        <v>179</v>
      </c>
      <c r="L58">
        <v>128.5</v>
      </c>
      <c r="M58">
        <v>183</v>
      </c>
      <c r="N58">
        <v>193</v>
      </c>
      <c r="O58">
        <v>49.5</v>
      </c>
      <c r="P58">
        <v>46</v>
      </c>
      <c r="Q58">
        <v>147</v>
      </c>
      <c r="R58">
        <v>164</v>
      </c>
      <c r="S58">
        <v>78</v>
      </c>
      <c r="T58">
        <v>83</v>
      </c>
      <c r="U58">
        <v>95</v>
      </c>
      <c r="V58">
        <v>128</v>
      </c>
      <c r="W58">
        <v>177</v>
      </c>
      <c r="X58">
        <f>[14]cc!AB23</f>
        <v>150.5</v>
      </c>
      <c r="Y58">
        <f>[24]cc!AC23</f>
        <v>112.5</v>
      </c>
      <c r="Z58" s="6">
        <f>[15]cc!J45</f>
        <v>156.5</v>
      </c>
      <c r="AA58" s="22">
        <f>SUM(O58:INDEX(O58:Z58,$B$2))</f>
        <v>662.5</v>
      </c>
      <c r="AB58" s="22">
        <f t="shared" si="212"/>
        <v>242.5</v>
      </c>
      <c r="AC58" s="22">
        <f t="shared" si="213"/>
        <v>325</v>
      </c>
      <c r="AD58" s="22">
        <f t="shared" si="214"/>
        <v>400</v>
      </c>
      <c r="AE58" s="22">
        <f t="shared" si="215"/>
        <v>419.5</v>
      </c>
      <c r="AF58" s="22">
        <f>SUM(C58                                                                                : INDEX(C58:N58,$B$2))</f>
        <v>579</v>
      </c>
      <c r="AG58" s="22">
        <f t="shared" si="203"/>
        <v>179</v>
      </c>
      <c r="AH58" s="22">
        <f t="shared" si="204"/>
        <v>312</v>
      </c>
      <c r="AI58" s="22">
        <f t="shared" si="205"/>
        <v>383</v>
      </c>
      <c r="AJ58" s="22">
        <f t="shared" si="206"/>
        <v>504.5</v>
      </c>
      <c r="AK58" s="31">
        <f t="shared" si="216"/>
        <v>0.1442141623488773</v>
      </c>
      <c r="AL58" s="31">
        <f t="shared" si="207"/>
        <v>0.35474860335195535</v>
      </c>
      <c r="AM58" s="31">
        <f t="shared" si="207"/>
        <v>4.1666666666666741E-2</v>
      </c>
      <c r="AN58" s="31">
        <f t="shared" si="207"/>
        <v>4.4386422976501416E-2</v>
      </c>
      <c r="AO58" s="31">
        <f>AE58/SUM(L58:INDEX(L58:N58,MOD($B$2,3)))-1</f>
        <v>2.2645914396887159</v>
      </c>
      <c r="AP58" s="113">
        <f>[16]cc!J45</f>
        <v>62</v>
      </c>
      <c r="AQ58" s="113">
        <f>[17]cc!J46</f>
        <v>152</v>
      </c>
      <c r="AR58" s="113">
        <f>[18]cc!J46</f>
        <v>279</v>
      </c>
      <c r="AS58" s="113">
        <f>[19]cc!J46</f>
        <v>201.5</v>
      </c>
      <c r="AT58" s="113">
        <f>[20]cc!J46</f>
        <v>115</v>
      </c>
      <c r="AU58" s="113">
        <f>[21]cc!J46</f>
        <v>228</v>
      </c>
      <c r="AV58" s="113">
        <f>[22]cc!J46</f>
        <v>137</v>
      </c>
      <c r="AW58" s="113"/>
      <c r="AX58" s="113"/>
      <c r="AY58" s="113"/>
      <c r="AZ58" s="113"/>
      <c r="BA58" s="113"/>
      <c r="BB58" s="110">
        <f>SUM(AP58:INDEX(AP58:AR58,IF($B$2&lt;3,$B$2,3)))</f>
        <v>493</v>
      </c>
      <c r="BC58" s="110">
        <f>SUM(AS58:INDEX(AS58:AU58,IF(AND($B$2&gt;3,B56&lt;7),$B$2-3,0)))</f>
        <v>544.5</v>
      </c>
      <c r="BD58" s="110">
        <f>SUM(AV58:INDEX(AV58:AX58,IF(AND($B$2&gt;6,$B$2&lt;10),$B$2-6,0)))</f>
        <v>137</v>
      </c>
      <c r="BE58" s="110">
        <f>SUM(AY58:INDEX(AY58:BA58,IF($B$2&gt;9,$B$2-9,0)))</f>
        <v>0</v>
      </c>
      <c r="BF58" s="110">
        <f>SUM($AP58:INDEX(AP58:BA58,$B$2))</f>
        <v>1174.5</v>
      </c>
      <c r="BG58" s="122">
        <f t="shared" si="208"/>
        <v>1.2525252525252526</v>
      </c>
      <c r="BH58" s="111">
        <f t="shared" si="208"/>
        <v>3.3043478260869565</v>
      </c>
      <c r="BI58" s="111">
        <f t="shared" si="208"/>
        <v>1.8979591836734695</v>
      </c>
      <c r="BJ58" s="111">
        <f t="shared" si="208"/>
        <v>1.2286585365853659</v>
      </c>
      <c r="BK58" s="111">
        <f t="shared" si="208"/>
        <v>1.4743589743589745</v>
      </c>
      <c r="BL58" s="111">
        <f t="shared" si="208"/>
        <v>2.7469879518072289</v>
      </c>
      <c r="BM58" s="111">
        <f t="shared" si="208"/>
        <v>1.4421052631578948</v>
      </c>
      <c r="BN58" s="111">
        <f t="shared" si="208"/>
        <v>0</v>
      </c>
      <c r="BO58" s="111">
        <f t="shared" si="208"/>
        <v>0</v>
      </c>
      <c r="BP58" s="111">
        <f t="shared" si="208"/>
        <v>0</v>
      </c>
      <c r="BQ58" s="111">
        <f t="shared" si="208"/>
        <v>0</v>
      </c>
      <c r="BR58" s="111">
        <f t="shared" si="208"/>
        <v>0</v>
      </c>
      <c r="BS58" s="111">
        <f>BB58/SUM(O58:INDEX(O58:Q58,IF($B$2&lt;3,$B$2,3)))</f>
        <v>2.0329896907216494</v>
      </c>
      <c r="BT58" s="111">
        <f>BC58/SUM(R58:INDEX(R58:T58,IF($B$2&lt;7,$B$2-3,3)))</f>
        <v>1.6753846153846155</v>
      </c>
      <c r="BU58" s="111">
        <f>BD58/SUM(U58:INDEX(U58:W58,IF($B$2&lt;7,$B$2-3,IF($B$2&lt;9,$B$2-6,3))))</f>
        <v>1.4421052631578948</v>
      </c>
      <c r="BV58" s="111">
        <f t="shared" si="209"/>
        <v>0</v>
      </c>
      <c r="BW58" s="111">
        <f t="shared" si="210"/>
        <v>1.7728301886792452</v>
      </c>
    </row>
    <row r="59" spans="1:75" x14ac:dyDescent="0.25">
      <c r="A59" s="20" t="str">
        <f t="shared" si="211"/>
        <v># Case_by_rookie_mdrt:7-12mth</v>
      </c>
      <c r="B59" t="s">
        <v>1</v>
      </c>
      <c r="C59">
        <v>30</v>
      </c>
      <c r="D59">
        <v>39</v>
      </c>
      <c r="E59">
        <v>35</v>
      </c>
      <c r="F59">
        <v>77</v>
      </c>
      <c r="G59">
        <v>99</v>
      </c>
      <c r="H59">
        <v>111.5</v>
      </c>
      <c r="I59">
        <v>128</v>
      </c>
      <c r="J59">
        <v>94</v>
      </c>
      <c r="K59">
        <v>170</v>
      </c>
      <c r="L59">
        <v>120</v>
      </c>
      <c r="M59">
        <v>278</v>
      </c>
      <c r="N59">
        <v>281</v>
      </c>
      <c r="O59">
        <v>60</v>
      </c>
      <c r="P59">
        <v>56</v>
      </c>
      <c r="Q59">
        <v>123</v>
      </c>
      <c r="R59">
        <v>107</v>
      </c>
      <c r="S59">
        <v>95</v>
      </c>
      <c r="T59">
        <v>161</v>
      </c>
      <c r="U59">
        <v>127</v>
      </c>
      <c r="V59">
        <v>131.5</v>
      </c>
      <c r="W59">
        <v>145</v>
      </c>
      <c r="X59">
        <f>[14]cc!AB24</f>
        <v>123</v>
      </c>
      <c r="Y59">
        <f>[24]cc!AC24</f>
        <v>215</v>
      </c>
      <c r="Z59" s="6">
        <f>[15]cc!J46</f>
        <v>305.5</v>
      </c>
      <c r="AA59" s="22">
        <f>SUM(O59:INDEX(O59:Z59,$B$2))</f>
        <v>729</v>
      </c>
      <c r="AB59" s="22">
        <f t="shared" si="212"/>
        <v>239</v>
      </c>
      <c r="AC59" s="22">
        <f t="shared" si="213"/>
        <v>363</v>
      </c>
      <c r="AD59" s="22">
        <f t="shared" si="214"/>
        <v>403.5</v>
      </c>
      <c r="AE59" s="22">
        <f t="shared" si="215"/>
        <v>643.5</v>
      </c>
      <c r="AF59" s="22">
        <f>SUM(C59                                                                                : INDEX(C59:N59,$B$2))</f>
        <v>519.5</v>
      </c>
      <c r="AG59" s="22">
        <f t="shared" si="203"/>
        <v>104</v>
      </c>
      <c r="AH59" s="22">
        <f t="shared" si="204"/>
        <v>287.5</v>
      </c>
      <c r="AI59" s="22">
        <f t="shared" si="205"/>
        <v>392</v>
      </c>
      <c r="AJ59" s="22">
        <f t="shared" si="206"/>
        <v>679</v>
      </c>
      <c r="AK59" s="31">
        <f t="shared" si="216"/>
        <v>0.40327237728585175</v>
      </c>
      <c r="AL59" s="31">
        <f t="shared" si="207"/>
        <v>1.2980769230769229</v>
      </c>
      <c r="AM59" s="31">
        <f t="shared" si="207"/>
        <v>0.26260869565217382</v>
      </c>
      <c r="AN59" s="31">
        <f t="shared" si="207"/>
        <v>2.9336734693877542E-2</v>
      </c>
      <c r="AO59" s="31">
        <f>AE59/SUM(L59:INDEX(L59:N59,MOD($B$2,3)))-1</f>
        <v>4.3624999999999998</v>
      </c>
      <c r="AP59" s="113">
        <f>[16]cc!J46</f>
        <v>34</v>
      </c>
      <c r="AQ59" s="113">
        <f>[17]cc!J47</f>
        <v>37</v>
      </c>
      <c r="AR59" s="113">
        <f>[18]cc!J47</f>
        <v>80</v>
      </c>
      <c r="AS59" s="113">
        <f>[19]cc!J47</f>
        <v>124</v>
      </c>
      <c r="AT59" s="113">
        <f>[20]cc!J47</f>
        <v>848</v>
      </c>
      <c r="AU59" s="113">
        <f>[21]cc!J47</f>
        <v>246.5</v>
      </c>
      <c r="AV59" s="113">
        <f>[22]cc!J47</f>
        <v>184.5</v>
      </c>
      <c r="AW59" s="113"/>
      <c r="AX59" s="113"/>
      <c r="AY59" s="113"/>
      <c r="AZ59" s="113"/>
      <c r="BA59" s="113"/>
      <c r="BB59" s="110">
        <f>SUM(AP59:INDEX(AP59:AR59,IF($B$2&lt;3,$B$2,3)))</f>
        <v>151</v>
      </c>
      <c r="BC59" s="110">
        <f>SUM(AS59:INDEX(AS59:AU59,IF(AND($B$2&gt;3,B57&lt;7),$B$2-3,0)))</f>
        <v>1218.5</v>
      </c>
      <c r="BD59" s="110">
        <f>SUM(AV59:INDEX(AV59:AX59,IF(AND($B$2&gt;6,$B$2&lt;10),$B$2-6,0)))</f>
        <v>184.5</v>
      </c>
      <c r="BE59" s="110">
        <f>SUM(AY59:INDEX(AY59:BA59,IF($B$2&gt;9,$B$2-9,0)))</f>
        <v>0</v>
      </c>
      <c r="BF59" s="110">
        <f>SUM($AP59:INDEX(AP59:BA59,$B$2))</f>
        <v>1554</v>
      </c>
      <c r="BG59" s="122">
        <f t="shared" si="208"/>
        <v>0.56666666666666665</v>
      </c>
      <c r="BH59" s="111">
        <f t="shared" si="208"/>
        <v>0.6607142857142857</v>
      </c>
      <c r="BI59" s="111">
        <f t="shared" si="208"/>
        <v>0.65040650406504064</v>
      </c>
      <c r="BJ59" s="111">
        <f t="shared" si="208"/>
        <v>1.1588785046728971</v>
      </c>
      <c r="BK59" s="111">
        <f t="shared" si="208"/>
        <v>8.9263157894736835</v>
      </c>
      <c r="BL59" s="111">
        <f t="shared" si="208"/>
        <v>1.531055900621118</v>
      </c>
      <c r="BM59" s="111">
        <f t="shared" si="208"/>
        <v>1.4527559055118111</v>
      </c>
      <c r="BN59" s="111">
        <f t="shared" si="208"/>
        <v>0</v>
      </c>
      <c r="BO59" s="111">
        <f t="shared" si="208"/>
        <v>0</v>
      </c>
      <c r="BP59" s="111">
        <f t="shared" si="208"/>
        <v>0</v>
      </c>
      <c r="BQ59" s="111">
        <f t="shared" si="208"/>
        <v>0</v>
      </c>
      <c r="BR59" s="111">
        <f t="shared" si="208"/>
        <v>0</v>
      </c>
      <c r="BS59" s="111">
        <f>BB59/SUM(O59:INDEX(O59:Q59,IF($B$2&lt;3,$B$2,3)))</f>
        <v>0.63179916317991636</v>
      </c>
      <c r="BT59" s="111">
        <f>BC59/SUM(R59:INDEX(R59:T59,IF($B$2&lt;7,$B$2-3,3)))</f>
        <v>3.3567493112947657</v>
      </c>
      <c r="BU59" s="111">
        <f>BD59/SUM(U59:INDEX(U59:W59,IF($B$2&lt;7,$B$2-3,IF($B$2&lt;9,$B$2-6,3))))</f>
        <v>1.4527559055118111</v>
      </c>
      <c r="BV59" s="111">
        <f t="shared" si="209"/>
        <v>0</v>
      </c>
      <c r="BW59" s="111">
        <f t="shared" si="210"/>
        <v>2.1316872427983538</v>
      </c>
    </row>
    <row r="60" spans="1:75" x14ac:dyDescent="0.25">
      <c r="A60" s="20" t="str">
        <f t="shared" si="211"/>
        <v># Case_by_rookie_mdrt:13+mth</v>
      </c>
      <c r="B60" t="s">
        <v>2</v>
      </c>
      <c r="C60">
        <v>24</v>
      </c>
      <c r="D60">
        <v>13</v>
      </c>
      <c r="E60">
        <v>22</v>
      </c>
      <c r="F60">
        <v>18</v>
      </c>
      <c r="G60">
        <v>28</v>
      </c>
      <c r="H60">
        <v>33.5</v>
      </c>
      <c r="I60">
        <v>33</v>
      </c>
      <c r="J60">
        <v>41.5</v>
      </c>
      <c r="K60">
        <v>80</v>
      </c>
      <c r="L60">
        <v>67</v>
      </c>
      <c r="M60">
        <v>126</v>
      </c>
      <c r="N60">
        <v>190</v>
      </c>
      <c r="O60">
        <v>41</v>
      </c>
      <c r="P60">
        <v>44</v>
      </c>
      <c r="Q60">
        <v>93</v>
      </c>
      <c r="R60">
        <v>70</v>
      </c>
      <c r="S60">
        <v>75</v>
      </c>
      <c r="T60">
        <v>154</v>
      </c>
      <c r="U60">
        <v>99</v>
      </c>
      <c r="V60">
        <v>75</v>
      </c>
      <c r="W60">
        <v>143</v>
      </c>
      <c r="X60">
        <f>[14]cc!AB25</f>
        <v>85.5</v>
      </c>
      <c r="Y60">
        <f>[24]cc!AC25</f>
        <v>135</v>
      </c>
      <c r="Z60" s="6">
        <f>[15]cc!J47</f>
        <v>286</v>
      </c>
      <c r="AA60" s="22">
        <f>SUM(O60:INDEX(O60:Z60,$B$2))</f>
        <v>576</v>
      </c>
      <c r="AB60" s="22">
        <f t="shared" si="212"/>
        <v>178</v>
      </c>
      <c r="AC60" s="22">
        <f t="shared" si="213"/>
        <v>299</v>
      </c>
      <c r="AD60" s="22">
        <f t="shared" si="214"/>
        <v>317</v>
      </c>
      <c r="AE60" s="22">
        <f t="shared" si="215"/>
        <v>506.5</v>
      </c>
      <c r="AF60" s="22">
        <f>SUM(C60                                                                                : INDEX(C60:N60,$B$2))</f>
        <v>171.5</v>
      </c>
      <c r="AG60" s="22">
        <f t="shared" si="203"/>
        <v>59</v>
      </c>
      <c r="AH60" s="22">
        <f t="shared" si="204"/>
        <v>79.5</v>
      </c>
      <c r="AI60" s="22">
        <f t="shared" si="205"/>
        <v>154.5</v>
      </c>
      <c r="AJ60" s="22">
        <f t="shared" si="206"/>
        <v>383</v>
      </c>
      <c r="AK60" s="31">
        <f t="shared" si="216"/>
        <v>2.3586005830903791</v>
      </c>
      <c r="AL60" s="31">
        <f t="shared" si="207"/>
        <v>2.0169491525423728</v>
      </c>
      <c r="AM60" s="31">
        <f t="shared" si="207"/>
        <v>2.7610062893081762</v>
      </c>
      <c r="AN60" s="31">
        <f t="shared" si="207"/>
        <v>1.0517799352750807</v>
      </c>
      <c r="AO60" s="31">
        <f>AE60/SUM(L60:INDEX(L60:N60,MOD($B$2,3)))-1</f>
        <v>6.5597014925373136</v>
      </c>
      <c r="AP60" s="113">
        <f>[16]cc!J47</f>
        <v>75.5</v>
      </c>
      <c r="AQ60" s="113">
        <f>[17]cc!J48</f>
        <v>63</v>
      </c>
      <c r="AR60" s="113">
        <f>[18]cc!J48</f>
        <v>135</v>
      </c>
      <c r="AS60" s="113">
        <f>[19]cc!J48</f>
        <v>129</v>
      </c>
      <c r="AT60" s="113">
        <f>[20]cc!J48</f>
        <v>102.5</v>
      </c>
      <c r="AU60" s="113">
        <f>[21]cc!J48</f>
        <v>115.5</v>
      </c>
      <c r="AV60" s="113">
        <f>[22]cc!J48</f>
        <v>122.5</v>
      </c>
      <c r="AW60" s="113"/>
      <c r="AX60" s="113"/>
      <c r="AY60" s="113"/>
      <c r="AZ60" s="113"/>
      <c r="BA60" s="113"/>
      <c r="BB60" s="110">
        <f>SUM(AP60:INDEX(AP60:AR60,IF($B$2&lt;3,$B$2,3)))</f>
        <v>273.5</v>
      </c>
      <c r="BC60" s="110">
        <f>SUM(AS60:INDEX(AS60:AU60,IF(AND($B$2&gt;3,B58&lt;7),$B$2-3,0)))</f>
        <v>347</v>
      </c>
      <c r="BD60" s="110">
        <f>SUM(AV60:INDEX(AV60:AX60,IF(AND($B$2&gt;6,$B$2&lt;10),$B$2-6,0)))</f>
        <v>122.5</v>
      </c>
      <c r="BE60" s="110">
        <f>SUM(AY60:INDEX(AY60:BA60,IF($B$2&gt;9,$B$2-9,0)))</f>
        <v>0</v>
      </c>
      <c r="BF60" s="110">
        <f>SUM($AP60:INDEX(AP60:BA60,$B$2))</f>
        <v>743</v>
      </c>
      <c r="BG60" s="122">
        <f t="shared" si="208"/>
        <v>1.8414634146341464</v>
      </c>
      <c r="BH60" s="111">
        <f t="shared" si="208"/>
        <v>1.4318181818181819</v>
      </c>
      <c r="BI60" s="111">
        <f t="shared" si="208"/>
        <v>1.4516129032258065</v>
      </c>
      <c r="BJ60" s="111">
        <f t="shared" si="208"/>
        <v>1.8428571428571427</v>
      </c>
      <c r="BK60" s="111">
        <f t="shared" si="208"/>
        <v>1.3666666666666667</v>
      </c>
      <c r="BL60" s="111">
        <f t="shared" si="208"/>
        <v>0.75</v>
      </c>
      <c r="BM60" s="111">
        <f t="shared" si="208"/>
        <v>1.2373737373737375</v>
      </c>
      <c r="BN60" s="111">
        <f t="shared" si="208"/>
        <v>0</v>
      </c>
      <c r="BO60" s="111">
        <f t="shared" si="208"/>
        <v>0</v>
      </c>
      <c r="BP60" s="111">
        <f t="shared" si="208"/>
        <v>0</v>
      </c>
      <c r="BQ60" s="111">
        <f t="shared" si="208"/>
        <v>0</v>
      </c>
      <c r="BR60" s="111">
        <f t="shared" si="208"/>
        <v>0</v>
      </c>
      <c r="BS60" s="111">
        <f>BB60/SUM(O60:INDEX(O60:Q60,IF($B$2&lt;3,$B$2,3)))</f>
        <v>1.5365168539325842</v>
      </c>
      <c r="BT60" s="111">
        <f>BC60/SUM(R60:INDEX(R60:T60,IF($B$2&lt;7,$B$2-3,3)))</f>
        <v>1.1605351170568561</v>
      </c>
      <c r="BU60" s="111">
        <f>BD60/SUM(U60:INDEX(U60:W60,IF($B$2&lt;7,$B$2-3,IF($B$2&lt;9,$B$2-6,3))))</f>
        <v>1.2373737373737375</v>
      </c>
      <c r="BV60" s="111">
        <f t="shared" si="209"/>
        <v>0</v>
      </c>
      <c r="BW60" s="111">
        <f t="shared" si="210"/>
        <v>1.2899305555555556</v>
      </c>
    </row>
    <row r="61" spans="1:75" x14ac:dyDescent="0.25">
      <c r="A61" s="20" t="str">
        <f t="shared" si="211"/>
        <v># Case_by_rookie_mdrt:SA</v>
      </c>
      <c r="B61" s="135" t="s">
        <v>136</v>
      </c>
      <c r="Z61" s="6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31"/>
      <c r="AL61" s="31"/>
      <c r="AM61" s="31"/>
      <c r="AN61" s="31"/>
      <c r="AO61" s="31"/>
      <c r="AP61" s="113"/>
      <c r="AQ61" s="113">
        <f>[17]cc!J49</f>
        <v>36.5</v>
      </c>
      <c r="AR61" s="113">
        <f>[18]cc!J49</f>
        <v>39.5</v>
      </c>
      <c r="AS61" s="113">
        <f>[19]cc!J49</f>
        <v>56.5</v>
      </c>
      <c r="AT61" s="113">
        <f>[20]cc!J49</f>
        <v>29</v>
      </c>
      <c r="AU61" s="113">
        <f>[21]cc!J49</f>
        <v>15</v>
      </c>
      <c r="AV61" s="113">
        <f>[22]cc!J49</f>
        <v>25</v>
      </c>
      <c r="AW61" s="113"/>
      <c r="AX61" s="113"/>
      <c r="AY61" s="113"/>
      <c r="AZ61" s="113"/>
      <c r="BA61" s="113"/>
      <c r="BB61" s="110">
        <f>SUM(AP61:INDEX(AP61:AR61,IF($B$2&lt;3,$B$2,3)))</f>
        <v>76</v>
      </c>
      <c r="BC61" s="110">
        <f>SUM(AS61:INDEX(AS61:AU61,IF(AND($B$2&gt;3,B59&lt;7),$B$2-3,0)))</f>
        <v>100.5</v>
      </c>
      <c r="BD61" s="110">
        <f>SUM(AV61:INDEX(AV61:AX61,IF(AND($B$2&gt;6,$B$2&lt;10),$B$2-6,0)))</f>
        <v>25</v>
      </c>
      <c r="BE61" s="110">
        <f>SUM(AY61:INDEX(AY61:BA61,IF($B$2&gt;9,$B$2-9,0)))</f>
        <v>0</v>
      </c>
      <c r="BF61" s="21">
        <f>SUM($AP61:INDEX(AP61:BA61,$B$2))</f>
        <v>201.5</v>
      </c>
      <c r="BG61" s="122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</row>
    <row r="62" spans="1:75" s="17" customFormat="1" x14ac:dyDescent="0.25">
      <c r="A62" s="20" t="str">
        <f t="shared" si="211"/>
        <v># Case_by_rookie_mdrt:Total</v>
      </c>
      <c r="B62" s="1" t="s">
        <v>186</v>
      </c>
      <c r="C62" s="7">
        <f>SUM(C54:C60)</f>
        <v>373</v>
      </c>
      <c r="D62" s="7">
        <f t="shared" ref="D62:Z62" si="217">SUM(D54:D60)</f>
        <v>317</v>
      </c>
      <c r="E62" s="7">
        <f t="shared" si="217"/>
        <v>515</v>
      </c>
      <c r="F62" s="7">
        <f t="shared" si="217"/>
        <v>658</v>
      </c>
      <c r="G62" s="7">
        <f t="shared" si="217"/>
        <v>644</v>
      </c>
      <c r="H62" s="7">
        <f t="shared" si="217"/>
        <v>806</v>
      </c>
      <c r="I62" s="7">
        <f t="shared" si="217"/>
        <v>781</v>
      </c>
      <c r="J62" s="7">
        <f t="shared" si="217"/>
        <v>593</v>
      </c>
      <c r="K62" s="7">
        <f t="shared" si="217"/>
        <v>949</v>
      </c>
      <c r="L62" s="7">
        <f t="shared" si="217"/>
        <v>758</v>
      </c>
      <c r="M62" s="7">
        <f t="shared" si="217"/>
        <v>1207</v>
      </c>
      <c r="N62" s="7">
        <f t="shared" si="217"/>
        <v>1608</v>
      </c>
      <c r="O62" s="7">
        <f t="shared" si="217"/>
        <v>349</v>
      </c>
      <c r="P62" s="7">
        <f t="shared" si="217"/>
        <v>334</v>
      </c>
      <c r="Q62" s="7">
        <f t="shared" si="217"/>
        <v>875</v>
      </c>
      <c r="R62" s="7">
        <f t="shared" si="217"/>
        <v>809</v>
      </c>
      <c r="S62" s="7">
        <f t="shared" si="217"/>
        <v>672</v>
      </c>
      <c r="T62" s="7">
        <f t="shared" si="217"/>
        <v>1028</v>
      </c>
      <c r="U62" s="7">
        <f t="shared" si="217"/>
        <v>793</v>
      </c>
      <c r="V62" s="7">
        <f t="shared" si="217"/>
        <v>771</v>
      </c>
      <c r="W62" s="7">
        <f t="shared" si="217"/>
        <v>1115</v>
      </c>
      <c r="X62" s="7">
        <f t="shared" si="217"/>
        <v>844</v>
      </c>
      <c r="Y62" s="7">
        <f t="shared" si="217"/>
        <v>1282</v>
      </c>
      <c r="Z62" s="7">
        <f t="shared" si="217"/>
        <v>1894</v>
      </c>
      <c r="AA62" s="1">
        <f>SUM(O62:INDEX(O62:Z62,$B$2))</f>
        <v>4860</v>
      </c>
      <c r="AB62" s="1">
        <f t="shared" ref="AB62:AE62" si="218">SUM(AB54:AB60)</f>
        <v>1558</v>
      </c>
      <c r="AC62" s="1">
        <f t="shared" si="218"/>
        <v>2509</v>
      </c>
      <c r="AD62" s="1">
        <f t="shared" si="218"/>
        <v>2679</v>
      </c>
      <c r="AE62" s="1">
        <f t="shared" si="218"/>
        <v>4020</v>
      </c>
      <c r="AF62" s="7">
        <f t="shared" ref="AF62:AJ62" si="219">SUM(AF54:AF60)</f>
        <v>4094</v>
      </c>
      <c r="AG62" s="7">
        <f t="shared" si="219"/>
        <v>1205</v>
      </c>
      <c r="AH62" s="7">
        <f t="shared" si="219"/>
        <v>2108</v>
      </c>
      <c r="AI62" s="7">
        <f t="shared" si="219"/>
        <v>2323</v>
      </c>
      <c r="AJ62" s="7">
        <f t="shared" si="219"/>
        <v>3573</v>
      </c>
      <c r="AK62" s="32">
        <f t="shared" si="216"/>
        <v>0.18710307767464585</v>
      </c>
      <c r="AL62" s="32">
        <f t="shared" si="207"/>
        <v>0.29294605809128638</v>
      </c>
      <c r="AM62" s="32">
        <f t="shared" si="207"/>
        <v>0.1902277039848197</v>
      </c>
      <c r="AN62" s="32">
        <f t="shared" si="207"/>
        <v>0.15325010761945768</v>
      </c>
      <c r="AO62" s="31">
        <f>AE62/SUM(L62:INDEX(L62:N62,MOD($B$2,3)))-1</f>
        <v>4.3034300791556728</v>
      </c>
      <c r="AP62" s="114">
        <f t="shared" ref="AP62" si="220">SUM(AP54:AP60)</f>
        <v>690</v>
      </c>
      <c r="AQ62" s="114">
        <f t="shared" ref="AQ62:AV62" si="221">SUM(AQ54:AQ61)</f>
        <v>918</v>
      </c>
      <c r="AR62" s="114">
        <f t="shared" si="221"/>
        <v>1428</v>
      </c>
      <c r="AS62" s="114">
        <f t="shared" si="221"/>
        <v>1259</v>
      </c>
      <c r="AT62" s="114">
        <f t="shared" si="221"/>
        <v>1915</v>
      </c>
      <c r="AU62" s="114">
        <f t="shared" si="221"/>
        <v>1626</v>
      </c>
      <c r="AV62" s="114">
        <f t="shared" si="221"/>
        <v>1171</v>
      </c>
      <c r="AW62" s="114"/>
      <c r="AX62" s="114"/>
      <c r="AY62" s="114"/>
      <c r="AZ62" s="114"/>
      <c r="BA62" s="114"/>
      <c r="BB62" s="116">
        <f>SUM(AP62:INDEX(AP62:AR62,IF($B$2&lt;3,$B$2,3)))</f>
        <v>3036</v>
      </c>
      <c r="BC62" s="116">
        <f>SUM(AS62:INDEX(AS62:AU62,IF(AND($B$2&gt;3,B59&lt;7),$B$2-3,0)))</f>
        <v>4800</v>
      </c>
      <c r="BD62" s="116">
        <f>SUM(AV62:INDEX(AV62:AX62,IF(AND($B$2&gt;6,$B$2&lt;10),$B$2-6,0)))</f>
        <v>1171</v>
      </c>
      <c r="BE62" s="116">
        <f>SUM(AY62:INDEX(AY62:BA62,IF($B$2&gt;9,$B$2-9,0)))</f>
        <v>0</v>
      </c>
      <c r="BF62" s="116">
        <f>SUM($AP62:INDEX(AP62:BA62,$B$2))</f>
        <v>9007</v>
      </c>
      <c r="BG62" s="123">
        <f t="shared" si="208"/>
        <v>1.9770773638968482</v>
      </c>
      <c r="BH62" s="118">
        <f t="shared" si="208"/>
        <v>2.7485029940119761</v>
      </c>
      <c r="BI62" s="118">
        <f t="shared" si="208"/>
        <v>1.6319999999999999</v>
      </c>
      <c r="BJ62" s="118">
        <f t="shared" si="208"/>
        <v>1.5562422744128555</v>
      </c>
      <c r="BK62" s="118">
        <f t="shared" si="208"/>
        <v>2.8497023809523809</v>
      </c>
      <c r="BL62" s="118">
        <f t="shared" si="208"/>
        <v>1.5817120622568093</v>
      </c>
      <c r="BM62" s="118">
        <f t="shared" si="208"/>
        <v>1.476670870113493</v>
      </c>
      <c r="BN62" s="118">
        <f t="shared" si="208"/>
        <v>0</v>
      </c>
      <c r="BO62" s="118">
        <f t="shared" si="208"/>
        <v>0</v>
      </c>
      <c r="BP62" s="118">
        <f t="shared" si="208"/>
        <v>0</v>
      </c>
      <c r="BQ62" s="118">
        <f t="shared" si="208"/>
        <v>0</v>
      </c>
      <c r="BR62" s="118">
        <f t="shared" si="208"/>
        <v>0</v>
      </c>
      <c r="BS62" s="118">
        <f>BB62/SUM(O62:INDEX(O62:Q62,IF($B$2&lt;3,$B$2,3)))</f>
        <v>1.9486521181001284</v>
      </c>
      <c r="BT62" s="118">
        <f>BC62/SUM(R62:INDEX(R62:T62,IF($B$2&lt;7,$B$2-3,3)))</f>
        <v>1.9131127939418096</v>
      </c>
      <c r="BU62" s="111">
        <f>BD62/SUM(U62:INDEX(U62:W62,IF($B$2&lt;7,$B$2-3,IF($B$2&lt;9,$B$2-6,3))))</f>
        <v>1.476670870113493</v>
      </c>
      <c r="BV62" s="118">
        <f t="shared" si="209"/>
        <v>0</v>
      </c>
      <c r="BW62" s="118">
        <f t="shared" si="210"/>
        <v>1.8532921810699587</v>
      </c>
    </row>
    <row r="63" spans="1:75" x14ac:dyDescent="0.25">
      <c r="A63" s="20" t="s">
        <v>227</v>
      </c>
      <c r="B63" t="s">
        <v>187</v>
      </c>
      <c r="AP63" s="110">
        <f t="shared" ref="AP63:AU63" si="222">AP62-AP61</f>
        <v>690</v>
      </c>
      <c r="AQ63" s="110">
        <f t="shared" si="222"/>
        <v>881.5</v>
      </c>
      <c r="AR63" s="110">
        <f t="shared" si="222"/>
        <v>1388.5</v>
      </c>
      <c r="AS63" s="110">
        <f t="shared" si="222"/>
        <v>1202.5</v>
      </c>
      <c r="AT63" s="110">
        <f t="shared" si="222"/>
        <v>1886</v>
      </c>
      <c r="AU63" s="110">
        <f t="shared" si="222"/>
        <v>1611</v>
      </c>
      <c r="AV63" s="110">
        <f>AV62-AV61</f>
        <v>1146</v>
      </c>
      <c r="BG63" s="124"/>
    </row>
    <row r="64" spans="1:75" x14ac:dyDescent="0.25">
      <c r="B64" t="s">
        <v>187</v>
      </c>
      <c r="BG64" s="124"/>
    </row>
    <row r="65" spans="1:75" s="17" customFormat="1" x14ac:dyDescent="0.25">
      <c r="A65" s="19"/>
      <c r="B65" s="2" t="s">
        <v>13</v>
      </c>
      <c r="C65" s="3">
        <f t="shared" ref="C65:Z65" si="223">C29</f>
        <v>42005</v>
      </c>
      <c r="D65" s="3">
        <f t="shared" si="223"/>
        <v>42036</v>
      </c>
      <c r="E65" s="3">
        <f t="shared" si="223"/>
        <v>42064</v>
      </c>
      <c r="F65" s="3">
        <f t="shared" si="223"/>
        <v>42095</v>
      </c>
      <c r="G65" s="3">
        <f t="shared" si="223"/>
        <v>42125</v>
      </c>
      <c r="H65" s="3">
        <f t="shared" si="223"/>
        <v>42156</v>
      </c>
      <c r="I65" s="3">
        <f t="shared" si="223"/>
        <v>42186</v>
      </c>
      <c r="J65" s="3">
        <f t="shared" si="223"/>
        <v>42217</v>
      </c>
      <c r="K65" s="3">
        <f t="shared" si="223"/>
        <v>42248</v>
      </c>
      <c r="L65" s="3">
        <f t="shared" si="223"/>
        <v>42278</v>
      </c>
      <c r="M65" s="3">
        <f t="shared" si="223"/>
        <v>42309</v>
      </c>
      <c r="N65" s="3">
        <f t="shared" si="223"/>
        <v>42339</v>
      </c>
      <c r="O65" s="3">
        <f t="shared" si="223"/>
        <v>42370</v>
      </c>
      <c r="P65" s="3">
        <f t="shared" si="223"/>
        <v>42401</v>
      </c>
      <c r="Q65" s="3">
        <f t="shared" si="223"/>
        <v>42430</v>
      </c>
      <c r="R65" s="3">
        <f t="shared" si="223"/>
        <v>42461</v>
      </c>
      <c r="S65" s="3">
        <f t="shared" si="223"/>
        <v>42491</v>
      </c>
      <c r="T65" s="3">
        <f t="shared" si="223"/>
        <v>42522</v>
      </c>
      <c r="U65" s="3">
        <f t="shared" si="223"/>
        <v>42552</v>
      </c>
      <c r="V65" s="3">
        <f t="shared" si="223"/>
        <v>42583</v>
      </c>
      <c r="W65" s="3">
        <f t="shared" si="223"/>
        <v>42614</v>
      </c>
      <c r="X65" s="3">
        <f t="shared" si="223"/>
        <v>42644</v>
      </c>
      <c r="Y65" s="3">
        <f t="shared" si="223"/>
        <v>42675</v>
      </c>
      <c r="Z65" s="3">
        <f t="shared" si="223"/>
        <v>42705</v>
      </c>
      <c r="AA65" s="29" t="str">
        <f>$AA$3</f>
        <v>YTD 7/16</v>
      </c>
      <c r="AB65" s="29" t="s">
        <v>19</v>
      </c>
      <c r="AC65" s="29" t="s">
        <v>20</v>
      </c>
      <c r="AD65" s="29" t="s">
        <v>21</v>
      </c>
      <c r="AE65" s="29" t="s">
        <v>22</v>
      </c>
      <c r="AF65" s="26" t="str">
        <f t="shared" ref="AF65:AJ65" si="224">AF41</f>
        <v>YTD 7/15</v>
      </c>
      <c r="AG65" s="26" t="str">
        <f t="shared" si="224"/>
        <v>Q1 '15</v>
      </c>
      <c r="AH65" s="26" t="str">
        <f t="shared" si="224"/>
        <v>Q2 '15</v>
      </c>
      <c r="AI65" s="26" t="str">
        <f t="shared" si="224"/>
        <v>Q3 '15</v>
      </c>
      <c r="AJ65" s="26" t="str">
        <f t="shared" si="224"/>
        <v>Q4 '15</v>
      </c>
      <c r="AK65" s="30" t="s">
        <v>27</v>
      </c>
      <c r="AL65" s="30" t="s">
        <v>29</v>
      </c>
      <c r="AM65" s="30" t="s">
        <v>30</v>
      </c>
      <c r="AN65" s="30" t="s">
        <v>31</v>
      </c>
      <c r="AO65" s="30" t="s">
        <v>32</v>
      </c>
      <c r="AP65" s="108">
        <v>42736</v>
      </c>
      <c r="AQ65" s="108">
        <v>42767</v>
      </c>
      <c r="AR65" s="108">
        <v>42795</v>
      </c>
      <c r="AS65" s="108">
        <v>42826</v>
      </c>
      <c r="AT65" s="108">
        <v>42856</v>
      </c>
      <c r="AU65" s="108">
        <v>42887</v>
      </c>
      <c r="AV65" s="108">
        <v>42917</v>
      </c>
      <c r="AW65" s="108">
        <v>42948</v>
      </c>
      <c r="AX65" s="108">
        <v>42979</v>
      </c>
      <c r="AY65" s="108">
        <v>43009</v>
      </c>
      <c r="AZ65" s="108">
        <v>43040</v>
      </c>
      <c r="BA65" s="108">
        <v>43070</v>
      </c>
      <c r="BB65" s="29" t="s">
        <v>123</v>
      </c>
      <c r="BC65" s="29" t="s">
        <v>124</v>
      </c>
      <c r="BD65" s="29" t="s">
        <v>125</v>
      </c>
      <c r="BE65" s="29" t="s">
        <v>126</v>
      </c>
      <c r="BF65" s="29" t="str">
        <f>$BF$3</f>
        <v>YTD 7/17</v>
      </c>
      <c r="BG65" s="121">
        <v>42736</v>
      </c>
      <c r="BH65" s="108">
        <v>42767</v>
      </c>
      <c r="BI65" s="108">
        <v>42795</v>
      </c>
      <c r="BJ65" s="108">
        <v>42826</v>
      </c>
      <c r="BK65" s="108">
        <v>42856</v>
      </c>
      <c r="BL65" s="108">
        <v>42887</v>
      </c>
      <c r="BM65" s="108">
        <v>42917</v>
      </c>
      <c r="BN65" s="108">
        <v>42948</v>
      </c>
      <c r="BO65" s="108">
        <v>42979</v>
      </c>
      <c r="BP65" s="108">
        <v>43009</v>
      </c>
      <c r="BQ65" s="108">
        <v>43040</v>
      </c>
      <c r="BR65" s="108">
        <v>43070</v>
      </c>
      <c r="BS65" s="29" t="s">
        <v>127</v>
      </c>
      <c r="BT65" s="29" t="s">
        <v>128</v>
      </c>
      <c r="BU65" s="29" t="s">
        <v>96</v>
      </c>
      <c r="BV65" s="29" t="s">
        <v>129</v>
      </c>
      <c r="BW65" s="112" t="s">
        <v>130</v>
      </c>
    </row>
    <row r="66" spans="1:75" x14ac:dyDescent="0.25">
      <c r="A66" s="20" t="str">
        <f>$B$65&amp;"_by_rookie_mdrt:"&amp;B66</f>
        <v># Case/Active_by_rookie_mdrt:MDRT</v>
      </c>
      <c r="B66" t="s">
        <v>4</v>
      </c>
      <c r="C66" s="10">
        <f t="shared" ref="C66:AJ66" si="225">IFERROR(C54/C30,"")</f>
        <v>2.2222222222222223</v>
      </c>
      <c r="D66" s="10">
        <f t="shared" si="225"/>
        <v>2.3199999999999998</v>
      </c>
      <c r="E66" s="10">
        <f t="shared" si="225"/>
        <v>3.8333333333333335</v>
      </c>
      <c r="F66" s="10">
        <f t="shared" si="225"/>
        <v>3.5714285714285716</v>
      </c>
      <c r="G66" s="10">
        <f t="shared" si="225"/>
        <v>2.3139534883720931</v>
      </c>
      <c r="H66" s="10">
        <f t="shared" si="225"/>
        <v>2.9634146341463414</v>
      </c>
      <c r="I66" s="10">
        <f t="shared" si="225"/>
        <v>3.3157894736842106</v>
      </c>
      <c r="J66" s="10">
        <f t="shared" si="225"/>
        <v>2.0735294117647061</v>
      </c>
      <c r="K66" s="10">
        <f t="shared" si="225"/>
        <v>2.9479166666666665</v>
      </c>
      <c r="L66" s="10">
        <f t="shared" si="225"/>
        <v>3.3690476190476191</v>
      </c>
      <c r="M66" s="10">
        <f t="shared" si="225"/>
        <v>2.9523809523809526</v>
      </c>
      <c r="N66" s="10">
        <f t="shared" si="225"/>
        <v>4.583333333333333</v>
      </c>
      <c r="O66" s="10">
        <f t="shared" si="225"/>
        <v>1.4242424242424243</v>
      </c>
      <c r="P66" s="10">
        <f t="shared" si="225"/>
        <v>1.6666666666666667</v>
      </c>
      <c r="Q66" s="10">
        <f t="shared" si="225"/>
        <v>2.5531914893617023</v>
      </c>
      <c r="R66" s="10">
        <f t="shared" si="225"/>
        <v>4</v>
      </c>
      <c r="S66" s="10">
        <f t="shared" si="225"/>
        <v>2.3783783783783785</v>
      </c>
      <c r="T66" s="10">
        <f t="shared" si="225"/>
        <v>2.0408163265306123</v>
      </c>
      <c r="U66" s="10">
        <f t="shared" si="225"/>
        <v>2.4516129032258065</v>
      </c>
      <c r="V66" s="10">
        <f t="shared" si="225"/>
        <v>2.1</v>
      </c>
      <c r="W66" s="10">
        <f t="shared" si="225"/>
        <v>2.7894736842105261</v>
      </c>
      <c r="X66" s="10">
        <f t="shared" si="225"/>
        <v>2.967741935483871</v>
      </c>
      <c r="Y66" s="10">
        <f t="shared" si="225"/>
        <v>3.8225806451612905</v>
      </c>
      <c r="Z66" s="10">
        <f t="shared" si="225"/>
        <v>4.3552631578947372</v>
      </c>
      <c r="AA66" s="21">
        <f t="shared" si="225"/>
        <v>2.3805970149253732</v>
      </c>
      <c r="AB66" s="21">
        <f t="shared" si="225"/>
        <v>1.9646017699115044</v>
      </c>
      <c r="AC66" s="21">
        <f t="shared" si="225"/>
        <v>2.7419354838709675</v>
      </c>
      <c r="AD66" s="21">
        <f t="shared" si="225"/>
        <v>2.4567307692307692</v>
      </c>
      <c r="AE66" s="21">
        <f t="shared" si="225"/>
        <v>3.76</v>
      </c>
      <c r="AF66" s="21">
        <f t="shared" si="225"/>
        <v>2.9674796747967478</v>
      </c>
      <c r="AG66" s="21">
        <f t="shared" si="225"/>
        <v>2.8414634146341462</v>
      </c>
      <c r="AH66" s="21">
        <f t="shared" si="225"/>
        <v>2.9444444444444446</v>
      </c>
      <c r="AI66" s="21">
        <f t="shared" si="225"/>
        <v>2.8166666666666669</v>
      </c>
      <c r="AJ66" s="21">
        <f t="shared" si="225"/>
        <v>3.6349206349206349</v>
      </c>
      <c r="AK66" s="31">
        <f>AA66/AF66-1</f>
        <v>-0.1977714168881618</v>
      </c>
      <c r="AL66" s="31">
        <f t="shared" ref="AL66:AO74" si="226">AB66/AG66-1</f>
        <v>-0.30859508526719581</v>
      </c>
      <c r="AM66" s="31">
        <f t="shared" si="226"/>
        <v>-6.8776628119294081E-2</v>
      </c>
      <c r="AN66" s="31">
        <f t="shared" si="226"/>
        <v>-0.12778789258079204</v>
      </c>
      <c r="AO66" s="31">
        <f t="shared" si="226"/>
        <v>3.4410480349345018E-2</v>
      </c>
      <c r="AP66" s="10">
        <f t="shared" ref="AP66:AQ66" si="227">IFERROR(AP54/AP30,"")</f>
        <v>3.1363636363636362</v>
      </c>
      <c r="AQ66" s="10">
        <f t="shared" si="227"/>
        <v>2.9923076923076923</v>
      </c>
      <c r="AR66" s="10">
        <f t="shared" ref="AR66:AS66" si="228">IFERROR(AR54/AR30,"")</f>
        <v>3.8972602739726026</v>
      </c>
      <c r="AS66" s="10">
        <f t="shared" si="228"/>
        <v>3.6875</v>
      </c>
      <c r="AT66" s="10">
        <f t="shared" ref="AT66:AV66" si="229">IFERROR(AT54/AT30,"")</f>
        <v>3.918032786885246</v>
      </c>
      <c r="AU66" s="10">
        <f t="shared" si="229"/>
        <v>4.7578125</v>
      </c>
      <c r="AV66" s="10">
        <f t="shared" si="229"/>
        <v>3.5862068965517242</v>
      </c>
      <c r="BB66" s="10">
        <f t="shared" ref="BB66:BF73" si="230">IFERROR(BB54/BB30,"")</f>
        <v>3.3756476683937824</v>
      </c>
      <c r="BC66" s="10">
        <f t="shared" si="230"/>
        <v>4.1243386243386242</v>
      </c>
      <c r="BD66" s="10">
        <f t="shared" si="230"/>
        <v>3.5862068965517242</v>
      </c>
      <c r="BE66" s="10" t="str">
        <f t="shared" si="230"/>
        <v/>
      </c>
      <c r="BF66" s="10">
        <f t="shared" si="230"/>
        <v>3.7250000000000001</v>
      </c>
      <c r="BG66" s="122">
        <f t="shared" ref="BG66:BR74" si="231">AP66/O66</f>
        <v>2.2021276595744679</v>
      </c>
      <c r="BH66" s="111">
        <f t="shared" si="231"/>
        <v>1.7953846153846154</v>
      </c>
      <c r="BI66" s="111">
        <f t="shared" si="231"/>
        <v>1.5264269406392692</v>
      </c>
      <c r="BJ66" s="111">
        <f t="shared" si="231"/>
        <v>0.921875</v>
      </c>
      <c r="BK66" s="111">
        <f t="shared" si="231"/>
        <v>1.6473546944858419</v>
      </c>
      <c r="BL66" s="111">
        <f t="shared" si="231"/>
        <v>2.3313281249999998</v>
      </c>
      <c r="BM66" s="111">
        <f t="shared" si="231"/>
        <v>1.4627949183303086</v>
      </c>
      <c r="BN66" s="111">
        <f t="shared" si="231"/>
        <v>0</v>
      </c>
      <c r="BO66" s="111">
        <f t="shared" si="231"/>
        <v>0</v>
      </c>
      <c r="BP66" s="111">
        <f t="shared" si="231"/>
        <v>0</v>
      </c>
      <c r="BQ66" s="111">
        <f t="shared" si="231"/>
        <v>0</v>
      </c>
      <c r="BR66" s="111">
        <f t="shared" si="231"/>
        <v>0</v>
      </c>
      <c r="BS66" s="111">
        <f>BB66/(SUM(O54:INDEX(O54:Q54,IF($B$2&lt;3,$B$2,3)))/SUM(O30:INDEX(O30:Q30,IF($B$2&lt;3,$B$2,3))))</f>
        <v>1.7182350744526911</v>
      </c>
      <c r="BT66" s="111">
        <f>BC66/(SUM(R54:INDEX(R54:T54,$C$2))/SUM(R30:INDEX(R30:T30,$C$2)))</f>
        <v>1.031084656084656</v>
      </c>
      <c r="BU66" s="111">
        <f>BD66/SUM(U66:INDEX(U66:W66,IF($B$2&lt;7,$B$2-3,IF($B$2&lt;9,$B$2-6,3))))</f>
        <v>1.4627949183303086</v>
      </c>
      <c r="BW66" s="31">
        <f>BF66/AA66</f>
        <v>1.5647335423197493</v>
      </c>
    </row>
    <row r="67" spans="1:75" x14ac:dyDescent="0.25">
      <c r="A67" s="20" t="str">
        <f t="shared" ref="A67:A74" si="232">$B$65&amp;"_by_rookie_mdrt:"&amp;B67</f>
        <v># Case/Active_by_rookie_mdrt:Rookie in month</v>
      </c>
      <c r="B67" t="s">
        <v>5</v>
      </c>
      <c r="C67" s="10">
        <f t="shared" ref="C67:Z67" si="233">IFERROR(C55/C31,"")</f>
        <v>1.1777777777777778</v>
      </c>
      <c r="D67" s="10">
        <f t="shared" si="233"/>
        <v>1.2</v>
      </c>
      <c r="E67" s="10">
        <f t="shared" si="233"/>
        <v>1.5901639344262295</v>
      </c>
      <c r="F67" s="10">
        <f t="shared" si="233"/>
        <v>1.4210526315789473</v>
      </c>
      <c r="G67" s="10">
        <f t="shared" si="233"/>
        <v>1.2328767123287672</v>
      </c>
      <c r="H67" s="10">
        <f t="shared" si="233"/>
        <v>1.308411214953271</v>
      </c>
      <c r="I67" s="10">
        <f t="shared" si="233"/>
        <v>1.4315789473684211</v>
      </c>
      <c r="J67" s="10">
        <f t="shared" si="233"/>
        <v>1.3421052631578947</v>
      </c>
      <c r="K67" s="10">
        <f t="shared" si="233"/>
        <v>1.5316455696202531</v>
      </c>
      <c r="L67" s="10">
        <f t="shared" si="233"/>
        <v>1.352112676056338</v>
      </c>
      <c r="M67" s="10">
        <f t="shared" si="233"/>
        <v>1.6666666666666667</v>
      </c>
      <c r="N67" s="10">
        <f t="shared" si="233"/>
        <v>2.4086956521739129</v>
      </c>
      <c r="O67" s="10">
        <f t="shared" si="233"/>
        <v>1.4615384615384615</v>
      </c>
      <c r="P67" s="10">
        <f t="shared" si="233"/>
        <v>1.5217391304347827</v>
      </c>
      <c r="Q67" s="10">
        <f t="shared" si="233"/>
        <v>2.0087719298245612</v>
      </c>
      <c r="R67" s="10">
        <f t="shared" si="233"/>
        <v>1.681159420289855</v>
      </c>
      <c r="S67" s="10">
        <f t="shared" si="233"/>
        <v>1.3783783783783783</v>
      </c>
      <c r="T67" s="10">
        <f t="shared" si="233"/>
        <v>1.7241379310344827</v>
      </c>
      <c r="U67" s="10">
        <f t="shared" si="233"/>
        <v>1.518987341772152</v>
      </c>
      <c r="V67" s="10">
        <f t="shared" si="233"/>
        <v>1.8533333333333333</v>
      </c>
      <c r="W67" s="10">
        <f t="shared" si="233"/>
        <v>2.0629921259842519</v>
      </c>
      <c r="X67" s="10">
        <f t="shared" si="233"/>
        <v>1.5617977528089888</v>
      </c>
      <c r="Y67" s="10">
        <f t="shared" si="233"/>
        <v>1.6141732283464567</v>
      </c>
      <c r="Z67" s="10">
        <f t="shared" si="233"/>
        <v>1.8390804597701149</v>
      </c>
      <c r="AA67" s="21">
        <f t="shared" ref="AA67:AJ67" si="234">IFERROR(AA55/AA31,"")</f>
        <v>1.6823770491803278</v>
      </c>
      <c r="AB67" s="21">
        <f t="shared" si="234"/>
        <v>1.8866666666666667</v>
      </c>
      <c r="AC67" s="21">
        <f t="shared" si="234"/>
        <v>1.613899613899614</v>
      </c>
      <c r="AD67" s="21">
        <f t="shared" si="234"/>
        <v>1.8540925266903914</v>
      </c>
      <c r="AE67" s="21">
        <f t="shared" si="234"/>
        <v>1.7025641025641025</v>
      </c>
      <c r="AF67" s="21">
        <f t="shared" si="234"/>
        <v>1.3584905660377358</v>
      </c>
      <c r="AG67" s="21">
        <f t="shared" si="234"/>
        <v>1.3809523809523809</v>
      </c>
      <c r="AH67" s="21">
        <f t="shared" si="234"/>
        <v>1.3203125</v>
      </c>
      <c r="AI67" s="21">
        <f t="shared" si="234"/>
        <v>1.4359999999999999</v>
      </c>
      <c r="AJ67" s="21">
        <f t="shared" si="234"/>
        <v>1.8725490196078431</v>
      </c>
      <c r="AK67" s="31">
        <f t="shared" ref="AK67:AK74" si="235">AA67/AF67-1</f>
        <v>0.23841643897996367</v>
      </c>
      <c r="AL67" s="31">
        <f t="shared" si="226"/>
        <v>0.36620689655172423</v>
      </c>
      <c r="AM67" s="31">
        <f t="shared" si="226"/>
        <v>0.22236183774645313</v>
      </c>
      <c r="AN67" s="31">
        <f t="shared" si="226"/>
        <v>0.29115078460333677</v>
      </c>
      <c r="AO67" s="31">
        <f t="shared" si="226"/>
        <v>-9.0777285541683517E-2</v>
      </c>
      <c r="AP67" s="10">
        <f t="shared" ref="AP67:AQ67" si="236">IFERROR(AP55/AP31,"")</f>
        <v>1.9148936170212767</v>
      </c>
      <c r="AQ67" s="10">
        <f t="shared" si="236"/>
        <v>1.2950819672131149</v>
      </c>
      <c r="AR67" s="10">
        <f t="shared" ref="AR67:AS67" si="237">IFERROR(AR55/AR31,"")</f>
        <v>1.8181818181818181</v>
      </c>
      <c r="AS67" s="10">
        <f t="shared" si="237"/>
        <v>1.7692307692307692</v>
      </c>
      <c r="AT67" s="10">
        <f t="shared" ref="AT67:AV67" si="238">IFERROR(AT55/AT31,"")</f>
        <v>1.4188311688311688</v>
      </c>
      <c r="AU67" s="10">
        <f t="shared" si="238"/>
        <v>1.6201923076923077</v>
      </c>
      <c r="AV67" s="10">
        <f t="shared" si="238"/>
        <v>1.4451612903225806</v>
      </c>
      <c r="BB67" s="10">
        <f t="shared" si="230"/>
        <v>1.6282051282051282</v>
      </c>
      <c r="BC67" s="10">
        <f t="shared" si="230"/>
        <v>1.6009900990099011</v>
      </c>
      <c r="BD67" s="10">
        <f t="shared" si="230"/>
        <v>1.4451612903225806</v>
      </c>
      <c r="BE67" s="10" t="str">
        <f t="shared" si="230"/>
        <v/>
      </c>
      <c r="BF67" s="10">
        <f t="shared" si="230"/>
        <v>1.5848765432098766</v>
      </c>
      <c r="BG67" s="122">
        <f t="shared" si="231"/>
        <v>1.3101903695408736</v>
      </c>
      <c r="BH67" s="111">
        <f t="shared" si="231"/>
        <v>0.85105386416861828</v>
      </c>
      <c r="BI67" s="111">
        <f t="shared" si="231"/>
        <v>0.90512107979356893</v>
      </c>
      <c r="BJ67" s="111">
        <f t="shared" si="231"/>
        <v>1.0523872679045092</v>
      </c>
      <c r="BK67" s="111">
        <f t="shared" si="231"/>
        <v>1.0293481028775147</v>
      </c>
      <c r="BL67" s="111">
        <f t="shared" si="231"/>
        <v>0.93971153846153854</v>
      </c>
      <c r="BM67" s="111">
        <f t="shared" si="231"/>
        <v>0.9513978494623655</v>
      </c>
      <c r="BN67" s="111">
        <f t="shared" si="231"/>
        <v>0</v>
      </c>
      <c r="BO67" s="111">
        <f t="shared" si="231"/>
        <v>0</v>
      </c>
      <c r="BP67" s="111">
        <f t="shared" si="231"/>
        <v>0</v>
      </c>
      <c r="BQ67" s="111">
        <f t="shared" si="231"/>
        <v>0</v>
      </c>
      <c r="BR67" s="111">
        <f t="shared" si="231"/>
        <v>0</v>
      </c>
      <c r="BS67" s="111">
        <f>BB67/(SUM(O55:INDEX(O55:Q55,IF($B$2&lt;3,$B$2,3)))/SUM(O31:INDEX(O31:Q31,IF($B$2&lt;3,$B$2,3))))</f>
        <v>0.86300625169883116</v>
      </c>
      <c r="BT67" s="111">
        <f>BC67/(SUM(R55:INDEX(R55:T55,$C$2))/SUM(R31:INDEX(R31:T31,$C$2)))</f>
        <v>0.95231307613519978</v>
      </c>
      <c r="BU67" s="111">
        <f>BD67/SUM(U67:INDEX(U67:W67,IF($B$2&lt;7,$B$2-3,IF($B$2&lt;9,$B$2-6,3))))</f>
        <v>0.9513978494623655</v>
      </c>
      <c r="BW67" s="31">
        <f t="shared" ref="BW67:BW74" si="239">BF67/AA67</f>
        <v>0.94204598427091324</v>
      </c>
    </row>
    <row r="68" spans="1:75" x14ac:dyDescent="0.25">
      <c r="A68" s="20" t="str">
        <f t="shared" si="232"/>
        <v># Case/Active_by_rookie_mdrt:Rookie last month</v>
      </c>
      <c r="B68" t="s">
        <v>6</v>
      </c>
      <c r="C68" s="10">
        <f t="shared" ref="C68:Z68" si="240">IFERROR(C56/C32,"")</f>
        <v>1.2666666666666666</v>
      </c>
      <c r="D68" s="10">
        <f t="shared" si="240"/>
        <v>1.2857142857142858</v>
      </c>
      <c r="E68" s="10">
        <f t="shared" si="240"/>
        <v>1.7619047619047619</v>
      </c>
      <c r="F68" s="10">
        <f t="shared" si="240"/>
        <v>1.5972222222222223</v>
      </c>
      <c r="G68" s="10">
        <f t="shared" si="240"/>
        <v>1.4875</v>
      </c>
      <c r="H68" s="10">
        <f t="shared" si="240"/>
        <v>1.6619718309859155</v>
      </c>
      <c r="I68" s="10">
        <f t="shared" si="240"/>
        <v>1.379746835443038</v>
      </c>
      <c r="J68" s="10">
        <f t="shared" si="240"/>
        <v>1.510204081632653</v>
      </c>
      <c r="K68" s="10">
        <f t="shared" si="240"/>
        <v>1.7698412698412698</v>
      </c>
      <c r="L68" s="10">
        <f t="shared" si="240"/>
        <v>1.5079365079365079</v>
      </c>
      <c r="M68" s="10">
        <f t="shared" si="240"/>
        <v>2.0625</v>
      </c>
      <c r="N68" s="10">
        <f t="shared" si="240"/>
        <v>2.044</v>
      </c>
      <c r="O68" s="10">
        <f t="shared" si="240"/>
        <v>1.6756756756756757</v>
      </c>
      <c r="P68" s="10">
        <f t="shared" si="240"/>
        <v>1.5</v>
      </c>
      <c r="Q68" s="10">
        <f t="shared" si="240"/>
        <v>2.125</v>
      </c>
      <c r="R68" s="10">
        <f t="shared" si="240"/>
        <v>1.7241379310344827</v>
      </c>
      <c r="S68" s="10">
        <f t="shared" si="240"/>
        <v>1.6949152542372881</v>
      </c>
      <c r="T68" s="10">
        <f t="shared" si="240"/>
        <v>1.9485294117647058</v>
      </c>
      <c r="U68" s="10">
        <f t="shared" si="240"/>
        <v>1.5647058823529412</v>
      </c>
      <c r="V68" s="10">
        <f t="shared" si="240"/>
        <v>1.3571428571428572</v>
      </c>
      <c r="W68" s="10">
        <f t="shared" si="240"/>
        <v>2.1267605633802815</v>
      </c>
      <c r="X68" s="10">
        <f t="shared" si="240"/>
        <v>1.6767676767676767</v>
      </c>
      <c r="Y68" s="10">
        <f t="shared" si="240"/>
        <v>2.1603773584905661</v>
      </c>
      <c r="Z68" s="10">
        <f t="shared" si="240"/>
        <v>1.7971698113207548</v>
      </c>
      <c r="AA68" s="21">
        <f t="shared" ref="AA68:AJ68" si="241">IFERROR(AA56/AA32,"")</f>
        <v>1.7366310160427807</v>
      </c>
      <c r="AB68" s="21">
        <f t="shared" si="241"/>
        <v>1.7866666666666666</v>
      </c>
      <c r="AC68" s="21">
        <f t="shared" si="241"/>
        <v>1.7873831775700935</v>
      </c>
      <c r="AD68" s="21">
        <f t="shared" si="241"/>
        <v>1.6769911504424779</v>
      </c>
      <c r="AE68" s="21">
        <f t="shared" si="241"/>
        <v>1.882636655948553</v>
      </c>
      <c r="AF68" s="21">
        <f t="shared" si="241"/>
        <v>1.4776470588235293</v>
      </c>
      <c r="AG68" s="21">
        <f t="shared" si="241"/>
        <v>1.3577235772357723</v>
      </c>
      <c r="AH68" s="21">
        <f t="shared" si="241"/>
        <v>1.5784753363228698</v>
      </c>
      <c r="AI68" s="21">
        <f t="shared" si="241"/>
        <v>1.5418848167539267</v>
      </c>
      <c r="AJ68" s="21">
        <f t="shared" si="241"/>
        <v>1.9046610169491525</v>
      </c>
      <c r="AK68" s="31">
        <f t="shared" si="235"/>
        <v>0.17526780544296483</v>
      </c>
      <c r="AL68" s="31">
        <f t="shared" si="226"/>
        <v>0.31592814371257494</v>
      </c>
      <c r="AM68" s="31">
        <f t="shared" si="226"/>
        <v>0.13234786533559917</v>
      </c>
      <c r="AN68" s="31">
        <f t="shared" si="226"/>
        <v>8.7624141713118053E-2</v>
      </c>
      <c r="AO68" s="31">
        <f t="shared" si="226"/>
        <v>-1.1563401993640698E-2</v>
      </c>
      <c r="AP68" s="10">
        <f t="shared" ref="AP68:AQ68" si="242">IFERROR(AP56/AP32,"")</f>
        <v>1.509090909090909</v>
      </c>
      <c r="AQ68" s="10">
        <f t="shared" si="242"/>
        <v>1.5</v>
      </c>
      <c r="AR68" s="10">
        <f t="shared" ref="AR68:AS68" si="243">IFERROR(AR56/AR32,"")</f>
        <v>2.1157894736842104</v>
      </c>
      <c r="AS68" s="10">
        <f t="shared" si="243"/>
        <v>1.5238095238095237</v>
      </c>
      <c r="AT68" s="10">
        <f t="shared" ref="AT68:AV68" si="244">IFERROR(AT56/AT32,"")</f>
        <v>2.0789473684210527</v>
      </c>
      <c r="AU68" s="10">
        <f t="shared" si="244"/>
        <v>1.6931818181818181</v>
      </c>
      <c r="AV68" s="10">
        <f t="shared" si="244"/>
        <v>1.9206349206349207</v>
      </c>
      <c r="BB68" s="10">
        <f t="shared" si="230"/>
        <v>1.8010204081632653</v>
      </c>
      <c r="BC68" s="10">
        <f t="shared" si="230"/>
        <v>1.7540322580645162</v>
      </c>
      <c r="BD68" s="10">
        <f t="shared" si="230"/>
        <v>1.9206349206349207</v>
      </c>
      <c r="BE68" s="10" t="str">
        <f t="shared" si="230"/>
        <v/>
      </c>
      <c r="BF68" s="10">
        <f t="shared" si="230"/>
        <v>1.7928994082840237</v>
      </c>
      <c r="BG68" s="122">
        <f t="shared" si="231"/>
        <v>0.90058651026392955</v>
      </c>
      <c r="BH68" s="111">
        <f t="shared" si="231"/>
        <v>1</v>
      </c>
      <c r="BI68" s="111">
        <f t="shared" si="231"/>
        <v>0.99566563467492253</v>
      </c>
      <c r="BJ68" s="111">
        <f t="shared" si="231"/>
        <v>0.88380952380952382</v>
      </c>
      <c r="BK68" s="111">
        <f t="shared" si="231"/>
        <v>1.2265789473684212</v>
      </c>
      <c r="BL68" s="111">
        <f t="shared" si="231"/>
        <v>0.86895368782161231</v>
      </c>
      <c r="BM68" s="111">
        <f t="shared" si="231"/>
        <v>1.2274734455185583</v>
      </c>
      <c r="BN68" s="111">
        <f t="shared" si="231"/>
        <v>0</v>
      </c>
      <c r="BO68" s="111">
        <f t="shared" si="231"/>
        <v>0</v>
      </c>
      <c r="BP68" s="111">
        <f t="shared" si="231"/>
        <v>0</v>
      </c>
      <c r="BQ68" s="111">
        <f t="shared" si="231"/>
        <v>0</v>
      </c>
      <c r="BR68" s="111">
        <f t="shared" si="231"/>
        <v>0</v>
      </c>
      <c r="BS68" s="111">
        <f>BB68/(SUM(O56:INDEX(O56:Q56,IF($B$2&lt;3,$B$2,3)))/SUM(O32:INDEX(O32:Q32,IF($B$2&lt;3,$B$2,3))))</f>
        <v>1.0080338105391411</v>
      </c>
      <c r="BT68" s="111">
        <f>BC68/(SUM(R56:INDEX(R56:T56,$C$2))/SUM(R32:INDEX(R32:T32,$C$2)))</f>
        <v>1.0173387096774196</v>
      </c>
      <c r="BU68" s="111">
        <f>BD68/SUM(U68:INDEX(U68:W68,IF($B$2&lt;7,$B$2-3,IF($B$2&lt;9,$B$2-6,3))))</f>
        <v>1.2274734455185583</v>
      </c>
      <c r="BW68" s="31">
        <f t="shared" si="239"/>
        <v>1.0324008909903386</v>
      </c>
    </row>
    <row r="69" spans="1:75" x14ac:dyDescent="0.25">
      <c r="A69" s="20" t="str">
        <f t="shared" si="232"/>
        <v># Case/Active_by_rookie_mdrt:2-3 months</v>
      </c>
      <c r="B69" t="s">
        <v>7</v>
      </c>
      <c r="C69" s="10">
        <f t="shared" ref="C69:Z69" si="245">IFERROR(C57/C33,"")</f>
        <v>1.2833333333333334</v>
      </c>
      <c r="D69" s="10">
        <f t="shared" si="245"/>
        <v>1.3870967741935485</v>
      </c>
      <c r="E69" s="10">
        <f t="shared" si="245"/>
        <v>1.3695652173913044</v>
      </c>
      <c r="F69" s="10">
        <f t="shared" si="245"/>
        <v>1.6153846153846154</v>
      </c>
      <c r="G69" s="10">
        <f t="shared" si="245"/>
        <v>1.3125</v>
      </c>
      <c r="H69" s="10">
        <f t="shared" si="245"/>
        <v>1.3731884057971016</v>
      </c>
      <c r="I69" s="10">
        <f t="shared" si="245"/>
        <v>1.3089430894308942</v>
      </c>
      <c r="J69" s="10">
        <f t="shared" si="245"/>
        <v>1.2837837837837838</v>
      </c>
      <c r="K69" s="10">
        <f t="shared" si="245"/>
        <v>1.3272727272727274</v>
      </c>
      <c r="L69" s="10">
        <f t="shared" si="245"/>
        <v>1.4473684210526316</v>
      </c>
      <c r="M69" s="10">
        <f t="shared" si="245"/>
        <v>1.8411214953271029</v>
      </c>
      <c r="N69" s="10">
        <f t="shared" si="245"/>
        <v>1.8099173553719008</v>
      </c>
      <c r="O69" s="10">
        <f t="shared" si="245"/>
        <v>1.41</v>
      </c>
      <c r="P69" s="10">
        <f t="shared" si="245"/>
        <v>1.375</v>
      </c>
      <c r="Q69" s="10">
        <f t="shared" si="245"/>
        <v>2.074074074074074</v>
      </c>
      <c r="R69" s="10">
        <f t="shared" si="245"/>
        <v>2</v>
      </c>
      <c r="S69" s="10">
        <f t="shared" si="245"/>
        <v>1.675</v>
      </c>
      <c r="T69" s="10">
        <f t="shared" si="245"/>
        <v>1.994949494949495</v>
      </c>
      <c r="U69" s="10">
        <f t="shared" si="245"/>
        <v>1.9589041095890412</v>
      </c>
      <c r="V69" s="10">
        <f t="shared" si="245"/>
        <v>1.6973684210526316</v>
      </c>
      <c r="W69" s="10">
        <f t="shared" si="245"/>
        <v>1.8194444444444444</v>
      </c>
      <c r="X69" s="10">
        <f t="shared" si="245"/>
        <v>1.375</v>
      </c>
      <c r="Y69" s="10">
        <f t="shared" si="245"/>
        <v>2.4953271028037385</v>
      </c>
      <c r="Z69" s="10">
        <f t="shared" si="245"/>
        <v>2.8313253012048194</v>
      </c>
      <c r="AA69" s="21">
        <f t="shared" ref="AA69:AJ69" si="246">IFERROR(AA57/AA33,"")</f>
        <v>1.7940503432494279</v>
      </c>
      <c r="AB69" s="21">
        <f t="shared" si="246"/>
        <v>1.621875</v>
      </c>
      <c r="AC69" s="21">
        <f t="shared" si="246"/>
        <v>1.8700980392156863</v>
      </c>
      <c r="AD69" s="21">
        <f t="shared" si="246"/>
        <v>1.8235294117647058</v>
      </c>
      <c r="AE69" s="21">
        <f t="shared" si="246"/>
        <v>2.4480712166172105</v>
      </c>
      <c r="AF69" s="21">
        <f t="shared" si="246"/>
        <v>1.3656093489148582</v>
      </c>
      <c r="AG69" s="21">
        <f t="shared" si="246"/>
        <v>1.3504672897196262</v>
      </c>
      <c r="AH69" s="21">
        <f t="shared" si="246"/>
        <v>1.4045801526717556</v>
      </c>
      <c r="AI69" s="21">
        <f t="shared" si="246"/>
        <v>1.3094462540716612</v>
      </c>
      <c r="AJ69" s="21">
        <f t="shared" si="246"/>
        <v>1.7302631578947369</v>
      </c>
      <c r="AK69" s="31">
        <f t="shared" si="235"/>
        <v>0.31373613154817503</v>
      </c>
      <c r="AL69" s="31">
        <f t="shared" si="226"/>
        <v>0.20097318339100334</v>
      </c>
      <c r="AM69" s="31">
        <f t="shared" si="226"/>
        <v>0.33142849531116814</v>
      </c>
      <c r="AN69" s="31">
        <f t="shared" si="226"/>
        <v>0.39259584430787253</v>
      </c>
      <c r="AO69" s="31">
        <f>AE69/AJ69-1</f>
        <v>0.41485484762667668</v>
      </c>
      <c r="AP69" s="10">
        <f t="shared" ref="AP69:AQ69" si="247">IFERROR(AP57/AP33,"")</f>
        <v>2.0595238095238093</v>
      </c>
      <c r="AQ69" s="10">
        <f t="shared" si="247"/>
        <v>1.6774193548387097</v>
      </c>
      <c r="AR69" s="10">
        <f t="shared" ref="AR69:AS69" si="248">IFERROR(AR57/AR33,"")</f>
        <v>1.7126436781609196</v>
      </c>
      <c r="AS69" s="10">
        <f t="shared" si="248"/>
        <v>1.7466666666666666</v>
      </c>
      <c r="AT69" s="10">
        <f t="shared" ref="AT69:AV69" si="249">IFERROR(AT57/AT33,"")</f>
        <v>2.1134020618556701</v>
      </c>
      <c r="AU69" s="10">
        <f t="shared" si="249"/>
        <v>2.4521276595744679</v>
      </c>
      <c r="AV69" s="10">
        <f t="shared" si="249"/>
        <v>1.8860759493670887</v>
      </c>
      <c r="BB69" s="10">
        <f t="shared" si="230"/>
        <v>1.7966101694915255</v>
      </c>
      <c r="BC69" s="10">
        <f t="shared" si="230"/>
        <v>2.1296992481203008</v>
      </c>
      <c r="BD69" s="10">
        <f t="shared" si="230"/>
        <v>1.8860759493670887</v>
      </c>
      <c r="BE69" s="10" t="str">
        <f t="shared" si="230"/>
        <v/>
      </c>
      <c r="BF69" s="10">
        <f t="shared" si="230"/>
        <v>1.94609375</v>
      </c>
      <c r="BG69" s="122">
        <f t="shared" si="231"/>
        <v>1.4606551840594393</v>
      </c>
      <c r="BH69" s="111">
        <f t="shared" si="231"/>
        <v>1.2199413489736071</v>
      </c>
      <c r="BI69" s="111">
        <f t="shared" si="231"/>
        <v>0.8257389162561577</v>
      </c>
      <c r="BJ69" s="111">
        <f t="shared" si="231"/>
        <v>0.87333333333333329</v>
      </c>
      <c r="BK69" s="111">
        <f t="shared" si="231"/>
        <v>1.2617325742421912</v>
      </c>
      <c r="BL69" s="111">
        <f t="shared" si="231"/>
        <v>1.2291677888499863</v>
      </c>
      <c r="BM69" s="111">
        <f t="shared" si="231"/>
        <v>0.96282198813844388</v>
      </c>
      <c r="BN69" s="111">
        <f t="shared" si="231"/>
        <v>0</v>
      </c>
      <c r="BO69" s="111">
        <f t="shared" si="231"/>
        <v>0</v>
      </c>
      <c r="BP69" s="111">
        <f t="shared" si="231"/>
        <v>0</v>
      </c>
      <c r="BQ69" s="111">
        <f t="shared" si="231"/>
        <v>0</v>
      </c>
      <c r="BR69" s="111">
        <f t="shared" si="231"/>
        <v>0</v>
      </c>
      <c r="BS69" s="111">
        <f>BB69/(SUM(O57:INDEX(O57:Q57,IF($B$2&lt;3,$B$2,3)))/SUM(O33:INDEX(O33:Q33,IF($B$2&lt;3,$B$2,3))))</f>
        <v>1.1077365206884164</v>
      </c>
      <c r="BT69" s="111">
        <f>BC69/(SUM(R57:INDEX(R57:T57,$C$2))/SUM(R33:INDEX(R33:T33,$C$2)))</f>
        <v>1.0648496240601504</v>
      </c>
      <c r="BU69" s="111">
        <f>BD69/SUM(U69:INDEX(U69:W69,IF($B$2&lt;7,$B$2-3,IF($B$2&lt;9,$B$2-6,3))))</f>
        <v>0.96282198813844388</v>
      </c>
      <c r="BW69" s="31">
        <f t="shared" si="239"/>
        <v>1.084748684630102</v>
      </c>
    </row>
    <row r="70" spans="1:75" x14ac:dyDescent="0.25">
      <c r="A70" s="20" t="str">
        <f t="shared" si="232"/>
        <v># Case/Active_by_rookie_mdrt:4 - 6 mths</v>
      </c>
      <c r="B70" t="s">
        <v>8</v>
      </c>
      <c r="C70" s="10">
        <f t="shared" ref="C70:Z70" si="250">IFERROR(C58/C34,"")</f>
        <v>1.0392156862745099</v>
      </c>
      <c r="D70" s="10">
        <f t="shared" si="250"/>
        <v>1.2285714285714286</v>
      </c>
      <c r="E70" s="10">
        <f t="shared" si="250"/>
        <v>1.4310344827586208</v>
      </c>
      <c r="F70" s="10">
        <f t="shared" si="250"/>
        <v>1.325</v>
      </c>
      <c r="G70" s="10">
        <f t="shared" si="250"/>
        <v>1.1752577319587629</v>
      </c>
      <c r="H70" s="10">
        <f t="shared" si="250"/>
        <v>1.3142857142857143</v>
      </c>
      <c r="I70" s="10">
        <f t="shared" si="250"/>
        <v>1.2394366197183098</v>
      </c>
      <c r="J70" s="10">
        <f t="shared" si="250"/>
        <v>1.3975903614457832</v>
      </c>
      <c r="K70" s="10">
        <f t="shared" si="250"/>
        <v>1.3065693430656935</v>
      </c>
      <c r="L70" s="10">
        <f t="shared" si="250"/>
        <v>1.297979797979798</v>
      </c>
      <c r="M70" s="10">
        <f t="shared" si="250"/>
        <v>2.0109890109890109</v>
      </c>
      <c r="N70" s="10">
        <f t="shared" si="250"/>
        <v>1.544</v>
      </c>
      <c r="O70" s="10">
        <f t="shared" si="250"/>
        <v>1.375</v>
      </c>
      <c r="P70" s="10">
        <f t="shared" si="250"/>
        <v>1.3142857142857143</v>
      </c>
      <c r="Q70" s="10">
        <f t="shared" si="250"/>
        <v>1.75</v>
      </c>
      <c r="R70" s="10">
        <f t="shared" si="250"/>
        <v>2.1578947368421053</v>
      </c>
      <c r="S70" s="10">
        <f t="shared" si="250"/>
        <v>1.5918367346938775</v>
      </c>
      <c r="T70" s="10">
        <f t="shared" si="250"/>
        <v>1.66</v>
      </c>
      <c r="U70" s="10">
        <f t="shared" si="250"/>
        <v>1.5573770491803278</v>
      </c>
      <c r="V70" s="10">
        <f t="shared" si="250"/>
        <v>1.6</v>
      </c>
      <c r="W70" s="10">
        <f t="shared" si="250"/>
        <v>2.0113636363636362</v>
      </c>
      <c r="X70" s="10">
        <f t="shared" si="250"/>
        <v>2.3153846153846156</v>
      </c>
      <c r="Y70" s="10">
        <f t="shared" si="250"/>
        <v>2.34375</v>
      </c>
      <c r="Z70" s="10">
        <f t="shared" si="250"/>
        <v>1.7197802197802199</v>
      </c>
      <c r="AA70" s="21">
        <f t="shared" ref="AA70:AJ70" si="251">IFERROR(AA58/AA34,"")</f>
        <v>1.6943734015345269</v>
      </c>
      <c r="AB70" s="21">
        <f t="shared" si="251"/>
        <v>1.564516129032258</v>
      </c>
      <c r="AC70" s="21">
        <f t="shared" si="251"/>
        <v>1.8571428571428572</v>
      </c>
      <c r="AD70" s="21">
        <f t="shared" si="251"/>
        <v>1.7467248908296944</v>
      </c>
      <c r="AE70" s="21">
        <f t="shared" si="251"/>
        <v>2.0563725490196076</v>
      </c>
      <c r="AF70" s="21">
        <f t="shared" si="251"/>
        <v>1.2532467532467533</v>
      </c>
      <c r="AG70" s="21">
        <f t="shared" si="251"/>
        <v>1.2430555555555556</v>
      </c>
      <c r="AH70" s="21">
        <f t="shared" si="251"/>
        <v>1.263157894736842</v>
      </c>
      <c r="AI70" s="21">
        <f t="shared" si="251"/>
        <v>1.3161512027491409</v>
      </c>
      <c r="AJ70" s="21">
        <f t="shared" si="251"/>
        <v>1.6015873015873017</v>
      </c>
      <c r="AK70" s="31">
        <f t="shared" si="235"/>
        <v>0.35198706650941514</v>
      </c>
      <c r="AL70" s="31">
        <f t="shared" si="226"/>
        <v>0.25860515408181639</v>
      </c>
      <c r="AM70" s="31">
        <f t="shared" si="226"/>
        <v>0.47023809523809534</v>
      </c>
      <c r="AN70" s="31">
        <f t="shared" si="226"/>
        <v>0.3271460658784362</v>
      </c>
      <c r="AO70" s="31">
        <f t="shared" si="226"/>
        <v>0.2839590742144229</v>
      </c>
      <c r="AP70" s="10">
        <f t="shared" ref="AP70:AQ70" si="252">IFERROR(AP58/AP34,"")</f>
        <v>1.5121951219512195</v>
      </c>
      <c r="AQ70" s="10">
        <f t="shared" si="252"/>
        <v>1.7471264367816093</v>
      </c>
      <c r="AR70" s="10">
        <f t="shared" ref="AR70:AS70" si="253">IFERROR(AR58/AR34,"")</f>
        <v>1.8851351351351351</v>
      </c>
      <c r="AS70" s="10">
        <f t="shared" si="253"/>
        <v>2.0989583333333335</v>
      </c>
      <c r="AT70" s="10">
        <f t="shared" ref="AT70:AV70" si="254">IFERROR(AT58/AT34,"")</f>
        <v>1.6911764705882353</v>
      </c>
      <c r="AU70" s="10">
        <f t="shared" si="254"/>
        <v>3.6774193548387095</v>
      </c>
      <c r="AV70" s="10">
        <f t="shared" si="254"/>
        <v>2.140625</v>
      </c>
      <c r="BB70" s="10">
        <f t="shared" si="230"/>
        <v>1.786231884057971</v>
      </c>
      <c r="BC70" s="10">
        <f t="shared" si="230"/>
        <v>2.4092920353982299</v>
      </c>
      <c r="BD70" s="10">
        <f t="shared" si="230"/>
        <v>2.140625</v>
      </c>
      <c r="BE70" s="10" t="str">
        <f t="shared" si="230"/>
        <v/>
      </c>
      <c r="BF70" s="10">
        <f t="shared" si="230"/>
        <v>2.0750883392226149</v>
      </c>
      <c r="BG70" s="122">
        <f t="shared" si="231"/>
        <v>1.0997782705099779</v>
      </c>
      <c r="BH70" s="111">
        <f t="shared" si="231"/>
        <v>1.3293353323338331</v>
      </c>
      <c r="BI70" s="111">
        <f t="shared" si="231"/>
        <v>1.0772200772200773</v>
      </c>
      <c r="BJ70" s="111">
        <f t="shared" si="231"/>
        <v>0.97268800813008138</v>
      </c>
      <c r="BK70" s="111">
        <f t="shared" si="231"/>
        <v>1.0624057315233786</v>
      </c>
      <c r="BL70" s="111">
        <f t="shared" si="231"/>
        <v>2.2153128643606683</v>
      </c>
      <c r="BM70" s="111">
        <f t="shared" si="231"/>
        <v>1.3745065789473685</v>
      </c>
      <c r="BN70" s="111">
        <f t="shared" si="231"/>
        <v>0</v>
      </c>
      <c r="BO70" s="111">
        <f t="shared" si="231"/>
        <v>0</v>
      </c>
      <c r="BP70" s="111">
        <f t="shared" si="231"/>
        <v>0</v>
      </c>
      <c r="BQ70" s="111">
        <f t="shared" si="231"/>
        <v>0</v>
      </c>
      <c r="BR70" s="111">
        <f t="shared" si="231"/>
        <v>0</v>
      </c>
      <c r="BS70" s="111">
        <f>BB70/(SUM(O58:INDEX(O58:Q58,IF($B$2&lt;3,$B$2,3)))/SUM(O34:INDEX(O34:Q34,IF($B$2&lt;3,$B$2,3))))</f>
        <v>1.1417152248617959</v>
      </c>
      <c r="BT70" s="111">
        <f>BC70/(SUM(R58:INDEX(R58:T58,$C$2))/SUM(R34:INDEX(R34:T34,$C$2)))</f>
        <v>1.1165011871357651</v>
      </c>
      <c r="BU70" s="111">
        <f>BD70/SUM(U70:INDEX(U70:W70,IF($B$2&lt;7,$B$2-3,IF($B$2&lt;9,$B$2-6,3))))</f>
        <v>1.3745065789473685</v>
      </c>
      <c r="BW70" s="31">
        <f t="shared" si="239"/>
        <v>1.2246936462430829</v>
      </c>
    </row>
    <row r="71" spans="1:75" x14ac:dyDescent="0.25">
      <c r="A71" s="20" t="str">
        <f t="shared" si="232"/>
        <v># Case/Active_by_rookie_mdrt:7-12mth</v>
      </c>
      <c r="B71" t="s">
        <v>1</v>
      </c>
      <c r="C71" s="10">
        <f t="shared" ref="C71:Z71" si="255">IFERROR(C59/C35,"")</f>
        <v>0.967741935483871</v>
      </c>
      <c r="D71" s="10">
        <f t="shared" si="255"/>
        <v>1.21875</v>
      </c>
      <c r="E71" s="10">
        <f t="shared" si="255"/>
        <v>1.25</v>
      </c>
      <c r="F71" s="10">
        <f t="shared" si="255"/>
        <v>1.2833333333333334</v>
      </c>
      <c r="G71" s="10">
        <f t="shared" si="255"/>
        <v>1.32</v>
      </c>
      <c r="H71" s="10">
        <f t="shared" si="255"/>
        <v>1.2252747252747254</v>
      </c>
      <c r="I71" s="10">
        <f t="shared" si="255"/>
        <v>1.4883720930232558</v>
      </c>
      <c r="J71" s="10">
        <f t="shared" si="255"/>
        <v>1.2533333333333334</v>
      </c>
      <c r="K71" s="10">
        <f t="shared" si="255"/>
        <v>1.6831683168316831</v>
      </c>
      <c r="L71" s="10">
        <f t="shared" si="255"/>
        <v>1.3043478260869565</v>
      </c>
      <c r="M71" s="10">
        <f t="shared" si="255"/>
        <v>2.1221374045801529</v>
      </c>
      <c r="N71" s="10">
        <f t="shared" si="255"/>
        <v>1.9788732394366197</v>
      </c>
      <c r="O71" s="10">
        <f t="shared" si="255"/>
        <v>1.3333333333333333</v>
      </c>
      <c r="P71" s="10">
        <f t="shared" si="255"/>
        <v>1.2727272727272727</v>
      </c>
      <c r="Q71" s="10">
        <f t="shared" si="255"/>
        <v>1.5185185185185186</v>
      </c>
      <c r="R71" s="10">
        <f t="shared" si="255"/>
        <v>1.3896103896103895</v>
      </c>
      <c r="S71" s="10">
        <f t="shared" si="255"/>
        <v>1.3768115942028984</v>
      </c>
      <c r="T71" s="10">
        <f t="shared" si="255"/>
        <v>1.7127659574468086</v>
      </c>
      <c r="U71" s="10">
        <f t="shared" si="255"/>
        <v>1.5679012345679013</v>
      </c>
      <c r="V71" s="10">
        <f t="shared" si="255"/>
        <v>1.777027027027027</v>
      </c>
      <c r="W71" s="10">
        <f t="shared" si="255"/>
        <v>2.377049180327869</v>
      </c>
      <c r="X71" s="10">
        <f t="shared" si="255"/>
        <v>1.8923076923076922</v>
      </c>
      <c r="Y71" s="10">
        <f t="shared" si="255"/>
        <v>2.6875</v>
      </c>
      <c r="Z71" s="10">
        <f t="shared" si="255"/>
        <v>2.7276785714285716</v>
      </c>
      <c r="AA71" s="21">
        <f t="shared" ref="AA71:AJ71" si="256">IFERROR(AA59/AA35,"")</f>
        <v>1.4847250509164969</v>
      </c>
      <c r="AB71" s="21">
        <f t="shared" si="256"/>
        <v>1.4058823529411764</v>
      </c>
      <c r="AC71" s="21">
        <f t="shared" si="256"/>
        <v>1.5125</v>
      </c>
      <c r="AD71" s="21">
        <f t="shared" si="256"/>
        <v>1.8680555555555556</v>
      </c>
      <c r="AE71" s="21">
        <f t="shared" si="256"/>
        <v>2.5038910505836576</v>
      </c>
      <c r="AF71" s="21">
        <f t="shared" si="256"/>
        <v>1.2890818858560793</v>
      </c>
      <c r="AG71" s="21">
        <f t="shared" si="256"/>
        <v>1.1428571428571428</v>
      </c>
      <c r="AH71" s="21">
        <f t="shared" si="256"/>
        <v>1.2721238938053097</v>
      </c>
      <c r="AI71" s="21">
        <f t="shared" si="256"/>
        <v>1.4961832061068703</v>
      </c>
      <c r="AJ71" s="21">
        <f t="shared" si="256"/>
        <v>1.8602739726027397</v>
      </c>
      <c r="AK71" s="31">
        <f t="shared" si="235"/>
        <v>0.15176938502280701</v>
      </c>
      <c r="AL71" s="31">
        <f t="shared" si="226"/>
        <v>0.23014705882352948</v>
      </c>
      <c r="AM71" s="31">
        <f t="shared" si="226"/>
        <v>0.18895652173913047</v>
      </c>
      <c r="AN71" s="31">
        <f t="shared" si="226"/>
        <v>0.24854733560090692</v>
      </c>
      <c r="AO71" s="31">
        <f t="shared" si="226"/>
        <v>0.34597972527692922</v>
      </c>
      <c r="AP71" s="10">
        <f t="shared" ref="AP71:AQ71" si="257">IFERROR(AP59/AP35,"")</f>
        <v>1.2142857142857142</v>
      </c>
      <c r="AQ71" s="10">
        <f t="shared" si="257"/>
        <v>1.088235294117647</v>
      </c>
      <c r="AR71" s="10">
        <f t="shared" ref="AR71:AS71" si="258">IFERROR(AR59/AR35,"")</f>
        <v>1.4545454545454546</v>
      </c>
      <c r="AS71" s="10">
        <f t="shared" si="258"/>
        <v>2.1754385964912282</v>
      </c>
      <c r="AT71" s="10">
        <f t="shared" ref="AT71:AV71" si="259">IFERROR(AT59/AT35,"")</f>
        <v>9.9764705882352942</v>
      </c>
      <c r="AU71" s="10">
        <f t="shared" si="259"/>
        <v>2.8011363636363638</v>
      </c>
      <c r="AV71" s="10">
        <f t="shared" si="259"/>
        <v>2.6739130434782608</v>
      </c>
      <c r="BB71" s="10">
        <f t="shared" si="230"/>
        <v>1.2905982905982907</v>
      </c>
      <c r="BC71" s="10">
        <f t="shared" si="230"/>
        <v>5.2978260869565217</v>
      </c>
      <c r="BD71" s="10">
        <f t="shared" si="230"/>
        <v>2.6739130434782608</v>
      </c>
      <c r="BE71" s="10" t="str">
        <f t="shared" si="230"/>
        <v/>
      </c>
      <c r="BF71" s="10">
        <f t="shared" si="230"/>
        <v>3.7355769230769229</v>
      </c>
      <c r="BG71" s="122">
        <f t="shared" si="231"/>
        <v>0.9107142857142857</v>
      </c>
      <c r="BH71" s="111">
        <f t="shared" si="231"/>
        <v>0.85504201680672265</v>
      </c>
      <c r="BI71" s="111">
        <f t="shared" si="231"/>
        <v>0.95787139689578715</v>
      </c>
      <c r="BJ71" s="111">
        <f t="shared" si="231"/>
        <v>1.5655025414002297</v>
      </c>
      <c r="BK71" s="111">
        <f t="shared" si="231"/>
        <v>7.2460681114551093</v>
      </c>
      <c r="BL71" s="111">
        <f t="shared" si="231"/>
        <v>1.635446075663467</v>
      </c>
      <c r="BM71" s="111">
        <f t="shared" si="231"/>
        <v>1.7054091064703867</v>
      </c>
      <c r="BN71" s="111">
        <f t="shared" si="231"/>
        <v>0</v>
      </c>
      <c r="BO71" s="111">
        <f t="shared" si="231"/>
        <v>0</v>
      </c>
      <c r="BP71" s="111">
        <f t="shared" si="231"/>
        <v>0</v>
      </c>
      <c r="BQ71" s="111">
        <f t="shared" si="231"/>
        <v>0</v>
      </c>
      <c r="BR71" s="111">
        <f t="shared" si="231"/>
        <v>0</v>
      </c>
      <c r="BS71" s="111">
        <f>BB71/(SUM(O59:INDEX(O59:Q59,IF($B$2&lt;3,$B$2,3)))/SUM(O35:INDEX(O35:Q35,IF($B$2&lt;3,$B$2,3))))</f>
        <v>0.91799878410757085</v>
      </c>
      <c r="BT71" s="111">
        <f>BC71/(SUM(R59:INDEX(R59:T59,$C$2))/SUM(R35:INDEX(R35:T35,$C$2)))</f>
        <v>3.812454286875254</v>
      </c>
      <c r="BU71" s="111">
        <f>BD71/SUM(U71:INDEX(U71:W71,IF($B$2&lt;7,$B$2-3,IF($B$2&lt;9,$B$2-6,3))))</f>
        <v>1.7054091064703867</v>
      </c>
      <c r="BW71" s="31">
        <f t="shared" si="239"/>
        <v>2.516005856283634</v>
      </c>
    </row>
    <row r="72" spans="1:75" x14ac:dyDescent="0.25">
      <c r="A72" s="20" t="str">
        <f t="shared" si="232"/>
        <v># Case/Active_by_rookie_mdrt:13+mth</v>
      </c>
      <c r="B72" t="s">
        <v>2</v>
      </c>
      <c r="C72" s="10">
        <f t="shared" ref="C72:Z72" si="260">IFERROR(C60/C36,"")</f>
        <v>1.1428571428571428</v>
      </c>
      <c r="D72" s="10">
        <f t="shared" si="260"/>
        <v>1.1818181818181819</v>
      </c>
      <c r="E72" s="10">
        <f t="shared" si="260"/>
        <v>1.375</v>
      </c>
      <c r="F72" s="10">
        <f t="shared" si="260"/>
        <v>1</v>
      </c>
      <c r="G72" s="10">
        <f t="shared" si="260"/>
        <v>1.0769230769230769</v>
      </c>
      <c r="H72" s="10">
        <f t="shared" si="260"/>
        <v>1.2407407407407407</v>
      </c>
      <c r="I72" s="10">
        <f t="shared" si="260"/>
        <v>1.375</v>
      </c>
      <c r="J72" s="10">
        <f t="shared" si="260"/>
        <v>1.3833333333333333</v>
      </c>
      <c r="K72" s="10">
        <f t="shared" si="260"/>
        <v>1.3114754098360655</v>
      </c>
      <c r="L72" s="10">
        <f t="shared" si="260"/>
        <v>1.3137254901960784</v>
      </c>
      <c r="M72" s="10">
        <f t="shared" si="260"/>
        <v>1.7746478873239437</v>
      </c>
      <c r="N72" s="10">
        <f t="shared" si="260"/>
        <v>2.1111111111111112</v>
      </c>
      <c r="O72" s="10">
        <f t="shared" si="260"/>
        <v>1.5185185185185186</v>
      </c>
      <c r="P72" s="10">
        <f t="shared" si="260"/>
        <v>1.5714285714285714</v>
      </c>
      <c r="Q72" s="10">
        <f t="shared" si="260"/>
        <v>1.631578947368421</v>
      </c>
      <c r="R72" s="10">
        <f t="shared" si="260"/>
        <v>1.2962962962962963</v>
      </c>
      <c r="S72" s="10">
        <f t="shared" si="260"/>
        <v>1.3157894736842106</v>
      </c>
      <c r="T72" s="10">
        <f t="shared" si="260"/>
        <v>1.4528301886792452</v>
      </c>
      <c r="U72" s="10">
        <f t="shared" si="260"/>
        <v>1.4347826086956521</v>
      </c>
      <c r="V72" s="10">
        <f t="shared" si="260"/>
        <v>1.3888888888888888</v>
      </c>
      <c r="W72" s="10">
        <f t="shared" si="260"/>
        <v>1.9324324324324325</v>
      </c>
      <c r="X72" s="10">
        <f t="shared" si="260"/>
        <v>1.3571428571428572</v>
      </c>
      <c r="Y72" s="10">
        <f t="shared" si="260"/>
        <v>1.8</v>
      </c>
      <c r="Z72" s="10">
        <f t="shared" si="260"/>
        <v>2.1185185185185187</v>
      </c>
      <c r="AA72" s="21">
        <f t="shared" ref="AA72:AJ72" si="261">IFERROR(AA60/AA36,"")</f>
        <v>1.4472361809045227</v>
      </c>
      <c r="AB72" s="21">
        <f t="shared" si="261"/>
        <v>1.5892857142857142</v>
      </c>
      <c r="AC72" s="21">
        <f t="shared" si="261"/>
        <v>1.3778801843317972</v>
      </c>
      <c r="AD72" s="21">
        <f t="shared" si="261"/>
        <v>1.6091370558375635</v>
      </c>
      <c r="AE72" s="21">
        <f t="shared" si="261"/>
        <v>1.8553113553113554</v>
      </c>
      <c r="AF72" s="21">
        <f t="shared" si="261"/>
        <v>1.1993006993006994</v>
      </c>
      <c r="AG72" s="21">
        <f t="shared" si="261"/>
        <v>1.2291666666666667</v>
      </c>
      <c r="AH72" s="21">
        <f t="shared" si="261"/>
        <v>1.119718309859155</v>
      </c>
      <c r="AI72" s="21">
        <f t="shared" si="261"/>
        <v>1.3434782608695652</v>
      </c>
      <c r="AJ72" s="21">
        <f t="shared" si="261"/>
        <v>1.8066037735849056</v>
      </c>
      <c r="AK72" s="31">
        <f t="shared" si="235"/>
        <v>0.20673337533146774</v>
      </c>
      <c r="AL72" s="31">
        <f t="shared" si="226"/>
        <v>0.29297820823244547</v>
      </c>
      <c r="AM72" s="31">
        <f t="shared" si="226"/>
        <v>0.23055966147871176</v>
      </c>
      <c r="AN72" s="31">
        <f t="shared" si="226"/>
        <v>0.19773955612504723</v>
      </c>
      <c r="AO72" s="31">
        <f t="shared" si="226"/>
        <v>2.6960854637094966E-2</v>
      </c>
      <c r="AP72" s="10">
        <f t="shared" ref="AP72:AQ73" si="262">IFERROR(AP60/AP36,"")</f>
        <v>1.51</v>
      </c>
      <c r="AQ72" s="10">
        <f t="shared" si="262"/>
        <v>1.4318181818181819</v>
      </c>
      <c r="AR72" s="10">
        <f t="shared" ref="AR72:AS73" si="263">IFERROR(AR60/AR36,"")</f>
        <v>1.9852941176470589</v>
      </c>
      <c r="AS72" s="10">
        <f t="shared" si="263"/>
        <v>1.9545454545454546</v>
      </c>
      <c r="AT72" s="10">
        <f t="shared" ref="AT72:AV72" si="264">IFERROR(AT60/AT36,"")</f>
        <v>1.653225806451613</v>
      </c>
      <c r="AU72" s="10">
        <f t="shared" si="264"/>
        <v>1.9913793103448276</v>
      </c>
      <c r="AV72" s="10">
        <f t="shared" si="264"/>
        <v>2.3557692307692308</v>
      </c>
      <c r="BB72" s="10">
        <f t="shared" si="230"/>
        <v>1.6882716049382716</v>
      </c>
      <c r="BC72" s="10">
        <f t="shared" si="230"/>
        <v>1.8655913978494623</v>
      </c>
      <c r="BD72" s="10">
        <f t="shared" si="230"/>
        <v>2.3557692307692308</v>
      </c>
      <c r="BE72" s="10" t="str">
        <f t="shared" si="230"/>
        <v/>
      </c>
      <c r="BF72" s="10">
        <f t="shared" si="230"/>
        <v>1.8574999999999999</v>
      </c>
      <c r="BG72" s="122">
        <f t="shared" si="231"/>
        <v>0.99439024390243902</v>
      </c>
      <c r="BH72" s="111">
        <f t="shared" si="231"/>
        <v>0.91115702479338845</v>
      </c>
      <c r="BI72" s="111">
        <f t="shared" si="231"/>
        <v>1.2167931688804554</v>
      </c>
      <c r="BJ72" s="111">
        <f t="shared" si="231"/>
        <v>1.5077922077922079</v>
      </c>
      <c r="BK72" s="111">
        <f t="shared" si="231"/>
        <v>1.2564516129032257</v>
      </c>
      <c r="BL72" s="111">
        <f t="shared" si="231"/>
        <v>1.3706896551724139</v>
      </c>
      <c r="BM72" s="111">
        <f t="shared" si="231"/>
        <v>1.641899766899767</v>
      </c>
      <c r="BN72" s="111">
        <f t="shared" si="231"/>
        <v>0</v>
      </c>
      <c r="BO72" s="111">
        <f t="shared" si="231"/>
        <v>0</v>
      </c>
      <c r="BP72" s="111">
        <f t="shared" si="231"/>
        <v>0</v>
      </c>
      <c r="BQ72" s="111">
        <f t="shared" si="231"/>
        <v>0</v>
      </c>
      <c r="BR72" s="111">
        <f t="shared" si="231"/>
        <v>0</v>
      </c>
      <c r="BS72" s="111">
        <f>BB72/(SUM(O60:INDEX(O60:Q60,IF($B$2&lt;3,$B$2,3)))/SUM(O36:INDEX(O36:Q36,IF($B$2&lt;3,$B$2,3))))</f>
        <v>1.0622832570398113</v>
      </c>
      <c r="BT72" s="111">
        <f>BC72/(SUM(R60:INDEX(R60:T60,$C$2))/SUM(R36:INDEX(R36:T36,$C$2)))</f>
        <v>1.4391705069124423</v>
      </c>
      <c r="BU72" s="111">
        <f>BD72/SUM(U72:INDEX(U72:W72,IF($B$2&lt;7,$B$2-3,IF($B$2&lt;9,$B$2-6,3))))</f>
        <v>1.641899766899767</v>
      </c>
      <c r="BW72" s="31">
        <f t="shared" si="239"/>
        <v>1.2834809027777776</v>
      </c>
    </row>
    <row r="73" spans="1:75" x14ac:dyDescent="0.25">
      <c r="A73" s="20" t="str">
        <f t="shared" si="232"/>
        <v># Case/Active_by_rookie_mdrt:SA</v>
      </c>
      <c r="B73" s="135" t="s">
        <v>136</v>
      </c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31"/>
      <c r="AL73" s="31"/>
      <c r="AM73" s="31"/>
      <c r="AN73" s="31"/>
      <c r="AO73" s="31"/>
      <c r="AP73" s="10"/>
      <c r="AQ73" s="10">
        <f t="shared" si="262"/>
        <v>1.1774193548387097</v>
      </c>
      <c r="AR73" s="10">
        <f t="shared" si="263"/>
        <v>1.2741935483870968</v>
      </c>
      <c r="AS73" s="10">
        <f t="shared" si="263"/>
        <v>1.6142857142857143</v>
      </c>
      <c r="AT73" s="10">
        <f t="shared" ref="AT73:AV73" si="265">IFERROR(AT61/AT37,"")</f>
        <v>1.2608695652173914</v>
      </c>
      <c r="AU73" s="10">
        <f t="shared" si="265"/>
        <v>1</v>
      </c>
      <c r="AV73" s="10">
        <f t="shared" si="265"/>
        <v>1.25</v>
      </c>
      <c r="BB73" s="10">
        <f t="shared" si="230"/>
        <v>1.2258064516129032</v>
      </c>
      <c r="BC73" s="10">
        <f t="shared" si="230"/>
        <v>1.3767123287671232</v>
      </c>
      <c r="BD73" s="10">
        <f t="shared" si="230"/>
        <v>1.25</v>
      </c>
      <c r="BE73" s="10" t="str">
        <f t="shared" si="230"/>
        <v/>
      </c>
      <c r="BF73" s="10">
        <f t="shared" si="230"/>
        <v>1.3</v>
      </c>
      <c r="BG73" s="122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W73" s="31"/>
    </row>
    <row r="74" spans="1:75" s="17" customFormat="1" x14ac:dyDescent="0.25">
      <c r="A74" s="20" t="str">
        <f t="shared" si="232"/>
        <v># Case/Active_by_rookie_mdrt:Total</v>
      </c>
      <c r="B74" s="1" t="s">
        <v>186</v>
      </c>
      <c r="C74" s="11">
        <f t="shared" ref="C74:Z74" si="266">IFERROR(C62/C38,"")</f>
        <v>1.264406779661017</v>
      </c>
      <c r="D74" s="11">
        <f t="shared" si="266"/>
        <v>1.3964757709251101</v>
      </c>
      <c r="E74" s="11">
        <f t="shared" si="266"/>
        <v>1.6830065359477124</v>
      </c>
      <c r="F74" s="11">
        <f t="shared" si="266"/>
        <v>1.645</v>
      </c>
      <c r="G74" s="11">
        <f t="shared" si="266"/>
        <v>1.3819742489270386</v>
      </c>
      <c r="H74" s="11">
        <f t="shared" si="266"/>
        <v>1.4788990825688073</v>
      </c>
      <c r="I74" s="11">
        <f t="shared" si="266"/>
        <v>1.5135658914728682</v>
      </c>
      <c r="J74" s="11">
        <f t="shared" si="266"/>
        <v>1.4085510688836105</v>
      </c>
      <c r="K74" s="11">
        <f t="shared" si="266"/>
        <v>1.5843071786310519</v>
      </c>
      <c r="L74" s="11">
        <f t="shared" si="266"/>
        <v>1.534412955465587</v>
      </c>
      <c r="M74" s="11">
        <f t="shared" si="266"/>
        <v>1.978688524590164</v>
      </c>
      <c r="N74" s="11">
        <f t="shared" si="266"/>
        <v>2.1157894736842104</v>
      </c>
      <c r="O74" s="11">
        <f t="shared" si="266"/>
        <v>1.4481327800829875</v>
      </c>
      <c r="P74" s="11">
        <f t="shared" si="266"/>
        <v>1.4334763948497855</v>
      </c>
      <c r="Q74" s="11">
        <f t="shared" si="266"/>
        <v>1.8980477223427332</v>
      </c>
      <c r="R74" s="11">
        <f t="shared" si="266"/>
        <v>1.8990610328638498</v>
      </c>
      <c r="S74" s="11">
        <f t="shared" si="266"/>
        <v>1.5811764705882352</v>
      </c>
      <c r="T74" s="11">
        <f t="shared" si="266"/>
        <v>1.7663230240549828</v>
      </c>
      <c r="U74" s="11">
        <f t="shared" si="266"/>
        <v>1.6555323590814197</v>
      </c>
      <c r="V74" s="11">
        <f t="shared" si="266"/>
        <v>1.6616379310344827</v>
      </c>
      <c r="W74" s="11">
        <f t="shared" si="266"/>
        <v>2.0998116760828625</v>
      </c>
      <c r="X74" s="11">
        <f t="shared" si="266"/>
        <v>1.7731092436974789</v>
      </c>
      <c r="Y74" s="11">
        <f t="shared" si="266"/>
        <v>2.2334494773519165</v>
      </c>
      <c r="Z74" s="11">
        <f t="shared" si="266"/>
        <v>2.3041362530413627</v>
      </c>
      <c r="AA74" s="23">
        <f t="shared" ref="AA74:AE74" si="267">IFERROR(AA62/AA38,"")</f>
        <v>1.7070600632244468</v>
      </c>
      <c r="AB74" s="23">
        <f t="shared" si="267"/>
        <v>1.6663101604278074</v>
      </c>
      <c r="AC74" s="23">
        <f t="shared" si="267"/>
        <v>1.7508722958827634</v>
      </c>
      <c r="AD74" s="23">
        <f t="shared" si="267"/>
        <v>1.8175033921302579</v>
      </c>
      <c r="AE74" s="23">
        <f t="shared" si="267"/>
        <v>2.1474358974358974</v>
      </c>
      <c r="AF74" s="23">
        <f t="shared" ref="AF74:AJ74" si="268">IFERROR(AF62/AF38,"")</f>
        <v>1.4860254083484574</v>
      </c>
      <c r="AG74" s="23">
        <f t="shared" si="268"/>
        <v>1.4553140096618358</v>
      </c>
      <c r="AH74" s="23">
        <f t="shared" si="268"/>
        <v>1.4939759036144578</v>
      </c>
      <c r="AI74" s="23">
        <f t="shared" si="268"/>
        <v>1.5123697916666667</v>
      </c>
      <c r="AJ74" s="23">
        <f t="shared" si="268"/>
        <v>1.9168454935622317</v>
      </c>
      <c r="AK74" s="32">
        <f t="shared" si="235"/>
        <v>0.14874217737746731</v>
      </c>
      <c r="AL74" s="32">
        <f t="shared" si="226"/>
        <v>0.14498324716533162</v>
      </c>
      <c r="AM74" s="32">
        <f t="shared" si="226"/>
        <v>0.17195484321184984</v>
      </c>
      <c r="AN74" s="32">
        <f t="shared" si="226"/>
        <v>0.20175859247183636</v>
      </c>
      <c r="AO74" s="32">
        <f t="shared" si="226"/>
        <v>0.12029681299202721</v>
      </c>
      <c r="AP74" s="11">
        <f t="shared" ref="AP74:AQ74" si="269">IFERROR(AP62/AP38,"")</f>
        <v>1.9166666666666667</v>
      </c>
      <c r="AQ74" s="11">
        <f t="shared" si="269"/>
        <v>1.7586206896551724</v>
      </c>
      <c r="AR74" s="11">
        <f t="shared" ref="AR74:AS74" si="270">IFERROR(AR62/AR38,"")</f>
        <v>2.1345291479820627</v>
      </c>
      <c r="AS74" s="11">
        <f t="shared" si="270"/>
        <v>2.152136752136752</v>
      </c>
      <c r="AT74" s="11">
        <f t="shared" ref="AT74:AV74" si="271">IFERROR(AT62/AT38,"")</f>
        <v>3.1757877280265339</v>
      </c>
      <c r="AU74" s="11">
        <f t="shared" si="271"/>
        <v>2.4561933534743203</v>
      </c>
      <c r="AV74" s="11">
        <f t="shared" si="271"/>
        <v>2.1685185185185185</v>
      </c>
      <c r="BB74" s="11">
        <f t="shared" ref="BB74:BF74" si="272">IFERROR(BB62/BB38,"")</f>
        <v>1.9574468085106382</v>
      </c>
      <c r="BC74" s="11">
        <f t="shared" si="272"/>
        <v>2.5945945945945947</v>
      </c>
      <c r="BD74" s="11">
        <f t="shared" si="272"/>
        <v>2.1685185185185185</v>
      </c>
      <c r="BE74" s="11" t="str">
        <f t="shared" si="272"/>
        <v/>
      </c>
      <c r="BF74" s="11">
        <f t="shared" si="272"/>
        <v>2.2854605430093886</v>
      </c>
      <c r="BG74" s="123">
        <f t="shared" si="231"/>
        <v>1.3235434574976124</v>
      </c>
      <c r="BH74" s="118">
        <f t="shared" si="231"/>
        <v>1.226822217633698</v>
      </c>
      <c r="BI74" s="118">
        <f t="shared" si="231"/>
        <v>1.124591928251121</v>
      </c>
      <c r="BJ74" s="118">
        <f t="shared" si="231"/>
        <v>1.1332636049570537</v>
      </c>
      <c r="BK74" s="118">
        <f t="shared" si="231"/>
        <v>2.0084967029929719</v>
      </c>
      <c r="BL74" s="118">
        <f t="shared" si="231"/>
        <v>1.3905686106245667</v>
      </c>
      <c r="BM74" s="118">
        <f t="shared" si="231"/>
        <v>1.3098617533043762</v>
      </c>
      <c r="BN74" s="118">
        <f t="shared" si="231"/>
        <v>0</v>
      </c>
      <c r="BO74" s="118">
        <f t="shared" si="231"/>
        <v>0</v>
      </c>
      <c r="BP74" s="118">
        <f t="shared" si="231"/>
        <v>0</v>
      </c>
      <c r="BQ74" s="118">
        <f t="shared" si="231"/>
        <v>0</v>
      </c>
      <c r="BR74" s="118">
        <f t="shared" si="231"/>
        <v>0</v>
      </c>
      <c r="BS74" s="118">
        <f>BB74/(SUM(O62:INDEX(O62:Q62,IF($B$2&lt;3,$B$2,3)))/SUM(O38:INDEX(O38:Q38,IF($B$2&lt;3,$B$2,3))))</f>
        <v>1.1747193619752547</v>
      </c>
      <c r="BT74" s="111">
        <f>BC74/(SUM(R62:INDEX(R62:T62,$C$2))/SUM(R38:INDEX(R38:T38,$C$2)))</f>
        <v>1.366251294557846</v>
      </c>
      <c r="BU74" s="111">
        <f>BD74/SUM(U74:INDEX(U74:W74,IF($B$2&lt;7,$B$2-3,IF($B$2&lt;9,$B$2-6,3))))</f>
        <v>1.3098617533043762</v>
      </c>
      <c r="BW74" s="32">
        <f t="shared" si="239"/>
        <v>1.3388284292073518</v>
      </c>
    </row>
    <row r="75" spans="1:75" x14ac:dyDescent="0.25">
      <c r="B75" t="s">
        <v>187</v>
      </c>
      <c r="BG75" s="124"/>
    </row>
    <row r="76" spans="1:75" x14ac:dyDescent="0.25">
      <c r="B76" t="s">
        <v>187</v>
      </c>
      <c r="BG76" s="124"/>
    </row>
    <row r="77" spans="1:75" s="17" customFormat="1" x14ac:dyDescent="0.25">
      <c r="A77" s="19"/>
      <c r="B77" s="2" t="s">
        <v>14</v>
      </c>
      <c r="C77" s="3">
        <f t="shared" ref="C77:Z77" si="273">C41</f>
        <v>42005</v>
      </c>
      <c r="D77" s="3">
        <f t="shared" si="273"/>
        <v>42036</v>
      </c>
      <c r="E77" s="3">
        <f t="shared" si="273"/>
        <v>42064</v>
      </c>
      <c r="F77" s="3">
        <f t="shared" si="273"/>
        <v>42095</v>
      </c>
      <c r="G77" s="3">
        <f t="shared" si="273"/>
        <v>42125</v>
      </c>
      <c r="H77" s="3">
        <f t="shared" si="273"/>
        <v>42156</v>
      </c>
      <c r="I77" s="3">
        <f t="shared" si="273"/>
        <v>42186</v>
      </c>
      <c r="J77" s="3">
        <f t="shared" si="273"/>
        <v>42217</v>
      </c>
      <c r="K77" s="3">
        <f t="shared" si="273"/>
        <v>42248</v>
      </c>
      <c r="L77" s="3">
        <f t="shared" si="273"/>
        <v>42278</v>
      </c>
      <c r="M77" s="3">
        <f t="shared" si="273"/>
        <v>42309</v>
      </c>
      <c r="N77" s="3">
        <f t="shared" si="273"/>
        <v>42339</v>
      </c>
      <c r="O77" s="3">
        <f t="shared" si="273"/>
        <v>42370</v>
      </c>
      <c r="P77" s="3">
        <f t="shared" si="273"/>
        <v>42401</v>
      </c>
      <c r="Q77" s="3">
        <f t="shared" si="273"/>
        <v>42430</v>
      </c>
      <c r="R77" s="3">
        <f t="shared" si="273"/>
        <v>42461</v>
      </c>
      <c r="S77" s="3">
        <f t="shared" si="273"/>
        <v>42491</v>
      </c>
      <c r="T77" s="3">
        <f t="shared" si="273"/>
        <v>42522</v>
      </c>
      <c r="U77" s="3">
        <f t="shared" si="273"/>
        <v>42552</v>
      </c>
      <c r="V77" s="3">
        <f t="shared" si="273"/>
        <v>42583</v>
      </c>
      <c r="W77" s="3">
        <f t="shared" si="273"/>
        <v>42614</v>
      </c>
      <c r="X77" s="3">
        <f t="shared" si="273"/>
        <v>42644</v>
      </c>
      <c r="Y77" s="3">
        <f t="shared" si="273"/>
        <v>42675</v>
      </c>
      <c r="Z77" s="3">
        <f t="shared" si="273"/>
        <v>42705</v>
      </c>
      <c r="AA77" s="29" t="str">
        <f>$AA$3</f>
        <v>YTD 7/16</v>
      </c>
      <c r="AB77" s="29" t="s">
        <v>19</v>
      </c>
      <c r="AC77" s="29" t="s">
        <v>20</v>
      </c>
      <c r="AD77" s="29" t="s">
        <v>21</v>
      </c>
      <c r="AE77" s="29" t="s">
        <v>22</v>
      </c>
      <c r="AF77" s="26" t="str">
        <f t="shared" ref="AF77:AJ77" si="274">AF53</f>
        <v>YTD 7/15</v>
      </c>
      <c r="AG77" s="26" t="str">
        <f t="shared" si="274"/>
        <v>Q1 '15</v>
      </c>
      <c r="AH77" s="26" t="str">
        <f t="shared" si="274"/>
        <v>Q2 '15</v>
      </c>
      <c r="AI77" s="26" t="str">
        <f t="shared" si="274"/>
        <v>Q3 '15</v>
      </c>
      <c r="AJ77" s="26" t="str">
        <f t="shared" si="274"/>
        <v>Q4 '15</v>
      </c>
      <c r="AK77" s="30" t="s">
        <v>27</v>
      </c>
      <c r="AL77" s="30" t="s">
        <v>29</v>
      </c>
      <c r="AM77" s="30" t="s">
        <v>30</v>
      </c>
      <c r="AN77" s="30" t="s">
        <v>31</v>
      </c>
      <c r="AO77" s="30" t="s">
        <v>32</v>
      </c>
      <c r="AP77" s="108">
        <v>42736</v>
      </c>
      <c r="AQ77" s="108">
        <v>42767</v>
      </c>
      <c r="AR77" s="108">
        <v>42795</v>
      </c>
      <c r="AS77" s="108">
        <v>42826</v>
      </c>
      <c r="AT77" s="108">
        <v>42856</v>
      </c>
      <c r="AU77" s="108">
        <v>42887</v>
      </c>
      <c r="AV77" s="108">
        <v>42917</v>
      </c>
      <c r="AW77" s="108">
        <v>42948</v>
      </c>
      <c r="AX77" s="108">
        <v>42979</v>
      </c>
      <c r="AY77" s="108">
        <v>43009</v>
      </c>
      <c r="AZ77" s="108">
        <v>43040</v>
      </c>
      <c r="BA77" s="108">
        <v>43070</v>
      </c>
      <c r="BB77" s="29" t="s">
        <v>123</v>
      </c>
      <c r="BC77" s="29" t="s">
        <v>124</v>
      </c>
      <c r="BD77" s="29" t="s">
        <v>125</v>
      </c>
      <c r="BE77" s="29" t="s">
        <v>126</v>
      </c>
      <c r="BF77" s="29" t="str">
        <f>$BF$3</f>
        <v>YTD 7/17</v>
      </c>
      <c r="BG77" s="121">
        <v>42736</v>
      </c>
      <c r="BH77" s="108">
        <v>42767</v>
      </c>
      <c r="BI77" s="108">
        <v>42795</v>
      </c>
      <c r="BJ77" s="108">
        <v>42826</v>
      </c>
      <c r="BK77" s="108">
        <v>42856</v>
      </c>
      <c r="BL77" s="108">
        <v>42887</v>
      </c>
      <c r="BM77" s="108">
        <v>42917</v>
      </c>
      <c r="BN77" s="108">
        <v>42948</v>
      </c>
      <c r="BO77" s="108">
        <v>42979</v>
      </c>
      <c r="BP77" s="108">
        <v>43009</v>
      </c>
      <c r="BQ77" s="108">
        <v>43040</v>
      </c>
      <c r="BR77" s="108">
        <v>43070</v>
      </c>
      <c r="BS77" s="29" t="s">
        <v>127</v>
      </c>
      <c r="BT77" s="29" t="s">
        <v>128</v>
      </c>
      <c r="BU77" s="29" t="s">
        <v>96</v>
      </c>
      <c r="BV77" s="29" t="s">
        <v>129</v>
      </c>
      <c r="BW77" s="112" t="s">
        <v>130</v>
      </c>
    </row>
    <row r="78" spans="1:75" x14ac:dyDescent="0.25">
      <c r="A78" s="20" t="str">
        <f>$B$77&amp;"_by_rookie_mdrt:"&amp;B78</f>
        <v>CaseSize_by_rookie_mdrt:MDRT</v>
      </c>
      <c r="B78" t="s">
        <v>4</v>
      </c>
      <c r="C78" s="4">
        <f t="shared" ref="C78:AJ78" si="275">IFERROR(C4/C54,"")</f>
        <v>24.565066666666667</v>
      </c>
      <c r="D78" s="4">
        <f t="shared" si="275"/>
        <v>18.591706896551724</v>
      </c>
      <c r="E78" s="4">
        <f t="shared" si="275"/>
        <v>28.496982608695649</v>
      </c>
      <c r="F78" s="4">
        <f t="shared" si="275"/>
        <v>31.991796666666669</v>
      </c>
      <c r="G78" s="4">
        <f t="shared" si="275"/>
        <v>26.556025125628143</v>
      </c>
      <c r="H78" s="4">
        <f t="shared" si="275"/>
        <v>34.870864197530871</v>
      </c>
      <c r="I78" s="4">
        <f t="shared" si="275"/>
        <v>38.586123015873014</v>
      </c>
      <c r="J78" s="4">
        <f t="shared" si="275"/>
        <v>26.90604255319149</v>
      </c>
      <c r="K78" s="4">
        <f t="shared" si="275"/>
        <v>38.575805653710248</v>
      </c>
      <c r="L78" s="4">
        <f t="shared" si="275"/>
        <v>28.562226148409824</v>
      </c>
      <c r="M78" s="4">
        <f t="shared" si="275"/>
        <v>28.422995967741937</v>
      </c>
      <c r="N78" s="4">
        <f t="shared" si="275"/>
        <v>31.607015584415532</v>
      </c>
      <c r="O78" s="4">
        <f t="shared" si="275"/>
        <v>33.558744680851063</v>
      </c>
      <c r="P78" s="4">
        <f t="shared" si="275"/>
        <v>30.835545454544906</v>
      </c>
      <c r="Q78" s="4">
        <f t="shared" si="275"/>
        <v>30.458708333333252</v>
      </c>
      <c r="R78" s="4">
        <f t="shared" si="275"/>
        <v>36.273361842105267</v>
      </c>
      <c r="S78" s="4">
        <f t="shared" si="275"/>
        <v>28.141784090909088</v>
      </c>
      <c r="T78" s="4">
        <f t="shared" si="275"/>
        <v>23.807105</v>
      </c>
      <c r="U78" s="4">
        <f t="shared" si="275"/>
        <v>31.484828947368424</v>
      </c>
      <c r="V78" s="4">
        <f t="shared" si="275"/>
        <v>27.292442176870747</v>
      </c>
      <c r="W78" s="4">
        <f t="shared" si="275"/>
        <v>24.293641509433964</v>
      </c>
      <c r="X78" s="4">
        <f t="shared" si="275"/>
        <v>28.68</v>
      </c>
      <c r="Y78" s="4">
        <f t="shared" si="275"/>
        <v>27.284814345991563</v>
      </c>
      <c r="Z78" s="4">
        <f t="shared" si="275"/>
        <v>30.402078549848941</v>
      </c>
      <c r="AA78" s="4">
        <f t="shared" si="275"/>
        <v>30.864963166144143</v>
      </c>
      <c r="AB78" s="4">
        <f t="shared" si="275"/>
        <v>31.208382882882706</v>
      </c>
      <c r="AC78" s="4">
        <f t="shared" si="275"/>
        <v>30.502172058823529</v>
      </c>
      <c r="AD78" s="4">
        <f t="shared" si="275"/>
        <v>27.295371819960863</v>
      </c>
      <c r="AE78" s="4">
        <f t="shared" si="275"/>
        <v>28.998283244680849</v>
      </c>
      <c r="AF78" s="4">
        <f t="shared" si="275"/>
        <v>30.642645890410964</v>
      </c>
      <c r="AG78" s="4">
        <f t="shared" si="275"/>
        <v>25.018781115879829</v>
      </c>
      <c r="AH78" s="4">
        <f t="shared" si="275"/>
        <v>31.476830188679251</v>
      </c>
      <c r="AI78" s="4">
        <f t="shared" si="275"/>
        <v>36.145573964497039</v>
      </c>
      <c r="AJ78" s="4">
        <f t="shared" si="275"/>
        <v>29.804272925764149</v>
      </c>
      <c r="AK78" s="31">
        <f>AA78/AF78-1</f>
        <v>7.2551592485932126E-3</v>
      </c>
      <c r="AL78" s="31">
        <f t="shared" ref="AL78:AO86" si="276">AB78/AG78-1</f>
        <v>0.24739821409901674</v>
      </c>
      <c r="AM78" s="31">
        <f t="shared" si="276"/>
        <v>-3.096430371207648E-2</v>
      </c>
      <c r="AN78" s="31">
        <f t="shared" si="276"/>
        <v>-0.24484884797317186</v>
      </c>
      <c r="AO78" s="31">
        <f t="shared" si="276"/>
        <v>-2.7042756019945324E-2</v>
      </c>
      <c r="AP78" s="4">
        <f t="shared" ref="AP78:AV84" si="277">IFERROR(AP4/AP54,"")</f>
        <v>22.802869565217392</v>
      </c>
      <c r="AQ78" s="4">
        <f t="shared" si="277"/>
        <v>37.392935732647871</v>
      </c>
      <c r="AR78" s="4">
        <f t="shared" si="277"/>
        <v>28.016168717047453</v>
      </c>
      <c r="AS78" s="4">
        <f t="shared" si="277"/>
        <v>27.617313559322117</v>
      </c>
      <c r="AT78" s="4">
        <f t="shared" si="277"/>
        <v>25.524853556485354</v>
      </c>
      <c r="AU78" s="4">
        <f t="shared" si="277"/>
        <v>25.029523809523809</v>
      </c>
      <c r="AV78" s="4">
        <f t="shared" si="277"/>
        <v>26.132783653846232</v>
      </c>
      <c r="BB78" s="4">
        <f t="shared" ref="BB78:BF86" si="278">IFERROR(BB4/BB54,"")</f>
        <v>29.435181887950893</v>
      </c>
      <c r="BC78" s="4">
        <f t="shared" si="278"/>
        <v>25.964869788325871</v>
      </c>
      <c r="BD78" s="4">
        <f t="shared" si="278"/>
        <v>26.132783653846232</v>
      </c>
      <c r="BE78" s="4" t="str">
        <f t="shared" si="278"/>
        <v/>
      </c>
      <c r="BF78" s="4">
        <f t="shared" si="278"/>
        <v>27.365622940817595</v>
      </c>
      <c r="BG78" s="122">
        <f t="shared" ref="BG78:BR86" si="279">AP78/O78</f>
        <v>0.67949113657487092</v>
      </c>
      <c r="BH78" s="111">
        <f t="shared" si="279"/>
        <v>1.2126568601735714</v>
      </c>
      <c r="BI78" s="111">
        <f t="shared" si="279"/>
        <v>0.91980816817459243</v>
      </c>
      <c r="BJ78" s="111">
        <f t="shared" si="279"/>
        <v>0.76136625216978338</v>
      </c>
      <c r="BK78" s="111">
        <f t="shared" si="279"/>
        <v>0.90700907497655392</v>
      </c>
      <c r="BL78" s="111">
        <f t="shared" si="279"/>
        <v>1.0513468063220544</v>
      </c>
      <c r="BM78" s="111">
        <f t="shared" si="279"/>
        <v>0.8300119304294481</v>
      </c>
      <c r="BN78" s="111">
        <f t="shared" si="279"/>
        <v>0</v>
      </c>
      <c r="BO78" s="111">
        <f t="shared" si="279"/>
        <v>0</v>
      </c>
      <c r="BP78" s="111">
        <f t="shared" si="279"/>
        <v>0</v>
      </c>
      <c r="BQ78" s="111">
        <f t="shared" si="279"/>
        <v>0</v>
      </c>
      <c r="BR78" s="111">
        <f t="shared" si="279"/>
        <v>0</v>
      </c>
      <c r="BS78" s="111">
        <f>IFERROR(BB78/(SUM(O4:INDEX(O4:Q4,IF($B$2&lt;3,$B$2,3)))/SUM(O54:INDEX(O54:Q54,IF($B$2&lt;3,$B$2,3)))),0)</f>
        <v>0.94318190078652286</v>
      </c>
      <c r="BT78" s="111">
        <f>IFERROR(BC78/(SUM(R4:INDEX(R4:T4,IF($B$2&lt;7,$B$2-3,3)))/SUM(R54:INDEX(R54:T54,IF($B$2&lt;7,$B$2-3,3)))),0)</f>
        <v>0.85124658461215619</v>
      </c>
      <c r="BU78" s="111">
        <f>BD78/(SUM(U4:INDEX(U4:W4,IF($B$2&lt;7,$B$2-3,IF($B$2&lt;9,$B$2-6,3))))/SUM(U54:INDEX(U54:W54,IF($B$2&lt;7,$B$2-3,IF($B$2&lt;9,$B$2-6,3)))))</f>
        <v>0.8300119304294481</v>
      </c>
      <c r="BV78" s="111"/>
      <c r="BW78" s="111">
        <f>IFERROR(BF78/AA78,0)</f>
        <v>0.88662418916588948</v>
      </c>
    </row>
    <row r="79" spans="1:75" x14ac:dyDescent="0.25">
      <c r="A79" s="20" t="str">
        <f t="shared" ref="A79:A86" si="280">$B$77&amp;"_by_rookie_mdrt:"&amp;B79</f>
        <v>CaseSize_by_rookie_mdrt:Rookie in month</v>
      </c>
      <c r="B79" t="s">
        <v>5</v>
      </c>
      <c r="C79" s="4">
        <f t="shared" ref="C79:AJ79" si="281">IFERROR(C5/C55,"")</f>
        <v>14.558849056603774</v>
      </c>
      <c r="D79" s="4">
        <f t="shared" si="281"/>
        <v>16.146166666666666</v>
      </c>
      <c r="E79" s="4">
        <f t="shared" si="281"/>
        <v>15.453551546391752</v>
      </c>
      <c r="F79" s="4">
        <f t="shared" si="281"/>
        <v>22.525333333333332</v>
      </c>
      <c r="G79" s="4">
        <f t="shared" si="281"/>
        <v>16.342366666666667</v>
      </c>
      <c r="H79" s="4">
        <f t="shared" si="281"/>
        <v>15.472935714285713</v>
      </c>
      <c r="I79" s="4">
        <f t="shared" si="281"/>
        <v>14.155029411764707</v>
      </c>
      <c r="J79" s="4">
        <f t="shared" si="281"/>
        <v>13.641843137254902</v>
      </c>
      <c r="K79" s="4">
        <f t="shared" si="281"/>
        <v>17.285173553719009</v>
      </c>
      <c r="L79" s="4">
        <f t="shared" si="281"/>
        <v>16.173677083333335</v>
      </c>
      <c r="M79" s="4">
        <f t="shared" si="281"/>
        <v>14.853510000000002</v>
      </c>
      <c r="N79" s="4">
        <f t="shared" si="281"/>
        <v>20.768148014440435</v>
      </c>
      <c r="O79" s="4">
        <f t="shared" si="281"/>
        <v>16.394789473684209</v>
      </c>
      <c r="P79" s="4">
        <f t="shared" si="281"/>
        <v>14.178628571428572</v>
      </c>
      <c r="Q79" s="4">
        <f t="shared" si="281"/>
        <v>20.42548034934498</v>
      </c>
      <c r="R79" s="4">
        <f t="shared" si="281"/>
        <v>19.384232758620691</v>
      </c>
      <c r="S79" s="4">
        <f t="shared" si="281"/>
        <v>16.384107843137254</v>
      </c>
      <c r="T79" s="4">
        <f t="shared" si="281"/>
        <v>14.582045000000001</v>
      </c>
      <c r="U79" s="4">
        <f t="shared" si="281"/>
        <v>15.173216666666667</v>
      </c>
      <c r="V79" s="4">
        <f t="shared" si="281"/>
        <v>16.601647482014389</v>
      </c>
      <c r="W79" s="4">
        <f t="shared" si="281"/>
        <v>15.747164122137404</v>
      </c>
      <c r="X79" s="4">
        <f t="shared" si="281"/>
        <v>14.227647482014389</v>
      </c>
      <c r="Y79" s="4">
        <f t="shared" si="281"/>
        <v>17.628799999999998</v>
      </c>
      <c r="Z79" s="4">
        <f t="shared" si="281"/>
        <v>16.904307812500029</v>
      </c>
      <c r="AA79" s="4">
        <f t="shared" si="281"/>
        <v>17.225496954933007</v>
      </c>
      <c r="AB79" s="4">
        <f t="shared" si="281"/>
        <v>19.382289752650177</v>
      </c>
      <c r="AC79" s="4">
        <f t="shared" si="281"/>
        <v>16.354447368421052</v>
      </c>
      <c r="AD79" s="4">
        <f t="shared" si="281"/>
        <v>15.842940499040305</v>
      </c>
      <c r="AE79" s="4">
        <f t="shared" si="281"/>
        <v>16.567658885542183</v>
      </c>
      <c r="AF79" s="4">
        <f t="shared" si="281"/>
        <v>16.439761574074076</v>
      </c>
      <c r="AG79" s="4">
        <f t="shared" si="281"/>
        <v>15.276560344827587</v>
      </c>
      <c r="AH79" s="4">
        <f t="shared" si="281"/>
        <v>17.957869822485208</v>
      </c>
      <c r="AI79" s="4">
        <f t="shared" si="281"/>
        <v>15.064228412256268</v>
      </c>
      <c r="AJ79" s="4">
        <f t="shared" si="281"/>
        <v>17.933947643979057</v>
      </c>
      <c r="AK79" s="31">
        <f t="shared" ref="AK79:AK86" si="282">AA79/AF79-1</f>
        <v>4.7794816081642821E-2</v>
      </c>
      <c r="AL79" s="31">
        <f t="shared" si="276"/>
        <v>0.26876006870307867</v>
      </c>
      <c r="AM79" s="31">
        <f t="shared" si="276"/>
        <v>-8.9288009653377465E-2</v>
      </c>
      <c r="AN79" s="31">
        <f t="shared" si="276"/>
        <v>5.1692796037962063E-2</v>
      </c>
      <c r="AO79" s="31">
        <f t="shared" si="276"/>
        <v>-7.6184495770822425E-2</v>
      </c>
      <c r="AP79" s="4">
        <f t="shared" si="277"/>
        <v>14.049899999999999</v>
      </c>
      <c r="AQ79" s="4">
        <f t="shared" si="277"/>
        <v>13.476670886075949</v>
      </c>
      <c r="AR79" s="4">
        <f t="shared" si="277"/>
        <v>16.668076923076921</v>
      </c>
      <c r="AS79" s="4">
        <f t="shared" si="277"/>
        <v>15.484521739130434</v>
      </c>
      <c r="AT79" s="4">
        <f t="shared" si="277"/>
        <v>15.096521739130436</v>
      </c>
      <c r="AU79" s="4">
        <f t="shared" si="277"/>
        <v>14.846646884272996</v>
      </c>
      <c r="AV79" s="4">
        <f t="shared" si="277"/>
        <v>15.162674107142843</v>
      </c>
      <c r="BB79" s="4">
        <f t="shared" si="278"/>
        <v>15.211624015748029</v>
      </c>
      <c r="BC79" s="4">
        <f t="shared" si="278"/>
        <v>15.113783549783548</v>
      </c>
      <c r="BD79" s="4">
        <f t="shared" si="278"/>
        <v>15.162674107142843</v>
      </c>
      <c r="BE79" s="4" t="str">
        <f t="shared" si="278"/>
        <v/>
      </c>
      <c r="BF79" s="4">
        <f t="shared" si="278"/>
        <v>15.153156767283345</v>
      </c>
      <c r="BG79" s="122">
        <f t="shared" si="279"/>
        <v>0.85697349286198121</v>
      </c>
      <c r="BH79" s="111">
        <f t="shared" si="279"/>
        <v>0.95049184892485716</v>
      </c>
      <c r="BI79" s="111">
        <f t="shared" si="279"/>
        <v>0.81604332617868869</v>
      </c>
      <c r="BJ79" s="111">
        <f t="shared" si="279"/>
        <v>0.79882046052320799</v>
      </c>
      <c r="BK79" s="111">
        <f t="shared" si="279"/>
        <v>0.92141249823705573</v>
      </c>
      <c r="BL79" s="111">
        <f t="shared" si="279"/>
        <v>1.0181457322531233</v>
      </c>
      <c r="BM79" s="111">
        <f t="shared" si="279"/>
        <v>0.99930518625315723</v>
      </c>
      <c r="BN79" s="111">
        <f t="shared" si="279"/>
        <v>0</v>
      </c>
      <c r="BO79" s="111">
        <f t="shared" si="279"/>
        <v>0</v>
      </c>
      <c r="BP79" s="111">
        <f t="shared" si="279"/>
        <v>0</v>
      </c>
      <c r="BQ79" s="111">
        <f t="shared" si="279"/>
        <v>0</v>
      </c>
      <c r="BR79" s="111">
        <f t="shared" si="279"/>
        <v>0</v>
      </c>
      <c r="BS79" s="111">
        <f>IFERROR(BB79/(SUM(O5:INDEX(O5:Q5,IF($B$2&lt;3,$B$2,3)))/SUM(O55:INDEX(O55:Q55,IF($B$2&lt;3,$B$2,3)))),0)</f>
        <v>0.78482079309892239</v>
      </c>
      <c r="BT79" s="111">
        <f>IFERROR(BC79/(SUM(R5:INDEX(R5:T5,IF($B$2&lt;7,$B$2-3,3)))/SUM(R55:INDEX(R55:T55,IF($B$2&lt;7,$B$2-3,3)))),0)</f>
        <v>0.92413905583669476</v>
      </c>
      <c r="BU79" s="111">
        <f>BD79/(SUM(U5:INDEX(U5:W5,IF($B$2&lt;7,$B$2-3,IF($B$2&lt;9,$B$2-6,3))))/SUM(U55:INDEX(U55:W55,IF($B$2&lt;7,$B$2-3,IF($B$2&lt;9,$B$2-6,3)))))</f>
        <v>0.99930518625315723</v>
      </c>
      <c r="BV79" s="111"/>
      <c r="BW79" s="111">
        <f t="shared" ref="BW79:BW86" si="283">IFERROR(BF79/AA79,0)</f>
        <v>0.87969344553184636</v>
      </c>
    </row>
    <row r="80" spans="1:75" x14ac:dyDescent="0.25">
      <c r="A80" s="20" t="str">
        <f t="shared" si="280"/>
        <v>CaseSize_by_rookie_mdrt:Rookie last month</v>
      </c>
      <c r="B80" t="s">
        <v>6</v>
      </c>
      <c r="C80" s="4">
        <f t="shared" ref="C80:AJ80" si="284">IFERROR(C6/C56,"")</f>
        <v>12.272657894736842</v>
      </c>
      <c r="D80" s="4">
        <f t="shared" si="284"/>
        <v>15.917481481481461</v>
      </c>
      <c r="E80" s="4">
        <f t="shared" si="284"/>
        <v>27.707135135135136</v>
      </c>
      <c r="F80" s="4">
        <f t="shared" si="284"/>
        <v>18.574408695652171</v>
      </c>
      <c r="G80" s="4">
        <f t="shared" si="284"/>
        <v>15.756512605042017</v>
      </c>
      <c r="H80" s="4">
        <f t="shared" si="284"/>
        <v>17.131508474576272</v>
      </c>
      <c r="I80" s="4">
        <f t="shared" si="284"/>
        <v>15.45922018348624</v>
      </c>
      <c r="J80" s="4">
        <f t="shared" si="284"/>
        <v>16.096270270270271</v>
      </c>
      <c r="K80" s="4">
        <f t="shared" si="284"/>
        <v>18.945461883408072</v>
      </c>
      <c r="L80" s="4">
        <f t="shared" si="284"/>
        <v>19.736463157894736</v>
      </c>
      <c r="M80" s="4">
        <f t="shared" si="284"/>
        <v>14.543616161616162</v>
      </c>
      <c r="N80" s="4">
        <f t="shared" si="284"/>
        <v>14.40014481408998</v>
      </c>
      <c r="O80" s="4">
        <f t="shared" si="284"/>
        <v>15.584983870967726</v>
      </c>
      <c r="P80" s="4">
        <f t="shared" si="284"/>
        <v>14.537285714285716</v>
      </c>
      <c r="Q80" s="4">
        <f t="shared" si="284"/>
        <v>21.21835294117647</v>
      </c>
      <c r="R80" s="4">
        <f t="shared" si="284"/>
        <v>16.361619999999998</v>
      </c>
      <c r="S80" s="4">
        <f t="shared" si="284"/>
        <v>19.507380000000001</v>
      </c>
      <c r="T80" s="4">
        <f t="shared" si="284"/>
        <v>16.584309433962265</v>
      </c>
      <c r="U80" s="4">
        <f t="shared" si="284"/>
        <v>14.353150375939849</v>
      </c>
      <c r="V80" s="4">
        <f t="shared" si="284"/>
        <v>12.644315789473685</v>
      </c>
      <c r="W80" s="4">
        <f t="shared" si="284"/>
        <v>15.878701986754969</v>
      </c>
      <c r="X80" s="4">
        <f t="shared" si="284"/>
        <v>24.152524096385541</v>
      </c>
      <c r="Y80" s="4">
        <f t="shared" si="284"/>
        <v>19.861672489083013</v>
      </c>
      <c r="Z80" s="4">
        <f t="shared" si="284"/>
        <v>17.097616797900208</v>
      </c>
      <c r="AA80" s="4">
        <f t="shared" si="284"/>
        <v>16.728343341031557</v>
      </c>
      <c r="AB80" s="4">
        <f t="shared" si="284"/>
        <v>17.564835820895517</v>
      </c>
      <c r="AC80" s="4">
        <f t="shared" si="284"/>
        <v>17.261181699346405</v>
      </c>
      <c r="AD80" s="4">
        <f t="shared" si="284"/>
        <v>14.532620052770449</v>
      </c>
      <c r="AE80" s="4">
        <f t="shared" si="284"/>
        <v>20.178886421861659</v>
      </c>
      <c r="AF80" s="4">
        <f t="shared" si="284"/>
        <v>16.77561305732484</v>
      </c>
      <c r="AG80" s="4">
        <f t="shared" si="284"/>
        <v>16.870838323353286</v>
      </c>
      <c r="AH80" s="4">
        <f t="shared" si="284"/>
        <v>17.138068181818184</v>
      </c>
      <c r="AI80" s="4">
        <f t="shared" si="284"/>
        <v>16.939212224108658</v>
      </c>
      <c r="AJ80" s="4">
        <f t="shared" si="284"/>
        <v>15.559552836484961</v>
      </c>
      <c r="AK80" s="31">
        <f t="shared" si="282"/>
        <v>-2.8177638654250936E-3</v>
      </c>
      <c r="AL80" s="31">
        <f t="shared" si="276"/>
        <v>4.1135922485936671E-2</v>
      </c>
      <c r="AM80" s="31">
        <f t="shared" si="276"/>
        <v>7.1836286460122967E-3</v>
      </c>
      <c r="AN80" s="31">
        <f t="shared" si="276"/>
        <v>-0.14207226047460686</v>
      </c>
      <c r="AO80" s="31">
        <f t="shared" si="276"/>
        <v>0.29688087015874975</v>
      </c>
      <c r="AP80" s="4">
        <f t="shared" si="277"/>
        <v>15.254915662650602</v>
      </c>
      <c r="AQ80" s="4">
        <f t="shared" si="277"/>
        <v>15.42413043478261</v>
      </c>
      <c r="AR80" s="4">
        <f t="shared" si="277"/>
        <v>16.414825870646766</v>
      </c>
      <c r="AS80" s="4">
        <f t="shared" si="277"/>
        <v>16.736656249999999</v>
      </c>
      <c r="AT80" s="4">
        <f t="shared" si="277"/>
        <v>20.559493670886077</v>
      </c>
      <c r="AU80" s="4">
        <f t="shared" si="277"/>
        <v>14.470738255033556</v>
      </c>
      <c r="AV80" s="4">
        <f t="shared" si="277"/>
        <v>17.991520661157018</v>
      </c>
      <c r="BB80" s="4">
        <f t="shared" si="278"/>
        <v>15.948450424929177</v>
      </c>
      <c r="BC80" s="4">
        <f t="shared" si="278"/>
        <v>17.349039080459772</v>
      </c>
      <c r="BD80" s="4">
        <f t="shared" si="278"/>
        <v>17.991520661157018</v>
      </c>
      <c r="BE80" s="4" t="str">
        <f t="shared" si="278"/>
        <v/>
      </c>
      <c r="BF80" s="4">
        <f t="shared" si="278"/>
        <v>16.890658965896588</v>
      </c>
      <c r="BG80" s="122">
        <f t="shared" si="279"/>
        <v>0.97882139557860004</v>
      </c>
      <c r="BH80" s="111">
        <f t="shared" si="279"/>
        <v>1.0610048352854067</v>
      </c>
      <c r="BI80" s="111">
        <f t="shared" si="279"/>
        <v>0.77361451740168063</v>
      </c>
      <c r="BJ80" s="111">
        <f t="shared" si="279"/>
        <v>1.0229217064080451</v>
      </c>
      <c r="BK80" s="111">
        <f t="shared" si="279"/>
        <v>1.0539341352291325</v>
      </c>
      <c r="BL80" s="111">
        <f t="shared" si="279"/>
        <v>0.87255597302107613</v>
      </c>
      <c r="BM80" s="111">
        <f t="shared" si="279"/>
        <v>1.2534893169736563</v>
      </c>
      <c r="BN80" s="111">
        <f t="shared" si="279"/>
        <v>0</v>
      </c>
      <c r="BO80" s="111">
        <f t="shared" si="279"/>
        <v>0</v>
      </c>
      <c r="BP80" s="111">
        <f t="shared" si="279"/>
        <v>0</v>
      </c>
      <c r="BQ80" s="111">
        <f t="shared" si="279"/>
        <v>0</v>
      </c>
      <c r="BR80" s="111">
        <f t="shared" si="279"/>
        <v>0</v>
      </c>
      <c r="BS80" s="111">
        <f>IFERROR(BB80/(SUM(O6:INDEX(O6:Q6,IF($B$2&lt;3,$B$2,3)))/SUM(O56:INDEX(O56:Q56,IF($B$2&lt;3,$B$2,3)))),0)</f>
        <v>0.90797606009824172</v>
      </c>
      <c r="BT80" s="111">
        <f>IFERROR(BC80/(SUM(R6:INDEX(R6:T6,IF($B$2&lt;7,$B$2-3,3)))/SUM(R56:INDEX(R56:T56,IF($B$2&lt;7,$B$2-3,3)))),0)</f>
        <v>1.0050898821786165</v>
      </c>
      <c r="BU80" s="111">
        <f>BD80/(SUM(U6:INDEX(U6:W6,IF($B$2&lt;7,$B$2-3,IF($B$2&lt;9,$B$2-6,3))))/SUM(U56:INDEX(U56:W56,IF($B$2&lt;7,$B$2-3,IF($B$2&lt;9,$B$2-6,3)))))</f>
        <v>1.2534893169736563</v>
      </c>
      <c r="BV80" s="111"/>
      <c r="BW80" s="111">
        <f t="shared" si="283"/>
        <v>1.009703030452926</v>
      </c>
    </row>
    <row r="81" spans="1:75" x14ac:dyDescent="0.25">
      <c r="A81" s="20" t="str">
        <f t="shared" si="280"/>
        <v>CaseSize_by_rookie_mdrt:2-3 months</v>
      </c>
      <c r="B81" t="s">
        <v>7</v>
      </c>
      <c r="C81" s="4">
        <f t="shared" ref="C81:AJ81" si="285">IFERROR(C7/C57,"")</f>
        <v>13.188753246753247</v>
      </c>
      <c r="D81" s="4">
        <f t="shared" si="285"/>
        <v>13.030279069767442</v>
      </c>
      <c r="E81" s="4">
        <f t="shared" si="285"/>
        <v>18.94874603174603</v>
      </c>
      <c r="F81" s="4">
        <f t="shared" si="285"/>
        <v>15.064047619047621</v>
      </c>
      <c r="G81" s="4">
        <f t="shared" si="285"/>
        <v>16.235396825396823</v>
      </c>
      <c r="H81" s="4">
        <f t="shared" si="285"/>
        <v>18.597984168865384</v>
      </c>
      <c r="I81" s="4">
        <f t="shared" si="285"/>
        <v>15.567422360248447</v>
      </c>
      <c r="J81" s="4">
        <f t="shared" si="285"/>
        <v>14.518873684210526</v>
      </c>
      <c r="K81" s="4">
        <f t="shared" si="285"/>
        <v>15.355219178082192</v>
      </c>
      <c r="L81" s="4">
        <f t="shared" si="285"/>
        <v>19.448763636363637</v>
      </c>
      <c r="M81" s="4">
        <f t="shared" si="285"/>
        <v>16.079619289340101</v>
      </c>
      <c r="N81" s="4">
        <f t="shared" si="285"/>
        <v>16.162363013698631</v>
      </c>
      <c r="O81" s="4">
        <f t="shared" si="285"/>
        <v>15.025489361702128</v>
      </c>
      <c r="P81" s="4">
        <f t="shared" si="285"/>
        <v>20.085987012987015</v>
      </c>
      <c r="Q81" s="4">
        <f t="shared" si="285"/>
        <v>20.909401785714287</v>
      </c>
      <c r="R81" s="4">
        <f t="shared" si="285"/>
        <v>17.368819999999982</v>
      </c>
      <c r="S81" s="4">
        <f t="shared" si="285"/>
        <v>20.419537313432834</v>
      </c>
      <c r="T81" s="4">
        <f t="shared" si="285"/>
        <v>17.593969620253166</v>
      </c>
      <c r="U81" s="4">
        <f t="shared" si="285"/>
        <v>19.410223776223773</v>
      </c>
      <c r="V81" s="4">
        <f t="shared" si="285"/>
        <v>17.5893488372093</v>
      </c>
      <c r="W81" s="4">
        <f t="shared" si="285"/>
        <v>15.45973282442748</v>
      </c>
      <c r="X81" s="4">
        <f t="shared" si="285"/>
        <v>17.124852272727274</v>
      </c>
      <c r="Y81" s="4">
        <f t="shared" si="285"/>
        <v>26.332230337078727</v>
      </c>
      <c r="Z81" s="4">
        <f t="shared" si="285"/>
        <v>32.183423404255535</v>
      </c>
      <c r="AA81" s="4">
        <f t="shared" si="285"/>
        <v>18.881251275510206</v>
      </c>
      <c r="AB81" s="4">
        <f t="shared" si="285"/>
        <v>19.066554913294802</v>
      </c>
      <c r="AC81" s="4">
        <f t="shared" si="285"/>
        <v>18.556927916120575</v>
      </c>
      <c r="AD81" s="4">
        <f t="shared" si="285"/>
        <v>17.543208436724566</v>
      </c>
      <c r="AE81" s="4">
        <f t="shared" si="285"/>
        <v>28.683516969697116</v>
      </c>
      <c r="AF81" s="4">
        <f t="shared" si="285"/>
        <v>16.325156479217593</v>
      </c>
      <c r="AG81" s="4">
        <f t="shared" si="285"/>
        <v>15.652871972318341</v>
      </c>
      <c r="AH81" s="4">
        <f t="shared" si="285"/>
        <v>17.184627717391276</v>
      </c>
      <c r="AI81" s="4">
        <f t="shared" si="285"/>
        <v>15.242562189054727</v>
      </c>
      <c r="AJ81" s="4">
        <f t="shared" si="285"/>
        <v>16.818643536121673</v>
      </c>
      <c r="AK81" s="31">
        <f t="shared" si="282"/>
        <v>0.15657398442376924</v>
      </c>
      <c r="AL81" s="31">
        <f t="shared" si="276"/>
        <v>0.2180866838375386</v>
      </c>
      <c r="AM81" s="31">
        <f t="shared" si="276"/>
        <v>7.9856265803215365E-2</v>
      </c>
      <c r="AN81" s="31">
        <f t="shared" si="276"/>
        <v>0.15093566417080928</v>
      </c>
      <c r="AO81" s="31">
        <f t="shared" si="276"/>
        <v>0.70545959358096044</v>
      </c>
      <c r="AP81" s="4">
        <f t="shared" si="277"/>
        <v>17.411794797687861</v>
      </c>
      <c r="AQ81" s="4">
        <f t="shared" si="277"/>
        <v>21.798480769230768</v>
      </c>
      <c r="AR81" s="4">
        <f t="shared" si="277"/>
        <v>15.661879194630872</v>
      </c>
      <c r="AS81" s="4">
        <f t="shared" si="277"/>
        <v>17.133450381679388</v>
      </c>
      <c r="AT81" s="4">
        <f t="shared" si="277"/>
        <v>18.370097560975609</v>
      </c>
      <c r="AU81" s="4">
        <f t="shared" si="277"/>
        <v>19.47279826464208</v>
      </c>
      <c r="AV81" s="4">
        <f t="shared" si="277"/>
        <v>19.804852348993268</v>
      </c>
      <c r="BB81" s="4">
        <f t="shared" si="278"/>
        <v>18.641404716981132</v>
      </c>
      <c r="BC81" s="4">
        <f t="shared" si="278"/>
        <v>18.532801412180049</v>
      </c>
      <c r="BD81" s="4">
        <f t="shared" si="278"/>
        <v>19.804852348993268</v>
      </c>
      <c r="BE81" s="4" t="str">
        <f t="shared" si="278"/>
        <v/>
      </c>
      <c r="BF81" s="4">
        <f t="shared" si="278"/>
        <v>18.731191890806901</v>
      </c>
      <c r="BG81" s="122">
        <f t="shared" si="279"/>
        <v>1.1588171525426714</v>
      </c>
      <c r="BH81" s="111">
        <f t="shared" si="279"/>
        <v>1.0852581332018438</v>
      </c>
      <c r="BI81" s="111">
        <f t="shared" si="279"/>
        <v>0.7490352595994102</v>
      </c>
      <c r="BJ81" s="111">
        <f t="shared" si="279"/>
        <v>0.98644872718350507</v>
      </c>
      <c r="BK81" s="111">
        <f t="shared" si="279"/>
        <v>0.8996333892879631</v>
      </c>
      <c r="BL81" s="111">
        <f t="shared" si="279"/>
        <v>1.1067882169255376</v>
      </c>
      <c r="BM81" s="111">
        <f t="shared" si="279"/>
        <v>1.0203309646153018</v>
      </c>
      <c r="BN81" s="111">
        <f t="shared" si="279"/>
        <v>0</v>
      </c>
      <c r="BO81" s="111">
        <f t="shared" si="279"/>
        <v>0</v>
      </c>
      <c r="BP81" s="111">
        <f t="shared" si="279"/>
        <v>0</v>
      </c>
      <c r="BQ81" s="111">
        <f t="shared" si="279"/>
        <v>0</v>
      </c>
      <c r="BR81" s="111">
        <f t="shared" si="279"/>
        <v>0</v>
      </c>
      <c r="BS81" s="111">
        <f>IFERROR(BB81/(SUM(O7:INDEX(O7:Q7,IF($B$2&lt;3,$B$2,3)))/SUM(O57:INDEX(O57:Q57,IF($B$2&lt;3,$B$2,3)))),0)</f>
        <v>0.97770178208664116</v>
      </c>
      <c r="BT81" s="111">
        <f>IFERROR(BC81/(SUM(R7:INDEX(R7:T7,IF($B$2&lt;7,$B$2-3,3)))/SUM(R57:INDEX(R57:T57,IF($B$2&lt;7,$B$2-3,3)))),0)</f>
        <v>0.99869986540608557</v>
      </c>
      <c r="BU81" s="111">
        <f>BD81/(SUM(U7:INDEX(U7:W7,IF($B$2&lt;7,$B$2-3,IF($B$2&lt;9,$B$2-6,3))))/SUM(U57:INDEX(U57:W57,IF($B$2&lt;7,$B$2-3,IF($B$2&lt;9,$B$2-6,3)))))</f>
        <v>1.0203309646153018</v>
      </c>
      <c r="BV81" s="111"/>
      <c r="BW81" s="111">
        <f t="shared" si="283"/>
        <v>0.99205246609381559</v>
      </c>
    </row>
    <row r="82" spans="1:75" x14ac:dyDescent="0.25">
      <c r="A82" s="20" t="str">
        <f t="shared" si="280"/>
        <v>CaseSize_by_rookie_mdrt:4 - 6 mths</v>
      </c>
      <c r="B82" t="s">
        <v>8</v>
      </c>
      <c r="C82" s="4">
        <f t="shared" ref="C82:AJ82" si="286">IFERROR(C8/C58,"")</f>
        <v>6.8445471698113209</v>
      </c>
      <c r="D82" s="4">
        <f t="shared" si="286"/>
        <v>16.041604651162789</v>
      </c>
      <c r="E82" s="4">
        <f t="shared" si="286"/>
        <v>20.238</v>
      </c>
      <c r="F82" s="4">
        <f t="shared" si="286"/>
        <v>14.963740566037737</v>
      </c>
      <c r="G82" s="4">
        <f t="shared" si="286"/>
        <v>15.214456140350878</v>
      </c>
      <c r="H82" s="4">
        <f t="shared" si="286"/>
        <v>18.677173913043479</v>
      </c>
      <c r="I82" s="4">
        <f t="shared" si="286"/>
        <v>24.803630681818184</v>
      </c>
      <c r="J82" s="4">
        <f t="shared" si="286"/>
        <v>17.829767241379312</v>
      </c>
      <c r="K82" s="4">
        <f t="shared" si="286"/>
        <v>14.851494413407766</v>
      </c>
      <c r="L82" s="4">
        <f t="shared" si="286"/>
        <v>18.617431906614787</v>
      </c>
      <c r="M82" s="4">
        <f t="shared" si="286"/>
        <v>15.549158469945356</v>
      </c>
      <c r="N82" s="4">
        <f t="shared" si="286"/>
        <v>25.974134715025905</v>
      </c>
      <c r="O82" s="4">
        <f t="shared" si="286"/>
        <v>13.214505050505052</v>
      </c>
      <c r="P82" s="4">
        <f t="shared" si="286"/>
        <v>11.904695652173913</v>
      </c>
      <c r="Q82" s="4">
        <f t="shared" si="286"/>
        <v>16.117408163265306</v>
      </c>
      <c r="R82" s="4">
        <f t="shared" si="286"/>
        <v>26.57314024390244</v>
      </c>
      <c r="S82" s="4">
        <f t="shared" si="286"/>
        <v>20.15675641025641</v>
      </c>
      <c r="T82" s="4">
        <f t="shared" si="286"/>
        <v>17.996963855421686</v>
      </c>
      <c r="U82" s="4">
        <f t="shared" si="286"/>
        <v>16.161168421052629</v>
      </c>
      <c r="V82" s="4">
        <f t="shared" si="286"/>
        <v>19.8397734375</v>
      </c>
      <c r="W82" s="4">
        <f t="shared" si="286"/>
        <v>21.789536723163842</v>
      </c>
      <c r="X82" s="4">
        <f t="shared" si="286"/>
        <v>25.897059800664454</v>
      </c>
      <c r="Y82" s="4">
        <f t="shared" si="286"/>
        <v>17.710928888888887</v>
      </c>
      <c r="Z82" s="4">
        <f t="shared" si="286"/>
        <v>16.911466453674119</v>
      </c>
      <c r="AA82" s="4">
        <f t="shared" si="286"/>
        <v>18.91362113207547</v>
      </c>
      <c r="AB82" s="4">
        <f t="shared" si="286"/>
        <v>14.725744329896907</v>
      </c>
      <c r="AC82" s="4">
        <f t="shared" si="286"/>
        <v>22.842984615384612</v>
      </c>
      <c r="AD82" s="4">
        <f t="shared" si="286"/>
        <v>19.828874999999996</v>
      </c>
      <c r="AE82" s="4">
        <f t="shared" si="286"/>
        <v>20.349538736591178</v>
      </c>
      <c r="AF82" s="4">
        <f t="shared" si="286"/>
        <v>17.191585492227979</v>
      </c>
      <c r="AG82" s="4">
        <f t="shared" si="286"/>
        <v>15.264268156424581</v>
      </c>
      <c r="AH82" s="4">
        <f t="shared" si="286"/>
        <v>16.150334935897437</v>
      </c>
      <c r="AI82" s="4">
        <f t="shared" si="286"/>
        <v>18.040182767623996</v>
      </c>
      <c r="AJ82" s="4">
        <f t="shared" si="286"/>
        <v>20.31881863230922</v>
      </c>
      <c r="AK82" s="31">
        <f t="shared" si="282"/>
        <v>0.10016735458320536</v>
      </c>
      <c r="AL82" s="31">
        <f t="shared" si="276"/>
        <v>-3.5280029216534392E-2</v>
      </c>
      <c r="AM82" s="31">
        <f t="shared" si="276"/>
        <v>0.41439695870401971</v>
      </c>
      <c r="AN82" s="31">
        <f t="shared" si="276"/>
        <v>9.9150449605538205E-2</v>
      </c>
      <c r="AO82" s="31">
        <f t="shared" si="276"/>
        <v>1.5119040549487206E-3</v>
      </c>
      <c r="AP82" s="4">
        <f t="shared" si="277"/>
        <v>20.015096774193548</v>
      </c>
      <c r="AQ82" s="4">
        <f t="shared" si="277"/>
        <v>24.977717105263157</v>
      </c>
      <c r="AR82" s="4">
        <f t="shared" si="277"/>
        <v>19.618100358422939</v>
      </c>
      <c r="AS82" s="4">
        <f t="shared" si="277"/>
        <v>19.590602977667494</v>
      </c>
      <c r="AT82" s="4">
        <f t="shared" si="277"/>
        <v>19.74513043478261</v>
      </c>
      <c r="AU82" s="4">
        <f t="shared" si="277"/>
        <v>19.322675438596491</v>
      </c>
      <c r="AV82" s="4">
        <f t="shared" si="277"/>
        <v>17.902043795620429</v>
      </c>
      <c r="BB82" s="4">
        <f t="shared" si="278"/>
        <v>21.320484787018255</v>
      </c>
      <c r="BC82" s="4">
        <f t="shared" si="278"/>
        <v>19.51104958677686</v>
      </c>
      <c r="BD82" s="4">
        <f t="shared" si="278"/>
        <v>17.902043795620429</v>
      </c>
      <c r="BE82" s="4" t="str">
        <f t="shared" si="278"/>
        <v/>
      </c>
      <c r="BF82" s="4">
        <f t="shared" si="278"/>
        <v>20.082882503192845</v>
      </c>
      <c r="BG82" s="122">
        <f t="shared" si="279"/>
        <v>1.5146308316275972</v>
      </c>
      <c r="BH82" s="111">
        <f t="shared" si="279"/>
        <v>2.0981399134468406</v>
      </c>
      <c r="BI82" s="111">
        <f t="shared" si="279"/>
        <v>1.2171994504138939</v>
      </c>
      <c r="BJ82" s="111">
        <f t="shared" si="279"/>
        <v>0.7372332662927491</v>
      </c>
      <c r="BK82" s="111">
        <f t="shared" si="279"/>
        <v>0.97957875924598903</v>
      </c>
      <c r="BL82" s="111">
        <f t="shared" si="279"/>
        <v>1.0736630686056208</v>
      </c>
      <c r="BM82" s="111">
        <f t="shared" si="279"/>
        <v>1.1077196480608431</v>
      </c>
      <c r="BN82" s="111">
        <f t="shared" si="279"/>
        <v>0</v>
      </c>
      <c r="BO82" s="111">
        <f t="shared" si="279"/>
        <v>0</v>
      </c>
      <c r="BP82" s="111">
        <f t="shared" si="279"/>
        <v>0</v>
      </c>
      <c r="BQ82" s="111">
        <f t="shared" si="279"/>
        <v>0</v>
      </c>
      <c r="BR82" s="111">
        <f t="shared" si="279"/>
        <v>0</v>
      </c>
      <c r="BS82" s="111">
        <f>IFERROR(BB82/(SUM(O8:INDEX(O8:Q8,IF($B$2&lt;3,$B$2,3)))/SUM(O58:INDEX(O58:Q58,IF($B$2&lt;3,$B$2,3)))),0)</f>
        <v>1.4478374952994664</v>
      </c>
      <c r="BT82" s="111">
        <f>IFERROR(BC82/(SUM(R8:INDEX(R8:T8,IF($B$2&lt;7,$B$2-3,3)))/SUM(R58:INDEX(R58:T58,IF($B$2&lt;7,$B$2-3,3)))),0)</f>
        <v>0.85413749189483257</v>
      </c>
      <c r="BU82" s="111">
        <f>BD82/(SUM(U8:INDEX(U8:W8,IF($B$2&lt;7,$B$2-3,IF($B$2&lt;9,$B$2-6,3))))/SUM(U58:INDEX(U58:W58,IF($B$2&lt;7,$B$2-3,IF($B$2&lt;9,$B$2-6,3)))))</f>
        <v>1.1077196480608431</v>
      </c>
      <c r="BV82" s="111"/>
      <c r="BW82" s="111">
        <f t="shared" si="283"/>
        <v>1.0618211268456907</v>
      </c>
    </row>
    <row r="83" spans="1:75" x14ac:dyDescent="0.25">
      <c r="A83" s="20" t="str">
        <f t="shared" si="280"/>
        <v>CaseSize_by_rookie_mdrt:7-12mth</v>
      </c>
      <c r="B83" t="s">
        <v>1</v>
      </c>
      <c r="C83" s="4">
        <f t="shared" ref="C83:AJ83" si="287">IFERROR(C9/C59,"")</f>
        <v>11.2874</v>
      </c>
      <c r="D83" s="4">
        <f t="shared" si="287"/>
        <v>14.020820512820514</v>
      </c>
      <c r="E83" s="4">
        <f t="shared" si="287"/>
        <v>12.777671428571429</v>
      </c>
      <c r="F83" s="4">
        <f t="shared" si="287"/>
        <v>18.312116883116882</v>
      </c>
      <c r="G83" s="4">
        <f t="shared" si="287"/>
        <v>15.928777777777778</v>
      </c>
      <c r="H83" s="4">
        <f t="shared" si="287"/>
        <v>39.556892376681617</v>
      </c>
      <c r="I83" s="4">
        <f t="shared" si="287"/>
        <v>21.7843203125</v>
      </c>
      <c r="J83" s="4">
        <f t="shared" si="287"/>
        <v>15.157414893617021</v>
      </c>
      <c r="K83" s="4">
        <f t="shared" si="287"/>
        <v>22.009</v>
      </c>
      <c r="L83" s="4">
        <f t="shared" si="287"/>
        <v>25.130366666666664</v>
      </c>
      <c r="M83" s="4">
        <f t="shared" si="287"/>
        <v>19.058154676259029</v>
      </c>
      <c r="N83" s="4">
        <f t="shared" si="287"/>
        <v>20.556903914590784</v>
      </c>
      <c r="O83" s="4">
        <f t="shared" si="287"/>
        <v>14.951500000000001</v>
      </c>
      <c r="P83" s="4">
        <f t="shared" si="287"/>
        <v>14.628892857142857</v>
      </c>
      <c r="Q83" s="4">
        <f t="shared" si="287"/>
        <v>17.62179674796748</v>
      </c>
      <c r="R83" s="4">
        <f t="shared" si="287"/>
        <v>15.343121495327102</v>
      </c>
      <c r="S83" s="4">
        <f t="shared" si="287"/>
        <v>19.045999999999999</v>
      </c>
      <c r="T83" s="4">
        <f t="shared" si="287"/>
        <v>16.033900621118011</v>
      </c>
      <c r="U83" s="4">
        <f t="shared" si="287"/>
        <v>16.93796062992126</v>
      </c>
      <c r="V83" s="4">
        <f t="shared" si="287"/>
        <v>18.394604562737641</v>
      </c>
      <c r="W83" s="4">
        <f t="shared" si="287"/>
        <v>19.751737931034484</v>
      </c>
      <c r="X83" s="4">
        <f t="shared" si="287"/>
        <v>20.908626016260161</v>
      </c>
      <c r="Y83" s="4">
        <f t="shared" si="287"/>
        <v>21.907093023255811</v>
      </c>
      <c r="Z83" s="4">
        <f t="shared" si="287"/>
        <v>23.347679214402653</v>
      </c>
      <c r="AA83" s="4">
        <f t="shared" si="287"/>
        <v>16.553432098765434</v>
      </c>
      <c r="AB83" s="4">
        <f t="shared" si="287"/>
        <v>16.250163179916321</v>
      </c>
      <c r="AC83" s="4">
        <f t="shared" si="287"/>
        <v>16.618573002754818</v>
      </c>
      <c r="AD83" s="4">
        <f t="shared" si="287"/>
        <v>18.423825278810412</v>
      </c>
      <c r="AE83" s="4">
        <f t="shared" si="287"/>
        <v>22.400158508158526</v>
      </c>
      <c r="AF83" s="4">
        <f t="shared" si="287"/>
        <v>22.172513955726657</v>
      </c>
      <c r="AG83" s="4">
        <f t="shared" si="287"/>
        <v>12.813966346153846</v>
      </c>
      <c r="AH83" s="4">
        <f t="shared" si="287"/>
        <v>25.730697391304346</v>
      </c>
      <c r="AI83" s="4">
        <f t="shared" si="287"/>
        <v>20.292653061224492</v>
      </c>
      <c r="AJ83" s="4">
        <f t="shared" si="287"/>
        <v>20.751547864506659</v>
      </c>
      <c r="AK83" s="31">
        <f t="shared" si="282"/>
        <v>-0.25342556410974504</v>
      </c>
      <c r="AL83" s="31">
        <f t="shared" si="276"/>
        <v>0.2681602823776621</v>
      </c>
      <c r="AM83" s="31">
        <f t="shared" si="276"/>
        <v>-0.35413437303992223</v>
      </c>
      <c r="AN83" s="31">
        <f t="shared" si="276"/>
        <v>-9.2093812315998447E-2</v>
      </c>
      <c r="AO83" s="31">
        <f t="shared" si="276"/>
        <v>7.9445189072938627E-2</v>
      </c>
      <c r="AP83" s="4">
        <f t="shared" si="277"/>
        <v>14.291323529411764</v>
      </c>
      <c r="AQ83" s="4">
        <f t="shared" si="277"/>
        <v>14.49</v>
      </c>
      <c r="AR83" s="4">
        <f t="shared" si="277"/>
        <v>16.381875000000001</v>
      </c>
      <c r="AS83" s="4">
        <f t="shared" si="277"/>
        <v>21.535475806451611</v>
      </c>
      <c r="AT83" s="4">
        <f t="shared" si="277"/>
        <v>11.553561320754717</v>
      </c>
      <c r="AU83" s="4">
        <f t="shared" si="277"/>
        <v>20.031886409736305</v>
      </c>
      <c r="AV83" s="4">
        <f t="shared" si="277"/>
        <v>21.123994579945816</v>
      </c>
      <c r="BB83" s="4">
        <f t="shared" si="278"/>
        <v>15.447582781456953</v>
      </c>
      <c r="BC83" s="4">
        <f t="shared" si="278"/>
        <v>14.284512925728354</v>
      </c>
      <c r="BD83" s="4">
        <f t="shared" si="278"/>
        <v>21.123994579945816</v>
      </c>
      <c r="BE83" s="4" t="str">
        <f t="shared" si="278"/>
        <v/>
      </c>
      <c r="BF83" s="4">
        <f t="shared" si="278"/>
        <v>15.209550193050195</v>
      </c>
      <c r="BG83" s="122">
        <f t="shared" si="279"/>
        <v>0.95584546897714362</v>
      </c>
      <c r="BH83" s="111">
        <f t="shared" si="279"/>
        <v>0.99050557971138331</v>
      </c>
      <c r="BI83" s="111">
        <f t="shared" si="279"/>
        <v>0.92963704180105855</v>
      </c>
      <c r="BJ83" s="111">
        <f t="shared" si="279"/>
        <v>1.4035915581461342</v>
      </c>
      <c r="BK83" s="111">
        <f t="shared" si="279"/>
        <v>0.60661353148979935</v>
      </c>
      <c r="BL83" s="111">
        <f t="shared" si="279"/>
        <v>1.2493458006938503</v>
      </c>
      <c r="BM83" s="111">
        <f t="shared" si="279"/>
        <v>1.2471391947050485</v>
      </c>
      <c r="BN83" s="111">
        <f t="shared" si="279"/>
        <v>0</v>
      </c>
      <c r="BO83" s="111">
        <f t="shared" si="279"/>
        <v>0</v>
      </c>
      <c r="BP83" s="111">
        <f t="shared" si="279"/>
        <v>0</v>
      </c>
      <c r="BQ83" s="111">
        <f t="shared" si="279"/>
        <v>0</v>
      </c>
      <c r="BR83" s="111">
        <f t="shared" si="279"/>
        <v>0</v>
      </c>
      <c r="BS83" s="111">
        <f>IFERROR(BB83/(SUM(O9:INDEX(O9:Q9,IF($B$2&lt;3,$B$2,3)))/SUM(O59:INDEX(O59:Q59,IF($B$2&lt;3,$B$2,3)))),0)</f>
        <v>0.95061093297504351</v>
      </c>
      <c r="BT83" s="111">
        <f>IFERROR(BC83/(SUM(R9:INDEX(R9:T9,IF($B$2&lt;7,$B$2-3,3)))/SUM(R59:INDEX(R59:T59,IF($B$2&lt;7,$B$2-3,3)))),0)</f>
        <v>0.85955111328514466</v>
      </c>
      <c r="BU83" s="111">
        <f>BD83/(SUM(U9:INDEX(U9:W9,IF($B$2&lt;7,$B$2-3,IF($B$2&lt;9,$B$2-6,3))))/SUM(U59:INDEX(U59:W59,IF($B$2&lt;7,$B$2-3,IF($B$2&lt;9,$B$2-6,3)))))</f>
        <v>1.2471391947050485</v>
      </c>
      <c r="BV83" s="111"/>
      <c r="BW83" s="111">
        <f t="shared" si="283"/>
        <v>0.91881551223353453</v>
      </c>
    </row>
    <row r="84" spans="1:75" x14ac:dyDescent="0.25">
      <c r="A84" s="20" t="str">
        <f t="shared" si="280"/>
        <v>CaseSize_by_rookie_mdrt:13+mth</v>
      </c>
      <c r="B84" t="s">
        <v>2</v>
      </c>
      <c r="C84" s="4">
        <f t="shared" ref="C84:AJ84" si="288">IFERROR(C10/C60,"")</f>
        <v>13.929083333333333</v>
      </c>
      <c r="D84" s="4">
        <f t="shared" si="288"/>
        <v>20.834769230769229</v>
      </c>
      <c r="E84" s="4">
        <f t="shared" si="288"/>
        <v>25.093136363636361</v>
      </c>
      <c r="F84" s="4">
        <f t="shared" si="288"/>
        <v>21.55777777777778</v>
      </c>
      <c r="G84" s="4">
        <f t="shared" si="288"/>
        <v>18.706124999999997</v>
      </c>
      <c r="H84" s="4">
        <f t="shared" si="288"/>
        <v>23.125835820895524</v>
      </c>
      <c r="I84" s="4">
        <f t="shared" si="288"/>
        <v>19.168636363636367</v>
      </c>
      <c r="J84" s="4">
        <f t="shared" si="288"/>
        <v>17.002506024096387</v>
      </c>
      <c r="K84" s="4">
        <f t="shared" si="288"/>
        <v>45.677237500000004</v>
      </c>
      <c r="L84" s="4">
        <f t="shared" si="288"/>
        <v>-17.779970149253732</v>
      </c>
      <c r="M84" s="4">
        <f t="shared" si="288"/>
        <v>18.761503968253969</v>
      </c>
      <c r="N84" s="4">
        <f t="shared" si="288"/>
        <v>23.461231578947316</v>
      </c>
      <c r="O84" s="4">
        <f t="shared" si="288"/>
        <v>14.560658536585365</v>
      </c>
      <c r="P84" s="4">
        <f t="shared" si="288"/>
        <v>31.556590909090911</v>
      </c>
      <c r="Q84" s="4">
        <f t="shared" si="288"/>
        <v>16.501870967741937</v>
      </c>
      <c r="R84" s="4">
        <f t="shared" si="288"/>
        <v>17.242599999999999</v>
      </c>
      <c r="S84" s="4">
        <f t="shared" si="288"/>
        <v>19.434519999999999</v>
      </c>
      <c r="T84" s="4">
        <f t="shared" si="288"/>
        <v>15.77080844155844</v>
      </c>
      <c r="U84" s="4">
        <f t="shared" si="288"/>
        <v>16.020828282828283</v>
      </c>
      <c r="V84" s="4">
        <f t="shared" si="288"/>
        <v>17.467253333333336</v>
      </c>
      <c r="W84" s="4">
        <f t="shared" si="288"/>
        <v>16.641587412587413</v>
      </c>
      <c r="X84" s="4">
        <f t="shared" si="288"/>
        <v>20.574754385964912</v>
      </c>
      <c r="Y84" s="4">
        <f t="shared" si="288"/>
        <v>18.557485185185183</v>
      </c>
      <c r="Z84" s="4">
        <f t="shared" si="288"/>
        <v>22.357531468531469</v>
      </c>
      <c r="AA84" s="4">
        <f t="shared" si="288"/>
        <v>17.707445312499999</v>
      </c>
      <c r="AB84" s="4">
        <f t="shared" si="288"/>
        <v>19.776129213483145</v>
      </c>
      <c r="AC84" s="4">
        <f t="shared" si="288"/>
        <v>17.034366220735784</v>
      </c>
      <c r="AD84" s="4">
        <f t="shared" si="288"/>
        <v>16.643069400630914</v>
      </c>
      <c r="AE84" s="4">
        <f t="shared" si="288"/>
        <v>21.043743336623887</v>
      </c>
      <c r="AF84" s="4">
        <f t="shared" si="288"/>
        <v>20.269918367346936</v>
      </c>
      <c r="AG84" s="4">
        <f t="shared" si="288"/>
        <v>19.613542372881358</v>
      </c>
      <c r="AH84" s="4">
        <f t="shared" si="288"/>
        <v>21.214176100628933</v>
      </c>
      <c r="AI84" s="4">
        <f t="shared" si="288"/>
        <v>32.312932038834951</v>
      </c>
      <c r="AJ84" s="4">
        <f t="shared" si="288"/>
        <v>14.700588772845927</v>
      </c>
      <c r="AK84" s="31">
        <f t="shared" si="282"/>
        <v>-0.12641753204960393</v>
      </c>
      <c r="AL84" s="31">
        <f t="shared" si="276"/>
        <v>8.2895194305434572E-3</v>
      </c>
      <c r="AM84" s="31">
        <f t="shared" si="276"/>
        <v>-0.19702909319062512</v>
      </c>
      <c r="AN84" s="31">
        <f t="shared" si="276"/>
        <v>-0.48494090908777265</v>
      </c>
      <c r="AO84" s="31">
        <f t="shared" si="276"/>
        <v>0.43148983090355308</v>
      </c>
      <c r="AP84" s="4">
        <f t="shared" si="277"/>
        <v>20.747410596026491</v>
      </c>
      <c r="AQ84" s="4">
        <f t="shared" si="277"/>
        <v>17.379777777777775</v>
      </c>
      <c r="AR84" s="4">
        <f t="shared" si="277"/>
        <v>16.522444444444446</v>
      </c>
      <c r="AS84" s="4">
        <f t="shared" si="277"/>
        <v>16.997209302325579</v>
      </c>
      <c r="AT84" s="4">
        <f t="shared" si="277"/>
        <v>21.693463414634145</v>
      </c>
      <c r="AU84" s="4">
        <f t="shared" si="277"/>
        <v>16.408051948051948</v>
      </c>
      <c r="AV84" s="4">
        <f t="shared" si="277"/>
        <v>20.62337959183672</v>
      </c>
      <c r="BB84" s="4">
        <f t="shared" si="278"/>
        <v>17.886235831809874</v>
      </c>
      <c r="BC84" s="4">
        <f t="shared" si="278"/>
        <v>18.188328530259366</v>
      </c>
      <c r="BD84" s="4">
        <f t="shared" si="278"/>
        <v>20.62337959183672</v>
      </c>
      <c r="BE84" s="4" t="str">
        <f t="shared" si="278"/>
        <v/>
      </c>
      <c r="BF84" s="4">
        <f t="shared" si="278"/>
        <v>18.47859959623149</v>
      </c>
      <c r="BG84" s="122">
        <f t="shared" si="279"/>
        <v>1.4248950721491191</v>
      </c>
      <c r="BH84" s="111">
        <f t="shared" si="279"/>
        <v>0.55074953526652848</v>
      </c>
      <c r="BI84" s="111">
        <f t="shared" si="279"/>
        <v>1.00124673600604</v>
      </c>
      <c r="BJ84" s="111">
        <f t="shared" si="279"/>
        <v>0.98576834713590644</v>
      </c>
      <c r="BK84" s="111">
        <f t="shared" si="279"/>
        <v>1.1162335583608005</v>
      </c>
      <c r="BL84" s="111">
        <f t="shared" si="279"/>
        <v>1.0404065212544384</v>
      </c>
      <c r="BM84" s="111">
        <f t="shared" si="279"/>
        <v>1.2872854778639393</v>
      </c>
      <c r="BN84" s="111">
        <f t="shared" si="279"/>
        <v>0</v>
      </c>
      <c r="BO84" s="111">
        <f t="shared" si="279"/>
        <v>0</v>
      </c>
      <c r="BP84" s="111">
        <f t="shared" si="279"/>
        <v>0</v>
      </c>
      <c r="BQ84" s="111">
        <f t="shared" si="279"/>
        <v>0</v>
      </c>
      <c r="BR84" s="111">
        <f t="shared" si="279"/>
        <v>0</v>
      </c>
      <c r="BS84" s="111">
        <f>IFERROR(BB84/(SUM(O10:INDEX(O10:Q10,IF($B$2&lt;3,$B$2,3)))/SUM(O60:INDEX(O60:Q60,IF($B$2&lt;3,$B$2,3)))),0)</f>
        <v>0.90443562735296235</v>
      </c>
      <c r="BT84" s="111">
        <f>IFERROR(BC84/(SUM(R10:INDEX(R10:T10,IF($B$2&lt;7,$B$2-3,3)))/SUM(R60:INDEX(R60:T60,IF($B$2&lt;7,$B$2-3,3)))),0)</f>
        <v>1.0677431901234384</v>
      </c>
      <c r="BU84" s="111">
        <f>BD84/(SUM(U10:INDEX(U10:W10,IF($B$2&lt;7,$B$2-3,IF($B$2&lt;9,$B$2-6,3))))/SUM(U60:INDEX(U60:W60,IF($B$2&lt;7,$B$2-3,IF($B$2&lt;9,$B$2-6,3)))))</f>
        <v>1.2872854778639393</v>
      </c>
      <c r="BV84" s="111"/>
      <c r="BW84" s="111">
        <f t="shared" si="283"/>
        <v>1.0435497199128505</v>
      </c>
    </row>
    <row r="85" spans="1:75" x14ac:dyDescent="0.25">
      <c r="A85" s="20" t="str">
        <f t="shared" si="280"/>
        <v>CaseSize_by_rookie_mdrt:SA</v>
      </c>
      <c r="B85" s="135" t="s">
        <v>136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31"/>
      <c r="AL85" s="31"/>
      <c r="AM85" s="31"/>
      <c r="AN85" s="31"/>
      <c r="AO85" s="31"/>
      <c r="AP85" s="4"/>
      <c r="AQ85" s="4">
        <f t="shared" ref="AQ85:AV86" si="289">IFERROR(AQ11/AQ61,"")</f>
        <v>14.834301369863013</v>
      </c>
      <c r="AR85" s="4">
        <f t="shared" si="289"/>
        <v>15.398734177215189</v>
      </c>
      <c r="AS85" s="4">
        <f t="shared" si="289"/>
        <v>14.69112389380531</v>
      </c>
      <c r="AT85" s="4">
        <f t="shared" si="289"/>
        <v>16.654137931034484</v>
      </c>
      <c r="AU85" s="4">
        <f t="shared" si="289"/>
        <v>16.958000000000002</v>
      </c>
      <c r="AV85" s="4">
        <f t="shared" si="289"/>
        <v>15.50752</v>
      </c>
      <c r="BB85" s="4">
        <f t="shared" si="278"/>
        <v>15.127657894736842</v>
      </c>
      <c r="BC85" s="4">
        <f t="shared" si="278"/>
        <v>15.595905472636817</v>
      </c>
      <c r="BD85" s="4">
        <f t="shared" si="278"/>
        <v>15.50752</v>
      </c>
      <c r="BE85" s="4" t="str">
        <f t="shared" si="278"/>
        <v/>
      </c>
      <c r="BF85" s="4">
        <f t="shared" si="278"/>
        <v>15.408330024813898</v>
      </c>
      <c r="BG85" s="122"/>
      <c r="BH85" s="111"/>
      <c r="BI85" s="111"/>
      <c r="BJ85" s="111"/>
      <c r="BK85" s="111"/>
      <c r="BL85" s="111"/>
      <c r="BM85" s="111"/>
      <c r="BN85" s="111"/>
      <c r="BO85" s="111"/>
      <c r="BP85" s="111"/>
      <c r="BQ85" s="111"/>
      <c r="BR85" s="111"/>
      <c r="BS85" s="111"/>
      <c r="BT85" s="111"/>
      <c r="BU85" s="111"/>
      <c r="BV85" s="111"/>
      <c r="BW85" s="111"/>
    </row>
    <row r="86" spans="1:75" s="17" customFormat="1" x14ac:dyDescent="0.25">
      <c r="A86" s="20" t="str">
        <f t="shared" si="280"/>
        <v>CaseSize_by_rookie_mdrt:Total</v>
      </c>
      <c r="B86" s="1" t="s">
        <v>186</v>
      </c>
      <c r="C86" s="5">
        <f t="shared" ref="C86:AJ86" si="290">IFERROR(C12/C62,"")</f>
        <v>14.02</v>
      </c>
      <c r="D86" s="5">
        <f t="shared" si="290"/>
        <v>15.625955835962142</v>
      </c>
      <c r="E86" s="5">
        <f t="shared" si="290"/>
        <v>21.10266990291262</v>
      </c>
      <c r="F86" s="5">
        <f t="shared" si="290"/>
        <v>21.302693009118546</v>
      </c>
      <c r="G86" s="5">
        <f t="shared" si="290"/>
        <v>17.635987577639753</v>
      </c>
      <c r="H86" s="5">
        <f t="shared" si="290"/>
        <v>23.390156327543412</v>
      </c>
      <c r="I86" s="5">
        <f t="shared" si="290"/>
        <v>21.231783610755439</v>
      </c>
      <c r="J86" s="5">
        <f t="shared" si="290"/>
        <v>16.960227655986508</v>
      </c>
      <c r="K86" s="5">
        <f t="shared" si="290"/>
        <v>23.138451001053731</v>
      </c>
      <c r="L86" s="5">
        <f t="shared" si="290"/>
        <v>18.239158311345633</v>
      </c>
      <c r="M86" s="5">
        <f t="shared" si="290"/>
        <v>17.904116818558418</v>
      </c>
      <c r="N86" s="5">
        <f t="shared" si="290"/>
        <v>21.332745024875607</v>
      </c>
      <c r="O86" s="5">
        <f t="shared" si="290"/>
        <v>17.371126074498566</v>
      </c>
      <c r="P86" s="5">
        <f t="shared" si="290"/>
        <v>20.357589820359191</v>
      </c>
      <c r="Q86" s="5">
        <f t="shared" si="290"/>
        <v>20.374723428571418</v>
      </c>
      <c r="R86" s="5">
        <f t="shared" si="290"/>
        <v>22.610008652657601</v>
      </c>
      <c r="S86" s="5">
        <f t="shared" si="290"/>
        <v>20.347913690476194</v>
      </c>
      <c r="T86" s="5">
        <f t="shared" si="290"/>
        <v>16.997334630350196</v>
      </c>
      <c r="U86" s="5">
        <f t="shared" si="290"/>
        <v>17.869808322824717</v>
      </c>
      <c r="V86" s="5">
        <f t="shared" si="290"/>
        <v>18.226050583657589</v>
      </c>
      <c r="W86" s="5">
        <f t="shared" si="290"/>
        <v>18.138375784753361</v>
      </c>
      <c r="X86" s="5">
        <f t="shared" si="290"/>
        <v>21.754643364928906</v>
      </c>
      <c r="Y86" s="5">
        <f t="shared" si="290"/>
        <v>21.555341653666176</v>
      </c>
      <c r="Z86" s="5">
        <f t="shared" si="290"/>
        <v>23.758100316789921</v>
      </c>
      <c r="AA86" s="5">
        <f t="shared" si="290"/>
        <v>19.40311810699588</v>
      </c>
      <c r="AB86" s="5">
        <f t="shared" si="290"/>
        <v>19.698229139922951</v>
      </c>
      <c r="AC86" s="5">
        <f t="shared" si="290"/>
        <v>19.704485850936631</v>
      </c>
      <c r="AD86" s="5">
        <f t="shared" si="290"/>
        <v>18.084110488988426</v>
      </c>
      <c r="AE86" s="5">
        <f t="shared" si="290"/>
        <v>22.635002238806006</v>
      </c>
      <c r="AF86" s="5">
        <f t="shared" si="290"/>
        <v>19.995114802149484</v>
      </c>
      <c r="AG86" s="5">
        <f t="shared" si="290"/>
        <v>17.469512863070541</v>
      </c>
      <c r="AH86" s="5">
        <f t="shared" si="290"/>
        <v>20.980651802656546</v>
      </c>
      <c r="AI86" s="5">
        <f t="shared" si="290"/>
        <v>20.920287559190697</v>
      </c>
      <c r="AJ86" s="5">
        <f t="shared" si="290"/>
        <v>19.518221382591655</v>
      </c>
      <c r="AK86" s="32">
        <f t="shared" si="282"/>
        <v>-2.9607066576580188E-2</v>
      </c>
      <c r="AL86" s="32">
        <f t="shared" si="276"/>
        <v>0.12757747135375341</v>
      </c>
      <c r="AM86" s="32">
        <f t="shared" si="276"/>
        <v>-6.0825848678272565E-2</v>
      </c>
      <c r="AN86" s="31">
        <f t="shared" si="276"/>
        <v>-0.13557065418808179</v>
      </c>
      <c r="AO86" s="31">
        <f t="shared" si="276"/>
        <v>0.1596857006137975</v>
      </c>
      <c r="AP86" s="5">
        <f>IFERROR(AP12/AP62,"")</f>
        <v>18.506746376811595</v>
      </c>
      <c r="AQ86" s="5">
        <f t="shared" si="289"/>
        <v>22.842821350762541</v>
      </c>
      <c r="AR86" s="5">
        <f t="shared" si="289"/>
        <v>19.299775910364144</v>
      </c>
      <c r="AS86" s="5">
        <f t="shared" si="289"/>
        <v>19.43021286735506</v>
      </c>
      <c r="AT86" s="5">
        <f t="shared" si="289"/>
        <v>16.286140992167102</v>
      </c>
      <c r="AU86" s="5">
        <f t="shared" si="289"/>
        <v>18.919040590405903</v>
      </c>
      <c r="AV86" s="4">
        <f t="shared" si="289"/>
        <v>19.832590947907779</v>
      </c>
      <c r="BB86" s="5">
        <f t="shared" si="278"/>
        <v>20.190858036890649</v>
      </c>
      <c r="BC86" s="5">
        <f t="shared" si="278"/>
        <v>18.002699583333335</v>
      </c>
      <c r="BD86" s="5">
        <f t="shared" si="278"/>
        <v>19.832590947907779</v>
      </c>
      <c r="BE86" s="5" t="str">
        <f t="shared" si="278"/>
        <v/>
      </c>
      <c r="BF86" s="5">
        <f t="shared" si="278"/>
        <v>18.978168868657718</v>
      </c>
      <c r="BG86" s="123">
        <f t="shared" si="279"/>
        <v>1.0653740176337883</v>
      </c>
      <c r="BH86" s="118">
        <f t="shared" si="279"/>
        <v>1.1220788684875616</v>
      </c>
      <c r="BI86" s="118">
        <f t="shared" si="279"/>
        <v>0.94724112344514677</v>
      </c>
      <c r="BJ86" s="118">
        <f t="shared" si="279"/>
        <v>0.85936335389554197</v>
      </c>
      <c r="BK86" s="118">
        <f t="shared" si="279"/>
        <v>0.8003838250891443</v>
      </c>
      <c r="BL86" s="118">
        <f t="shared" si="279"/>
        <v>1.1130592532210513</v>
      </c>
      <c r="BM86" s="118">
        <f t="shared" si="279"/>
        <v>1.1098379226919879</v>
      </c>
      <c r="BN86" s="118">
        <f t="shared" si="279"/>
        <v>0</v>
      </c>
      <c r="BO86" s="118">
        <f t="shared" si="279"/>
        <v>0</v>
      </c>
      <c r="BP86" s="118">
        <f t="shared" si="279"/>
        <v>0</v>
      </c>
      <c r="BQ86" s="118">
        <f t="shared" si="279"/>
        <v>0</v>
      </c>
      <c r="BR86" s="118">
        <f t="shared" si="279"/>
        <v>0</v>
      </c>
      <c r="BS86" s="118">
        <f>IFERROR(BB86/(SUM(O12:INDEX(O12:Q12,IF($B$2&lt;3,$B$2,3)))/SUM(O62:INDEX(O62:Q62,IF($B$2&lt;3,$B$2,3)))),0)</f>
        <v>1.0250087910678871</v>
      </c>
      <c r="BT86" s="118">
        <f>IFERROR(BC86/(SUM(R12:INDEX(R12:T12,IF($B$2&lt;7,$B$2-3,3)))/SUM(R62:INDEX(R62:T62,IF($B$2&lt;7,$B$2-3,3)))),0)</f>
        <v>0.9136345763864524</v>
      </c>
      <c r="BU86" s="118">
        <f>BD86/(SUM(U12:INDEX(U12:W12,IF($B$2&lt;7,$B$2-3,IF($B$2&lt;9,$B$2-6,3))))/SUM(U62:INDEX(U62:W62,IF($B$2&lt;7,$B$2-3,IF($B$2&lt;9,$B$2-6,3)))))</f>
        <v>1.1098379226919879</v>
      </c>
      <c r="BV86" s="118"/>
      <c r="BW86" s="118">
        <f t="shared" si="283"/>
        <v>0.97809892018412525</v>
      </c>
    </row>
    <row r="87" spans="1:75" x14ac:dyDescent="0.25">
      <c r="B87" t="s">
        <v>187</v>
      </c>
      <c r="BG87" s="124"/>
    </row>
    <row r="88" spans="1:75" x14ac:dyDescent="0.25">
      <c r="B88" t="s">
        <v>187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BG88" s="124"/>
    </row>
    <row r="89" spans="1:75" x14ac:dyDescent="0.25">
      <c r="B89" s="2" t="s">
        <v>15</v>
      </c>
      <c r="C89" s="3">
        <f t="shared" ref="C89:Z89" si="291">C29</f>
        <v>42005</v>
      </c>
      <c r="D89" s="3">
        <f t="shared" si="291"/>
        <v>42036</v>
      </c>
      <c r="E89" s="3">
        <f t="shared" si="291"/>
        <v>42064</v>
      </c>
      <c r="F89" s="3">
        <f t="shared" si="291"/>
        <v>42095</v>
      </c>
      <c r="G89" s="3">
        <f t="shared" si="291"/>
        <v>42125</v>
      </c>
      <c r="H89" s="3">
        <f t="shared" si="291"/>
        <v>42156</v>
      </c>
      <c r="I89" s="3">
        <f t="shared" si="291"/>
        <v>42186</v>
      </c>
      <c r="J89" s="3">
        <f t="shared" si="291"/>
        <v>42217</v>
      </c>
      <c r="K89" s="3">
        <f t="shared" si="291"/>
        <v>42248</v>
      </c>
      <c r="L89" s="3">
        <f t="shared" si="291"/>
        <v>42278</v>
      </c>
      <c r="M89" s="3">
        <f t="shared" si="291"/>
        <v>42309</v>
      </c>
      <c r="N89" s="3">
        <f t="shared" si="291"/>
        <v>42339</v>
      </c>
      <c r="O89" s="3">
        <f t="shared" si="291"/>
        <v>42370</v>
      </c>
      <c r="P89" s="3">
        <f t="shared" si="291"/>
        <v>42401</v>
      </c>
      <c r="Q89" s="3">
        <f t="shared" si="291"/>
        <v>42430</v>
      </c>
      <c r="R89" s="3">
        <f t="shared" si="291"/>
        <v>42461</v>
      </c>
      <c r="S89" s="3">
        <f t="shared" si="291"/>
        <v>42491</v>
      </c>
      <c r="T89" s="3">
        <f t="shared" si="291"/>
        <v>42522</v>
      </c>
      <c r="U89" s="3">
        <f t="shared" si="291"/>
        <v>42552</v>
      </c>
      <c r="V89" s="3">
        <f t="shared" si="291"/>
        <v>42583</v>
      </c>
      <c r="W89" s="3">
        <f t="shared" si="291"/>
        <v>42614</v>
      </c>
      <c r="X89" s="3">
        <f t="shared" si="291"/>
        <v>42644</v>
      </c>
      <c r="Y89" s="3">
        <f t="shared" si="291"/>
        <v>42675</v>
      </c>
      <c r="Z89" s="3">
        <f t="shared" si="291"/>
        <v>42705</v>
      </c>
      <c r="AA89" s="29" t="str">
        <f>$AA$3</f>
        <v>YTD 7/16</v>
      </c>
      <c r="AB89" s="29" t="s">
        <v>19</v>
      </c>
      <c r="AC89" s="29" t="s">
        <v>20</v>
      </c>
      <c r="AD89" s="29" t="s">
        <v>21</v>
      </c>
      <c r="AE89" s="29" t="s">
        <v>22</v>
      </c>
      <c r="AF89" s="26" t="str">
        <f t="shared" ref="AF89:AJ89" si="292">AF65</f>
        <v>YTD 7/15</v>
      </c>
      <c r="AG89" s="26" t="str">
        <f t="shared" si="292"/>
        <v>Q1 '15</v>
      </c>
      <c r="AH89" s="26" t="str">
        <f t="shared" si="292"/>
        <v>Q2 '15</v>
      </c>
      <c r="AI89" s="26" t="str">
        <f t="shared" si="292"/>
        <v>Q3 '15</v>
      </c>
      <c r="AJ89" s="26" t="str">
        <f t="shared" si="292"/>
        <v>Q4 '15</v>
      </c>
      <c r="AK89" s="30" t="s">
        <v>27</v>
      </c>
      <c r="AL89" s="30" t="s">
        <v>29</v>
      </c>
      <c r="AM89" s="30" t="s">
        <v>30</v>
      </c>
      <c r="AN89" s="30" t="s">
        <v>31</v>
      </c>
      <c r="AO89" s="30" t="s">
        <v>32</v>
      </c>
      <c r="AP89" s="108">
        <v>42736</v>
      </c>
      <c r="AQ89" s="108">
        <v>42767</v>
      </c>
      <c r="AR89" s="108">
        <v>42795</v>
      </c>
      <c r="AS89" s="108">
        <v>42826</v>
      </c>
      <c r="AT89" s="108">
        <v>42856</v>
      </c>
      <c r="AU89" s="108">
        <v>42887</v>
      </c>
      <c r="AV89" s="108">
        <v>42917</v>
      </c>
      <c r="AW89" s="108">
        <v>42948</v>
      </c>
      <c r="AX89" s="108">
        <v>42979</v>
      </c>
      <c r="AY89" s="108">
        <v>43009</v>
      </c>
      <c r="AZ89" s="108">
        <v>43040</v>
      </c>
      <c r="BA89" s="108">
        <v>43070</v>
      </c>
      <c r="BB89" s="29" t="s">
        <v>123</v>
      </c>
      <c r="BC89" s="29" t="s">
        <v>124</v>
      </c>
      <c r="BD89" s="29" t="s">
        <v>125</v>
      </c>
      <c r="BE89" s="29" t="s">
        <v>126</v>
      </c>
      <c r="BF89" s="29" t="str">
        <f>$BF$3</f>
        <v>YTD 7/17</v>
      </c>
      <c r="BG89" s="121">
        <v>42736</v>
      </c>
      <c r="BH89" s="108">
        <v>42767</v>
      </c>
      <c r="BI89" s="108">
        <v>42795</v>
      </c>
      <c r="BJ89" s="108">
        <v>42826</v>
      </c>
      <c r="BK89" s="108">
        <v>42856</v>
      </c>
      <c r="BL89" s="108">
        <v>42887</v>
      </c>
      <c r="BM89" s="108">
        <v>42917</v>
      </c>
      <c r="BN89" s="108">
        <v>42948</v>
      </c>
      <c r="BO89" s="108">
        <v>42979</v>
      </c>
      <c r="BP89" s="108">
        <v>43009</v>
      </c>
      <c r="BQ89" s="108">
        <v>43040</v>
      </c>
      <c r="BR89" s="108">
        <v>43070</v>
      </c>
      <c r="BS89" s="29" t="s">
        <v>127</v>
      </c>
      <c r="BT89" s="29" t="s">
        <v>128</v>
      </c>
      <c r="BU89" s="29" t="s">
        <v>96</v>
      </c>
      <c r="BV89" s="29" t="s">
        <v>129</v>
      </c>
      <c r="BW89" s="112" t="s">
        <v>130</v>
      </c>
    </row>
    <row r="90" spans="1:75" x14ac:dyDescent="0.25">
      <c r="A90" s="20" t="s">
        <v>224</v>
      </c>
      <c r="B90" t="s">
        <v>16</v>
      </c>
      <c r="C90" s="6">
        <v>49</v>
      </c>
      <c r="D90" s="6">
        <v>15</v>
      </c>
      <c r="E90" s="6">
        <v>52</v>
      </c>
      <c r="F90" s="6">
        <v>65</v>
      </c>
      <c r="G90" s="6">
        <v>36</v>
      </c>
      <c r="H90" s="6">
        <v>38</v>
      </c>
      <c r="I90" s="6">
        <v>25</v>
      </c>
      <c r="J90" s="6">
        <v>24</v>
      </c>
      <c r="K90" s="6">
        <v>35</v>
      </c>
      <c r="L90" s="6">
        <v>25</v>
      </c>
      <c r="M90" s="6">
        <v>18</v>
      </c>
      <c r="N90" s="6">
        <v>20</v>
      </c>
      <c r="O90" s="6">
        <v>6</v>
      </c>
      <c r="P90" s="6">
        <v>3</v>
      </c>
      <c r="Q90" s="6">
        <v>34</v>
      </c>
      <c r="R90" s="6">
        <v>17</v>
      </c>
      <c r="S90" s="6">
        <v>40</v>
      </c>
      <c r="T90" s="6">
        <v>44</v>
      </c>
      <c r="U90" s="6">
        <v>22</v>
      </c>
      <c r="V90" s="6">
        <v>28</v>
      </c>
      <c r="W90" s="6">
        <v>41</v>
      </c>
      <c r="X90" s="6">
        <f>[14]Recruit!$K$38</f>
        <v>54</v>
      </c>
      <c r="Y90" s="6">
        <f>[24]Recruit!$K$38</f>
        <v>70</v>
      </c>
      <c r="Z90" s="6">
        <f>[15]Recruit!$K$38</f>
        <v>39</v>
      </c>
      <c r="AA90" s="22">
        <f>SUM(O90:INDEX(O90:Z90,$B$2))</f>
        <v>166</v>
      </c>
      <c r="AB90" s="22">
        <f>SUM(O90:Q90)</f>
        <v>43</v>
      </c>
      <c r="AC90" s="22">
        <f>SUM(R90:T90)</f>
        <v>101</v>
      </c>
      <c r="AD90" s="22">
        <f>SUM(U90:W90)</f>
        <v>91</v>
      </c>
      <c r="AE90" s="22">
        <f>SUM(X90:Z90)</f>
        <v>163</v>
      </c>
      <c r="AF90" s="22">
        <f>SUM(C90                                                                                : INDEX(C90:N90,$B$2))</f>
        <v>280</v>
      </c>
      <c r="AG90" s="22">
        <f t="shared" ref="AG90:AG92" si="293">SUM(C90:E90)</f>
        <v>116</v>
      </c>
      <c r="AH90" s="22">
        <f t="shared" ref="AH90:AH92" si="294">SUM(F90:H90)</f>
        <v>139</v>
      </c>
      <c r="AI90" s="22">
        <f t="shared" ref="AI90:AI92" si="295">SUM(I90:K90)</f>
        <v>84</v>
      </c>
      <c r="AJ90" s="22">
        <f t="shared" ref="AJ90:AJ92" si="296">SUM(L90:N90)</f>
        <v>63</v>
      </c>
      <c r="AK90" s="31">
        <f>AA90/AF90-1</f>
        <v>-0.40714285714285714</v>
      </c>
      <c r="AL90" s="31">
        <f t="shared" ref="AL90:AN92" si="297">AB90/AG90-1</f>
        <v>-0.62931034482758619</v>
      </c>
      <c r="AM90" s="31">
        <f t="shared" si="297"/>
        <v>-0.27338129496402874</v>
      </c>
      <c r="AN90" s="31">
        <f t="shared" si="297"/>
        <v>8.3333333333333259E-2</v>
      </c>
      <c r="AO90" s="31">
        <f>AE90/SUM(L90:INDEX(L90:N90,MOD($B$2,3)))-1</f>
        <v>5.52</v>
      </c>
      <c r="AP90" s="18">
        <f>[16]Recruit!$K$38</f>
        <v>39</v>
      </c>
      <c r="AQ90" s="18">
        <f>[17]Recruit!$K$38</f>
        <v>58</v>
      </c>
      <c r="AR90" s="18">
        <f>[18]Recruit!$K$38</f>
        <v>20</v>
      </c>
      <c r="AS90" s="18">
        <f>[19]Recruit!$K$38</f>
        <v>22</v>
      </c>
      <c r="AT90" s="18">
        <f>[20]Recruit!$K$38</f>
        <v>18</v>
      </c>
      <c r="AU90" s="18">
        <f>[21]Recruit!$K$38</f>
        <v>20</v>
      </c>
      <c r="AV90" s="18">
        <f>[22]Recruit!$K$38</f>
        <v>29</v>
      </c>
      <c r="BB90" s="110">
        <f>SUM(AP90:INDEX(AP90:AR90,IF($B$2&lt;3,$B$2,3)))</f>
        <v>117</v>
      </c>
      <c r="BC90" s="110">
        <f>SUM(AS90:INDEX(AS90:AU90,IF(AND($B$2&gt;3,B88&lt;7),$B$2-3,0)))</f>
        <v>60</v>
      </c>
      <c r="BD90" s="110">
        <f>SUM(AV90:INDEX(AV90:AX90,IF(AND($B$2&gt;6,$B$2&lt;10),$B$2-6,0)))</f>
        <v>29</v>
      </c>
      <c r="BE90" s="110">
        <f>SUM(AY90:INDEX(AY90:BA90,IF($B$2&gt;9,$B$2-9,0)))</f>
        <v>0</v>
      </c>
      <c r="BF90" s="110">
        <f>SUM($AP90:INDEX(AP90:BA90,$B$2))</f>
        <v>206</v>
      </c>
      <c r="BG90" s="122">
        <f t="shared" ref="BG90:BR92" si="298">AP90/O90</f>
        <v>6.5</v>
      </c>
      <c r="BH90" s="111">
        <f t="shared" si="298"/>
        <v>19.333333333333332</v>
      </c>
      <c r="BI90" s="111">
        <f t="shared" si="298"/>
        <v>0.58823529411764708</v>
      </c>
      <c r="BJ90" s="111">
        <f t="shared" si="298"/>
        <v>1.2941176470588236</v>
      </c>
      <c r="BK90" s="111">
        <f t="shared" si="298"/>
        <v>0.45</v>
      </c>
      <c r="BL90" s="111">
        <f t="shared" si="298"/>
        <v>0.45454545454545453</v>
      </c>
      <c r="BM90" s="111">
        <f t="shared" si="298"/>
        <v>1.3181818181818181</v>
      </c>
      <c r="BN90" s="111">
        <f t="shared" si="298"/>
        <v>0</v>
      </c>
      <c r="BO90" s="111">
        <f t="shared" si="298"/>
        <v>0</v>
      </c>
      <c r="BP90" s="111">
        <f t="shared" si="298"/>
        <v>0</v>
      </c>
      <c r="BQ90" s="111">
        <f t="shared" si="298"/>
        <v>0</v>
      </c>
      <c r="BR90" s="111">
        <f t="shared" si="298"/>
        <v>0</v>
      </c>
      <c r="BS90" s="111">
        <f>BB90/SUM(O90:INDEX(O90:Q90,IF($B$2&lt;3,$B$2,3)))</f>
        <v>2.7209302325581395</v>
      </c>
      <c r="BT90" s="111">
        <f>BC90/SUM(R90:INDEX(R90:T90,$C$2))</f>
        <v>3.5294117647058822</v>
      </c>
      <c r="BU90" s="111">
        <f>BD90/SUM(U90:INDEX(U90:W90,IF($B$2&lt;7,$B$2-3,IF($B$2&lt;9,$B$2-6,3))))</f>
        <v>1.3181818181818181</v>
      </c>
      <c r="BV90" s="111">
        <f t="shared" ref="BV90:BV92" si="299">BE90/AE90</f>
        <v>0</v>
      </c>
      <c r="BW90" s="111">
        <f t="shared" ref="BW90:BW92" si="300">BF90/AA90</f>
        <v>1.2409638554216869</v>
      </c>
    </row>
    <row r="91" spans="1:75" x14ac:dyDescent="0.25">
      <c r="A91" s="20" t="s">
        <v>223</v>
      </c>
      <c r="B91" t="s">
        <v>17</v>
      </c>
      <c r="C91" s="6">
        <v>175</v>
      </c>
      <c r="D91" s="6">
        <v>58</v>
      </c>
      <c r="E91" s="6">
        <v>178</v>
      </c>
      <c r="F91" s="6">
        <v>247</v>
      </c>
      <c r="G91" s="6">
        <v>187</v>
      </c>
      <c r="H91" s="6">
        <v>220</v>
      </c>
      <c r="I91" s="6">
        <v>206</v>
      </c>
      <c r="J91" s="6">
        <v>204</v>
      </c>
      <c r="K91" s="6">
        <v>190</v>
      </c>
      <c r="L91" s="6">
        <v>160</v>
      </c>
      <c r="M91" s="6">
        <v>295</v>
      </c>
      <c r="N91" s="6">
        <v>240</v>
      </c>
      <c r="O91" s="6">
        <v>66</v>
      </c>
      <c r="P91" s="6">
        <v>71</v>
      </c>
      <c r="Q91" s="6">
        <v>287</v>
      </c>
      <c r="R91" s="6">
        <v>189</v>
      </c>
      <c r="S91" s="6">
        <v>173</v>
      </c>
      <c r="T91" s="6">
        <v>271</v>
      </c>
      <c r="U91" s="6">
        <v>224</v>
      </c>
      <c r="V91" s="6">
        <v>211</v>
      </c>
      <c r="W91" s="6">
        <v>289</v>
      </c>
      <c r="X91" s="6">
        <f>[14]Recruit!$J$38</f>
        <v>253</v>
      </c>
      <c r="Y91" s="6">
        <f>[24]Recruit!$J$38</f>
        <v>307</v>
      </c>
      <c r="Z91" s="6">
        <f>[15]Recruit!$J$38</f>
        <v>344</v>
      </c>
      <c r="AA91" s="22">
        <f>SUM(O91:INDEX(O91:Z91,$B$2))</f>
        <v>1281</v>
      </c>
      <c r="AB91" s="22">
        <f>SUM(O91:Q91)</f>
        <v>424</v>
      </c>
      <c r="AC91" s="22">
        <f>SUM(R91:T91)</f>
        <v>633</v>
      </c>
      <c r="AD91" s="22">
        <f>SUM(U91:W91)</f>
        <v>724</v>
      </c>
      <c r="AE91" s="22">
        <f>SUM(X91:Z91)</f>
        <v>904</v>
      </c>
      <c r="AF91" s="22">
        <f>SUM(C91                                                                                : INDEX(C91:N91,$B$2))</f>
        <v>1271</v>
      </c>
      <c r="AG91" s="22">
        <f t="shared" si="293"/>
        <v>411</v>
      </c>
      <c r="AH91" s="22">
        <f t="shared" si="294"/>
        <v>654</v>
      </c>
      <c r="AI91" s="22">
        <f t="shared" si="295"/>
        <v>600</v>
      </c>
      <c r="AJ91" s="22">
        <f t="shared" si="296"/>
        <v>695</v>
      </c>
      <c r="AK91" s="31">
        <f t="shared" ref="AK91:AK92" si="301">AA91/AF91-1</f>
        <v>7.8678206136899576E-3</v>
      </c>
      <c r="AL91" s="31">
        <f t="shared" si="297"/>
        <v>3.1630170316301776E-2</v>
      </c>
      <c r="AM91" s="31">
        <f t="shared" si="297"/>
        <v>-3.2110091743119296E-2</v>
      </c>
      <c r="AN91" s="31">
        <f t="shared" si="297"/>
        <v>0.20666666666666678</v>
      </c>
      <c r="AO91" s="31">
        <f>AE91/SUM(L91:INDEX(L91:N91,MOD($B$2,3)))-1</f>
        <v>4.6500000000000004</v>
      </c>
      <c r="AP91" s="18">
        <f>[16]Recruit!$J$38</f>
        <v>150</v>
      </c>
      <c r="AQ91" s="18">
        <f>[17]Recruit!$J$38</f>
        <v>323</v>
      </c>
      <c r="AR91" s="18">
        <f>[18]Recruit!$J$38</f>
        <v>328</v>
      </c>
      <c r="AS91" s="18">
        <f>[19]Recruit!$J$38</f>
        <v>272</v>
      </c>
      <c r="AT91" s="18">
        <f>[20]Recruit!$J$38</f>
        <v>334</v>
      </c>
      <c r="AU91" s="18">
        <f>[21]Recruit!$J$38</f>
        <v>392</v>
      </c>
      <c r="AV91" s="18">
        <f>[22]Recruit!$J$38</f>
        <v>309</v>
      </c>
      <c r="BB91" s="110">
        <f>SUM(AP91:INDEX(AP91:AR91,IF($B$2&lt;3,$B$2,3)))</f>
        <v>801</v>
      </c>
      <c r="BC91" s="110">
        <f>SUM(AS91:INDEX(AS91:AU91,IF(AND($B$2&gt;3,B89&lt;7),$B$2-3,0)))</f>
        <v>998</v>
      </c>
      <c r="BD91" s="110">
        <f>SUM(AV91:INDEX(AV91:AX91,IF(AND($B$2&gt;6,$B$2&lt;10),$B$2-6,0)))</f>
        <v>309</v>
      </c>
      <c r="BE91" s="110">
        <f>SUM(AY91:INDEX(AY91:BA91,IF($B$2&gt;9,$B$2-9,0)))</f>
        <v>0</v>
      </c>
      <c r="BF91" s="110">
        <f>SUM($AP91:INDEX(AP91:BA91,$B$2))</f>
        <v>2108</v>
      </c>
      <c r="BG91" s="122">
        <f t="shared" si="298"/>
        <v>2.2727272727272729</v>
      </c>
      <c r="BH91" s="111">
        <f t="shared" si="298"/>
        <v>4.549295774647887</v>
      </c>
      <c r="BI91" s="111">
        <f t="shared" si="298"/>
        <v>1.1428571428571428</v>
      </c>
      <c r="BJ91" s="111">
        <f t="shared" si="298"/>
        <v>1.4391534391534391</v>
      </c>
      <c r="BK91" s="111">
        <f t="shared" si="298"/>
        <v>1.9306358381502891</v>
      </c>
      <c r="BL91" s="111">
        <f t="shared" si="298"/>
        <v>1.4464944649446494</v>
      </c>
      <c r="BM91" s="111">
        <f t="shared" si="298"/>
        <v>1.3794642857142858</v>
      </c>
      <c r="BN91" s="111">
        <f t="shared" si="298"/>
        <v>0</v>
      </c>
      <c r="BO91" s="111">
        <f t="shared" si="298"/>
        <v>0</v>
      </c>
      <c r="BP91" s="111">
        <f t="shared" si="298"/>
        <v>0</v>
      </c>
      <c r="BQ91" s="111">
        <f t="shared" si="298"/>
        <v>0</v>
      </c>
      <c r="BR91" s="111">
        <f t="shared" si="298"/>
        <v>0</v>
      </c>
      <c r="BS91" s="111">
        <f>BB91/SUM(O91:INDEX(O91:Q91,IF($B$2&lt;3,$B$2,3)))</f>
        <v>1.8891509433962264</v>
      </c>
      <c r="BT91" s="111">
        <f>BC91/SUM(R91:INDEX(R91:T91,$C$2))</f>
        <v>5.28042328042328</v>
      </c>
      <c r="BU91" s="111">
        <f>BD91/SUM(U91:INDEX(U91:W91,IF($B$2&lt;7,$B$2-3,IF($B$2&lt;9,$B$2-6,3))))</f>
        <v>1.3794642857142858</v>
      </c>
      <c r="BV91" s="111">
        <f t="shared" si="299"/>
        <v>0</v>
      </c>
      <c r="BW91" s="111">
        <f t="shared" si="300"/>
        <v>1.6455893832943014</v>
      </c>
    </row>
    <row r="92" spans="1:75" x14ac:dyDescent="0.25">
      <c r="B92" t="s">
        <v>187</v>
      </c>
      <c r="C92" s="7">
        <f>SUM(C90:C91)</f>
        <v>224</v>
      </c>
      <c r="D92" s="7">
        <f t="shared" ref="D92:Z92" si="302">SUM(D90:D91)</f>
        <v>73</v>
      </c>
      <c r="E92" s="7">
        <f t="shared" si="302"/>
        <v>230</v>
      </c>
      <c r="F92" s="7">
        <f t="shared" si="302"/>
        <v>312</v>
      </c>
      <c r="G92" s="7">
        <f t="shared" si="302"/>
        <v>223</v>
      </c>
      <c r="H92" s="7">
        <f t="shared" si="302"/>
        <v>258</v>
      </c>
      <c r="I92" s="7">
        <f t="shared" si="302"/>
        <v>231</v>
      </c>
      <c r="J92" s="7">
        <f t="shared" si="302"/>
        <v>228</v>
      </c>
      <c r="K92" s="7">
        <f t="shared" si="302"/>
        <v>225</v>
      </c>
      <c r="L92" s="7">
        <f t="shared" si="302"/>
        <v>185</v>
      </c>
      <c r="M92" s="7">
        <f t="shared" si="302"/>
        <v>313</v>
      </c>
      <c r="N92" s="7">
        <f t="shared" si="302"/>
        <v>260</v>
      </c>
      <c r="O92" s="7">
        <f t="shared" si="302"/>
        <v>72</v>
      </c>
      <c r="P92" s="7">
        <f t="shared" si="302"/>
        <v>74</v>
      </c>
      <c r="Q92" s="7">
        <f t="shared" si="302"/>
        <v>321</v>
      </c>
      <c r="R92" s="7">
        <f t="shared" si="302"/>
        <v>206</v>
      </c>
      <c r="S92" s="7">
        <f t="shared" si="302"/>
        <v>213</v>
      </c>
      <c r="T92" s="7">
        <f t="shared" si="302"/>
        <v>315</v>
      </c>
      <c r="U92" s="7">
        <f t="shared" si="302"/>
        <v>246</v>
      </c>
      <c r="V92" s="7">
        <f t="shared" si="302"/>
        <v>239</v>
      </c>
      <c r="W92" s="7">
        <f t="shared" si="302"/>
        <v>330</v>
      </c>
      <c r="X92" s="7">
        <f t="shared" si="302"/>
        <v>307</v>
      </c>
      <c r="Y92" s="7">
        <f t="shared" si="302"/>
        <v>377</v>
      </c>
      <c r="Z92" s="7">
        <f t="shared" si="302"/>
        <v>383</v>
      </c>
      <c r="AA92" s="7">
        <f>SUM(O92:INDEX(O92:Z92,$B$2))</f>
        <v>1447</v>
      </c>
      <c r="AB92" s="7">
        <f t="shared" ref="AB92:AE92" si="303">SUM(AB90:AB91)</f>
        <v>467</v>
      </c>
      <c r="AC92" s="7">
        <f t="shared" si="303"/>
        <v>734</v>
      </c>
      <c r="AD92" s="7">
        <f t="shared" si="303"/>
        <v>815</v>
      </c>
      <c r="AE92" s="7">
        <f t="shared" si="303"/>
        <v>1067</v>
      </c>
      <c r="AF92" s="7">
        <f>SUM(C92                                                                                : INDEX(C92:N92,$B$2))</f>
        <v>1551</v>
      </c>
      <c r="AG92" s="7">
        <f t="shared" si="293"/>
        <v>527</v>
      </c>
      <c r="AH92" s="7">
        <f t="shared" si="294"/>
        <v>793</v>
      </c>
      <c r="AI92" s="7">
        <f t="shared" si="295"/>
        <v>684</v>
      </c>
      <c r="AJ92" s="7">
        <f t="shared" si="296"/>
        <v>758</v>
      </c>
      <c r="AK92" s="32">
        <f t="shared" si="301"/>
        <v>-6.7053513862024516E-2</v>
      </c>
      <c r="AL92" s="32">
        <f t="shared" si="297"/>
        <v>-0.11385199240986721</v>
      </c>
      <c r="AM92" s="32">
        <f t="shared" si="297"/>
        <v>-7.4401008827238324E-2</v>
      </c>
      <c r="AN92" s="32">
        <f t="shared" si="297"/>
        <v>0.1915204678362572</v>
      </c>
      <c r="AO92" s="32">
        <f>AE92/SUM(L92:INDEX(L92:N92,MOD($B$2,3)))-1</f>
        <v>4.7675675675675677</v>
      </c>
      <c r="AP92" s="7">
        <f t="shared" ref="AP92:AV92" si="304">SUM(AP90:AP91)</f>
        <v>189</v>
      </c>
      <c r="AQ92" s="7">
        <f t="shared" si="304"/>
        <v>381</v>
      </c>
      <c r="AR92" s="7">
        <f t="shared" si="304"/>
        <v>348</v>
      </c>
      <c r="AS92" s="7">
        <f t="shared" si="304"/>
        <v>294</v>
      </c>
      <c r="AT92" s="7">
        <f t="shared" si="304"/>
        <v>352</v>
      </c>
      <c r="AU92" s="7">
        <f t="shared" si="304"/>
        <v>412</v>
      </c>
      <c r="AV92" s="7">
        <f t="shared" si="304"/>
        <v>338</v>
      </c>
      <c r="BB92" s="116">
        <f>SUM(AP92:INDEX(AP92:AR92,IF($B$2&lt;3,$B$2,3)))</f>
        <v>918</v>
      </c>
      <c r="BC92" s="116">
        <f>SUM(AS92:INDEX(AS92:AU92,IF(AND($B$2&gt;3,B90&lt;7),$B$2-3,0)))</f>
        <v>1058</v>
      </c>
      <c r="BD92" s="116">
        <f>SUM(AV92:INDEX(AV92:AX92,IF(AND($B$2&gt;6,$B$2&lt;10),$B$2-6,0)))</f>
        <v>338</v>
      </c>
      <c r="BE92" s="116">
        <f>SUM(AY92:INDEX(AY92:BA92,IF($B$2&gt;9,$B$2-9,0)))</f>
        <v>0</v>
      </c>
      <c r="BF92" s="116">
        <f>SUM($AP92:INDEX(AP92:BA92,$B$2))</f>
        <v>2314</v>
      </c>
      <c r="BG92" s="123">
        <f t="shared" si="298"/>
        <v>2.625</v>
      </c>
      <c r="BH92" s="118">
        <f t="shared" si="298"/>
        <v>5.1486486486486482</v>
      </c>
      <c r="BI92" s="118">
        <f t="shared" si="298"/>
        <v>1.0841121495327102</v>
      </c>
      <c r="BJ92" s="118">
        <f t="shared" si="298"/>
        <v>1.4271844660194175</v>
      </c>
      <c r="BK92" s="118">
        <f t="shared" si="298"/>
        <v>1.6525821596244132</v>
      </c>
      <c r="BL92" s="118">
        <f t="shared" si="298"/>
        <v>1.307936507936508</v>
      </c>
      <c r="BM92" s="118">
        <f t="shared" si="298"/>
        <v>1.3739837398373984</v>
      </c>
      <c r="BN92" s="118">
        <f t="shared" si="298"/>
        <v>0</v>
      </c>
      <c r="BO92" s="118">
        <f t="shared" si="298"/>
        <v>0</v>
      </c>
      <c r="BP92" s="118">
        <f t="shared" si="298"/>
        <v>0</v>
      </c>
      <c r="BQ92" s="118">
        <f t="shared" si="298"/>
        <v>0</v>
      </c>
      <c r="BR92" s="118">
        <f t="shared" si="298"/>
        <v>0</v>
      </c>
      <c r="BS92" s="118">
        <f>BB92/SUM(O92:INDEX(O92:Q92,IF($B$2&lt;3,$B$2,3)))</f>
        <v>1.9657387580299786</v>
      </c>
      <c r="BT92" s="118">
        <f>BC92/SUM(R92:INDEX(R92:T92,$C$2))</f>
        <v>5.1359223300970873</v>
      </c>
      <c r="BU92" s="111">
        <f>BD92/SUM(U92:INDEX(U92:W92,IF($B$2&lt;7,$B$2-3,IF($B$2&lt;9,$B$2-6,3))))</f>
        <v>1.3739837398373984</v>
      </c>
      <c r="BV92" s="118">
        <f t="shared" si="299"/>
        <v>0</v>
      </c>
      <c r="BW92" s="118">
        <f t="shared" si="300"/>
        <v>1.5991706979958535</v>
      </c>
    </row>
    <row r="93" spans="1:75" x14ac:dyDescent="0.25">
      <c r="B93" t="s">
        <v>187</v>
      </c>
      <c r="BG93" s="124"/>
    </row>
    <row r="94" spans="1:75" x14ac:dyDescent="0.25">
      <c r="B94" t="s">
        <v>187</v>
      </c>
      <c r="BG94" s="124"/>
    </row>
    <row r="95" spans="1:75" x14ac:dyDescent="0.25">
      <c r="B95" s="24" t="s">
        <v>188</v>
      </c>
      <c r="BG95" s="124"/>
    </row>
    <row r="96" spans="1:75" s="17" customFormat="1" x14ac:dyDescent="0.25">
      <c r="A96" s="19"/>
      <c r="B96" s="2" t="s">
        <v>33</v>
      </c>
      <c r="C96" s="3">
        <f>'Agency North'!C96</f>
        <v>42005</v>
      </c>
      <c r="D96" s="3">
        <f>'Agency North'!D96</f>
        <v>42036</v>
      </c>
      <c r="E96" s="3">
        <f>'Agency North'!E96</f>
        <v>42064</v>
      </c>
      <c r="F96" s="3">
        <f>'Agency North'!F96</f>
        <v>42095</v>
      </c>
      <c r="G96" s="3">
        <f>'Agency North'!G96</f>
        <v>42125</v>
      </c>
      <c r="H96" s="3">
        <f>'Agency North'!H96</f>
        <v>42156</v>
      </c>
      <c r="I96" s="3">
        <f>'Agency North'!I96</f>
        <v>42186</v>
      </c>
      <c r="J96" s="3">
        <f>'Agency North'!J96</f>
        <v>42217</v>
      </c>
      <c r="K96" s="3">
        <f>'Agency North'!K96</f>
        <v>42248</v>
      </c>
      <c r="L96" s="3">
        <f>'Agency North'!L96</f>
        <v>42278</v>
      </c>
      <c r="M96" s="3">
        <f>'Agency North'!M96</f>
        <v>42309</v>
      </c>
      <c r="N96" s="3">
        <f>'Agency North'!N96</f>
        <v>42339</v>
      </c>
      <c r="O96" s="3">
        <f>'Agency North'!O96</f>
        <v>42370</v>
      </c>
      <c r="P96" s="3">
        <f>'Agency North'!P96</f>
        <v>42401</v>
      </c>
      <c r="Q96" s="3">
        <f>'Agency North'!Q96</f>
        <v>42430</v>
      </c>
      <c r="R96" s="3">
        <f>'Agency North'!R96</f>
        <v>42461</v>
      </c>
      <c r="S96" s="3">
        <f>'Agency North'!S96</f>
        <v>42491</v>
      </c>
      <c r="T96" s="3">
        <f>'Agency North'!T96</f>
        <v>42522</v>
      </c>
      <c r="U96" s="3">
        <f>'Agency North'!U96</f>
        <v>42552</v>
      </c>
      <c r="V96" s="3">
        <f>'Agency North'!V96</f>
        <v>42583</v>
      </c>
      <c r="W96" s="3">
        <f>'Agency North'!W96</f>
        <v>42614</v>
      </c>
      <c r="X96" s="3">
        <f>'Agency North'!X96</f>
        <v>42644</v>
      </c>
      <c r="Y96" s="3">
        <f>'Agency North'!Y96</f>
        <v>42675</v>
      </c>
      <c r="Z96" s="3">
        <f>'Agency North'!Z96</f>
        <v>42705</v>
      </c>
      <c r="AA96" s="29" t="str">
        <f>"YTD " &amp; B95 &amp;"/16"</f>
        <v>YTD 0/16</v>
      </c>
      <c r="AB96" s="29" t="s">
        <v>19</v>
      </c>
      <c r="AC96" s="29" t="s">
        <v>20</v>
      </c>
      <c r="AD96" s="29" t="s">
        <v>21</v>
      </c>
      <c r="AE96" s="29" t="s">
        <v>22</v>
      </c>
      <c r="AF96" s="26" t="str">
        <f>"YTD " &amp; B95 &amp;"/15"</f>
        <v>YTD 0/15</v>
      </c>
      <c r="AG96" s="26" t="s">
        <v>23</v>
      </c>
      <c r="AH96" s="26" t="s">
        <v>24</v>
      </c>
      <c r="AI96" s="26" t="s">
        <v>25</v>
      </c>
      <c r="AJ96" s="26" t="s">
        <v>26</v>
      </c>
      <c r="AK96" s="30" t="s">
        <v>27</v>
      </c>
      <c r="AL96" s="30" t="s">
        <v>29</v>
      </c>
      <c r="AM96" s="30" t="s">
        <v>30</v>
      </c>
      <c r="AN96" s="30" t="s">
        <v>31</v>
      </c>
      <c r="AO96" s="30" t="s">
        <v>32</v>
      </c>
      <c r="AP96" s="108">
        <v>42736</v>
      </c>
      <c r="AQ96" s="108">
        <v>42767</v>
      </c>
      <c r="AR96" s="108">
        <v>42795</v>
      </c>
      <c r="AS96" s="108">
        <v>42826</v>
      </c>
      <c r="AT96" s="108">
        <v>42856</v>
      </c>
      <c r="AU96" s="108">
        <v>42887</v>
      </c>
      <c r="AV96" s="108">
        <v>42917</v>
      </c>
      <c r="AW96" s="108">
        <v>42948</v>
      </c>
      <c r="AX96" s="108">
        <v>42979</v>
      </c>
      <c r="AY96" s="108">
        <v>43009</v>
      </c>
      <c r="AZ96" s="108">
        <v>43040</v>
      </c>
      <c r="BA96" s="108">
        <v>43070</v>
      </c>
      <c r="BB96" s="29" t="s">
        <v>123</v>
      </c>
      <c r="BC96" s="29" t="s">
        <v>124</v>
      </c>
      <c r="BD96" s="29" t="s">
        <v>125</v>
      </c>
      <c r="BE96" s="29" t="s">
        <v>126</v>
      </c>
      <c r="BF96" s="29" t="str">
        <f>$BF$3</f>
        <v>YTD 7/17</v>
      </c>
      <c r="BG96" s="121">
        <v>42736</v>
      </c>
      <c r="BH96" s="108">
        <v>42767</v>
      </c>
      <c r="BI96" s="108">
        <v>42795</v>
      </c>
      <c r="BJ96" s="108">
        <v>42826</v>
      </c>
      <c r="BK96" s="108">
        <v>42856</v>
      </c>
      <c r="BL96" s="108">
        <v>42887</v>
      </c>
      <c r="BM96" s="108">
        <v>42917</v>
      </c>
      <c r="BN96" s="108">
        <v>42948</v>
      </c>
      <c r="BO96" s="108">
        <v>42979</v>
      </c>
      <c r="BP96" s="108">
        <v>43009</v>
      </c>
      <c r="BQ96" s="108">
        <v>43040</v>
      </c>
      <c r="BR96" s="108">
        <v>43070</v>
      </c>
      <c r="BS96" s="29" t="s">
        <v>127</v>
      </c>
      <c r="BT96" s="29" t="s">
        <v>128</v>
      </c>
      <c r="BU96" s="29" t="s">
        <v>96</v>
      </c>
      <c r="BV96" s="29" t="s">
        <v>129</v>
      </c>
      <c r="BW96" s="112" t="s">
        <v>130</v>
      </c>
    </row>
    <row r="97" spans="1:75" x14ac:dyDescent="0.25">
      <c r="A97" s="20" t="str">
        <f>$B$96&amp;":"&amp;B97</f>
        <v>FYP:MDRT</v>
      </c>
      <c r="B97" t="s">
        <v>4</v>
      </c>
      <c r="C97" s="6">
        <f>[25]Sheet2!L14</f>
        <v>1440.596</v>
      </c>
      <c r="D97" s="6">
        <f>[25]Sheet2!M14</f>
        <v>1291.5409999999999</v>
      </c>
      <c r="E97" s="6">
        <f>[25]Sheet2!N14</f>
        <v>3040.5740000000001</v>
      </c>
      <c r="F97" s="6">
        <f>[25]Sheet2!O14</f>
        <v>4358.6565000000001</v>
      </c>
      <c r="G97" s="6">
        <f>[25]Sheet2!P14</f>
        <v>2820.348</v>
      </c>
      <c r="H97" s="6">
        <f>[25]Sheet2!Q14</f>
        <v>4225.6244999999999</v>
      </c>
      <c r="I97" s="6">
        <f>[25]Sheet2!R14</f>
        <v>4714.8649999999998</v>
      </c>
      <c r="J97" s="6">
        <f>[25]Sheet2!S14</f>
        <v>1944.702</v>
      </c>
      <c r="K97" s="6">
        <f>[25]Sheet2!T14</f>
        <v>5441.3665000000001</v>
      </c>
      <c r="L97" s="6">
        <f>[25]Sheet2!U14</f>
        <v>4096.3784999999898</v>
      </c>
      <c r="M97" s="6">
        <f>[25]Sheet2!V14</f>
        <v>3280.3159999999898</v>
      </c>
      <c r="N97" s="6">
        <f>[25]Sheet2!W14</f>
        <v>6666.8514999999898</v>
      </c>
      <c r="O97" s="6">
        <f>[25]Sheet2!X14</f>
        <v>1653.8979999999999</v>
      </c>
      <c r="P97" s="6">
        <f>[25]Sheet2!Y14</f>
        <v>1667.09599999997</v>
      </c>
      <c r="Q97" s="6">
        <f>[25]Sheet2!Z14</f>
        <v>3509.69399999999</v>
      </c>
      <c r="R97" s="6">
        <f>[25]Sheet2!AA14</f>
        <v>5176.6750000000002</v>
      </c>
      <c r="S97" s="6">
        <f>[25]Sheet2!AB14</f>
        <v>2603.1489999999999</v>
      </c>
      <c r="T97" s="6">
        <f>[25]Sheet2!AC14</f>
        <v>2731.1025</v>
      </c>
      <c r="U97" s="6">
        <v>2362.8980000000001</v>
      </c>
      <c r="V97">
        <v>2031.9994999999999</v>
      </c>
      <c r="W97">
        <v>2755.7489999999998</v>
      </c>
      <c r="X97" s="6">
        <f>[14]APE!K34</f>
        <v>2419.4389999999999</v>
      </c>
      <c r="Y97" s="6">
        <f>[24]APE!K34</f>
        <v>3168.6145000000001</v>
      </c>
      <c r="Z97" s="6">
        <f>[15]APE!K34</f>
        <v>5364.8720000000003</v>
      </c>
      <c r="AA97" s="22">
        <f>SUM(O97:INDEX(O97:Z97,$B$2))</f>
        <v>19704.512499999961</v>
      </c>
      <c r="AB97" s="22">
        <f>SUM(O97:Q97)</f>
        <v>6830.6879999999601</v>
      </c>
      <c r="AC97" s="22">
        <f>SUM(R97:T97)</f>
        <v>10510.926500000001</v>
      </c>
      <c r="AD97" s="22">
        <f>SUM(U97:W97)</f>
        <v>7150.6464999999998</v>
      </c>
      <c r="AE97" s="22">
        <f>SUM(X97:Z97)</f>
        <v>10952.925500000001</v>
      </c>
      <c r="AF97" s="33">
        <f>SUM(C97:INDEX(C97:N97,$B$2))</f>
        <v>21892.205000000002</v>
      </c>
      <c r="AG97" s="6">
        <f>SUM(C97:E97)</f>
        <v>5772.7109999999993</v>
      </c>
      <c r="AH97" s="6">
        <f>SUM(F97:H97)</f>
        <v>11404.629000000001</v>
      </c>
      <c r="AI97" s="6">
        <f>SUM(I97:K97)</f>
        <v>12100.933499999999</v>
      </c>
      <c r="AJ97" s="6">
        <f>SUM(L97:N97)</f>
        <v>14043.545999999969</v>
      </c>
      <c r="AK97" s="31">
        <f>AA97/AF97-1</f>
        <v>-9.9930203467400447E-2</v>
      </c>
      <c r="AL97" s="31">
        <f t="shared" ref="AL97:AL105" si="305">AB97/AG97-1</f>
        <v>0.18327212292456019</v>
      </c>
      <c r="AM97" s="31">
        <f t="shared" ref="AM97:AM105" si="306">AC97/AH97-1</f>
        <v>-7.8363136582522697E-2</v>
      </c>
      <c r="AN97" s="31">
        <f t="shared" ref="AN97:AN105" si="307">AD97/AI97-1</f>
        <v>-0.40908306784761683</v>
      </c>
      <c r="AO97" s="31">
        <f t="shared" ref="AO97:AO105" si="308">AE97/AJ97-1</f>
        <v>-0.22007408242903714</v>
      </c>
      <c r="AP97" s="22">
        <f>[16]APE!K34</f>
        <v>4045.5320000000002</v>
      </c>
      <c r="AQ97" s="22">
        <f>[17]APE!K35</f>
        <v>6912.7448000000104</v>
      </c>
      <c r="AR97" s="22">
        <f>[18]APE!K36</f>
        <v>8180.7</v>
      </c>
      <c r="AS97" s="22">
        <f>[19]APE!K36</f>
        <v>6663.7450000000199</v>
      </c>
      <c r="AT97" s="22">
        <f>[20]APE!K36</f>
        <v>6116.01</v>
      </c>
      <c r="AU97" s="22">
        <f>[21]APE!K36</f>
        <v>7612.45</v>
      </c>
      <c r="AV97" s="22">
        <f>[22]APE!K36</f>
        <v>5574.8750000000155</v>
      </c>
      <c r="BB97" s="110">
        <f>SUM(AP97:INDEX(AP97:AR97,IF($B$2&lt;3,$B$2,3)))</f>
        <v>19138.976800000011</v>
      </c>
      <c r="BC97" s="110">
        <f>SUM(AS97:INDEX(AS97:AU97,IF(AND($B$2&gt;3,$B$2&lt;7),$B$2-3,0)))</f>
        <v>20392.20500000002</v>
      </c>
      <c r="BD97" s="110">
        <f>SUM(AV97:INDEX(AV97:AX97,IF(AND($B$2&gt;6,$B$2&lt;10),$B$2-6,0)))</f>
        <v>5574.8750000000155</v>
      </c>
      <c r="BE97" s="110">
        <f>SUM(AY97:INDEX(AY97:BA97,IF($B$2&gt;9,$B$2-9,0)))</f>
        <v>0</v>
      </c>
      <c r="BF97" s="110">
        <f>SUM($AP97:INDEX(AP97:BA97,$B$2))</f>
        <v>45106.056800000042</v>
      </c>
      <c r="BG97" s="125">
        <f>AP97/O97</f>
        <v>2.4460589468032494</v>
      </c>
      <c r="BH97" s="111">
        <f t="shared" ref="BH97:BH105" si="309">AQ97/P97</f>
        <v>4.1465787213214682</v>
      </c>
      <c r="BI97" s="111">
        <f t="shared" ref="BI97:BI105" si="310">AR97/Q97</f>
        <v>2.3308869662141554</v>
      </c>
      <c r="BJ97" s="111">
        <f t="shared" ref="BJ97:BJ105" si="311">AS97/R97</f>
        <v>1.2872635427180612</v>
      </c>
      <c r="BK97" s="111">
        <f t="shared" ref="BK97:BK105" si="312">AT97/S97</f>
        <v>2.3494659737110708</v>
      </c>
      <c r="BL97" s="111">
        <f t="shared" ref="BL97:BL105" si="313">AU97/T97</f>
        <v>2.7873175759606239</v>
      </c>
      <c r="BM97" s="111">
        <f t="shared" ref="BM97:BM105" si="314">AV97/U97</f>
        <v>2.3593379824266707</v>
      </c>
      <c r="BN97" s="111">
        <f t="shared" ref="BN97:BN105" si="315">AW97/V97</f>
        <v>0</v>
      </c>
      <c r="BO97" s="111">
        <f t="shared" ref="BO97:BO105" si="316">AX97/W97</f>
        <v>0</v>
      </c>
      <c r="BP97" s="111">
        <f t="shared" ref="BP97:BP105" si="317">AY97/X97</f>
        <v>0</v>
      </c>
      <c r="BQ97" s="111">
        <f t="shared" ref="BQ97:BQ105" si="318">AZ97/Y97</f>
        <v>0</v>
      </c>
      <c r="BR97" s="111">
        <f t="shared" ref="BR97:BR105" si="319">BA97/Z97</f>
        <v>0</v>
      </c>
      <c r="BS97" s="111">
        <f>BB97/SUM(O97:INDEX(O97:Q97,IF($B$2&lt;3,$B$2,3)))</f>
        <v>2.8019105542516543</v>
      </c>
      <c r="BT97" s="111">
        <f>BC97/SUM(R97:INDEX(R97:T97,$C$2))</f>
        <v>3.9392476831170624</v>
      </c>
      <c r="BU97" s="111">
        <f>BD97/SUM(U97:INDEX(U97:W97,$C$2))</f>
        <v>2.3593379824266707</v>
      </c>
      <c r="BV97" s="111">
        <f t="shared" ref="BV97:BV105" si="320">BE97/AE97</f>
        <v>0</v>
      </c>
      <c r="BW97" s="111">
        <f>BF97/AA97</f>
        <v>2.2891232046466579</v>
      </c>
    </row>
    <row r="98" spans="1:75" x14ac:dyDescent="0.25">
      <c r="A98" s="20" t="str">
        <f t="shared" ref="A98:A105" si="321">$B$96&amp;":"&amp;B98</f>
        <v>FYP:Rookie in month</v>
      </c>
      <c r="B98" t="s">
        <v>5</v>
      </c>
      <c r="C98" s="6">
        <f>[25]Sheet2!L15</f>
        <v>673.93899999999996</v>
      </c>
      <c r="D98" s="6">
        <f>[25]Sheet2!M15</f>
        <v>364.09500000000003</v>
      </c>
      <c r="E98" s="6">
        <f>[25]Sheet2!N15</f>
        <v>1448.1224999999999</v>
      </c>
      <c r="F98" s="6">
        <f>[25]Sheet2!O15</f>
        <v>2179.23</v>
      </c>
      <c r="G98" s="6">
        <f>[25]Sheet2!P15</f>
        <v>1297.961</v>
      </c>
      <c r="H98" s="6">
        <f>[25]Sheet2!Q15</f>
        <v>1867.5740000000001</v>
      </c>
      <c r="I98" s="6">
        <f>[25]Sheet2!R15</f>
        <v>1850.2329999999999</v>
      </c>
      <c r="J98" s="6">
        <f>[25]Sheet2!S15</f>
        <v>1309.444</v>
      </c>
      <c r="K98" s="6">
        <f>[25]Sheet2!T15</f>
        <v>1958.0989999999999</v>
      </c>
      <c r="L98" s="6">
        <f>[25]Sheet2!U15</f>
        <v>1505.48</v>
      </c>
      <c r="M98" s="6">
        <f>[25]Sheet2!V15</f>
        <v>2777.056</v>
      </c>
      <c r="N98" s="6">
        <f>[25]Sheet2!W15</f>
        <v>4905.2609999999904</v>
      </c>
      <c r="O98" s="6">
        <f>[25]Sheet2!X15</f>
        <v>294.68299999999999</v>
      </c>
      <c r="P98" s="6">
        <f>[25]Sheet2!Y15</f>
        <v>496.25200000000001</v>
      </c>
      <c r="Q98" s="6">
        <f>[25]Sheet2!Z15</f>
        <v>4135.1400000000003</v>
      </c>
      <c r="R98" s="6">
        <f>[25]Sheet2!AA15</f>
        <v>2110.4189999999999</v>
      </c>
      <c r="S98" s="6">
        <f>[25]Sheet2!AB15</f>
        <v>1590.0609999999999</v>
      </c>
      <c r="T98" s="6">
        <f>[25]Sheet2!AC15</f>
        <v>2736.3220000000001</v>
      </c>
      <c r="U98" s="6">
        <v>1654.76</v>
      </c>
      <c r="V98">
        <v>2114.7550000000001</v>
      </c>
      <c r="W98">
        <v>4087.4960000000101</v>
      </c>
      <c r="X98" s="6">
        <f>[14]APE!K35</f>
        <v>1853.681</v>
      </c>
      <c r="Y98" s="6">
        <f>[24]APE!K35</f>
        <v>3529.88</v>
      </c>
      <c r="Z98" s="6">
        <f>[15]APE!K35</f>
        <v>5017.8605000000098</v>
      </c>
      <c r="AA98" s="22">
        <f>SUM(O98:INDEX(O98:Z98,$B$2))</f>
        <v>13017.637000000001</v>
      </c>
      <c r="AB98" s="22">
        <f t="shared" ref="AB98:AB103" si="322">SUM(O98:Q98)</f>
        <v>4926.0750000000007</v>
      </c>
      <c r="AC98" s="22">
        <f t="shared" ref="AC98:AC103" si="323">SUM(R98:T98)</f>
        <v>6436.8019999999997</v>
      </c>
      <c r="AD98" s="22">
        <f t="shared" ref="AD98:AD103" si="324">SUM(U98:W98)</f>
        <v>7857.0110000000104</v>
      </c>
      <c r="AE98" s="22">
        <f t="shared" ref="AE98:AE103" si="325">SUM(X98:Z98)</f>
        <v>10401.421500000009</v>
      </c>
      <c r="AF98" s="6">
        <f>SUM(C98                                                                                : INDEX(C98:N98,$B$2))</f>
        <v>9681.1545000000006</v>
      </c>
      <c r="AG98" s="6">
        <f t="shared" ref="AG98:AG103" si="326">SUM(C98:E98)</f>
        <v>2486.1565000000001</v>
      </c>
      <c r="AH98" s="6">
        <f t="shared" ref="AH98:AH103" si="327">SUM(F98:H98)</f>
        <v>5344.7649999999994</v>
      </c>
      <c r="AI98" s="6">
        <f t="shared" ref="AI98:AI103" si="328">SUM(I98:K98)</f>
        <v>5117.7759999999998</v>
      </c>
      <c r="AJ98" s="6">
        <f t="shared" ref="AJ98:AJ103" si="329">SUM(L98:N98)</f>
        <v>9187.7969999999914</v>
      </c>
      <c r="AK98" s="31">
        <f t="shared" ref="AK98:AK105" si="330">AA98/AF98-1</f>
        <v>0.34463684057516075</v>
      </c>
      <c r="AL98" s="31">
        <f t="shared" si="305"/>
        <v>0.98140181440709817</v>
      </c>
      <c r="AM98" s="31">
        <f t="shared" si="306"/>
        <v>0.20431899250949304</v>
      </c>
      <c r="AN98" s="31">
        <f t="shared" si="307"/>
        <v>0.53523933052169737</v>
      </c>
      <c r="AO98" s="31">
        <f t="shared" si="308"/>
        <v>0.13209091363250836</v>
      </c>
      <c r="AP98" s="22">
        <f>[16]APE!K35</f>
        <v>1221.7750000000001</v>
      </c>
      <c r="AQ98" s="22">
        <f>[17]APE!K36</f>
        <v>2108.953</v>
      </c>
      <c r="AR98" s="22">
        <f>[18]APE!K37</f>
        <v>3886.32</v>
      </c>
      <c r="AS98" s="22">
        <f>[19]APE!K37</f>
        <v>3767.0279999999998</v>
      </c>
      <c r="AT98" s="22">
        <f>[20]APE!K37</f>
        <v>3178.47</v>
      </c>
      <c r="AU98" s="22">
        <f>[21]APE!K37</f>
        <v>4919.76</v>
      </c>
      <c r="AV98" s="22">
        <f>[22]APE!K37</f>
        <v>3358.8269999999975</v>
      </c>
      <c r="BB98" s="110">
        <f>SUM(AP98:INDEX(AP98:AR98,IF($B$2&lt;3,$B$2,3)))</f>
        <v>7217.0480000000007</v>
      </c>
      <c r="BC98" s="110">
        <f>SUM(AS98:INDEX(AS98:AU98,IF(AND($B$2&gt;3,$B$2&lt;7),$B$2-3,0)))</f>
        <v>11865.258</v>
      </c>
      <c r="BD98" s="110">
        <f>SUM(AV98:INDEX(AV98:AX98,IF(AND($B$2&gt;6,$B$2&lt;10),$B$2-6,0)))</f>
        <v>3358.8269999999975</v>
      </c>
      <c r="BE98" s="110">
        <f>SUM(AY98:INDEX(AY98:BA98,IF($B$2&gt;9,$B$2-9,0)))</f>
        <v>0</v>
      </c>
      <c r="BF98" s="110">
        <f>SUM($AP98:INDEX(AP98:BA98,$B$2))</f>
        <v>22441.132999999998</v>
      </c>
      <c r="BG98" s="125">
        <f t="shared" ref="BG98:BG105" si="331">AP98/O98</f>
        <v>4.1460654330246403</v>
      </c>
      <c r="BH98" s="111">
        <f t="shared" si="309"/>
        <v>4.2497622175830019</v>
      </c>
      <c r="BI98" s="111">
        <f t="shared" si="310"/>
        <v>0.9398279139279444</v>
      </c>
      <c r="BJ98" s="111">
        <f t="shared" si="311"/>
        <v>1.7849668715075064</v>
      </c>
      <c r="BK98" s="111">
        <f t="shared" si="312"/>
        <v>1.9989610461485439</v>
      </c>
      <c r="BL98" s="111">
        <f t="shared" si="313"/>
        <v>1.797946294332319</v>
      </c>
      <c r="BM98" s="111">
        <f t="shared" si="314"/>
        <v>2.0297970702700074</v>
      </c>
      <c r="BN98" s="111">
        <f t="shared" si="315"/>
        <v>0</v>
      </c>
      <c r="BO98" s="111">
        <f t="shared" si="316"/>
        <v>0</v>
      </c>
      <c r="BP98" s="111">
        <f t="shared" si="317"/>
        <v>0</v>
      </c>
      <c r="BQ98" s="111">
        <f t="shared" si="318"/>
        <v>0</v>
      </c>
      <c r="BR98" s="111">
        <f t="shared" si="319"/>
        <v>0</v>
      </c>
      <c r="BS98" s="111">
        <f>BB98/SUM(O98:INDEX(O98:Q98,IF($B$2&lt;3,$B$2,3)))</f>
        <v>1.4650706698537881</v>
      </c>
      <c r="BT98" s="111">
        <f>BC98/SUM(R98:INDEX(R98:T98,$C$2))</f>
        <v>5.6222285716722604</v>
      </c>
      <c r="BU98" s="111">
        <f>BD98/SUM(U98:INDEX(U98:W98,$C$2))</f>
        <v>2.0297970702700074</v>
      </c>
      <c r="BV98" s="111">
        <f t="shared" si="320"/>
        <v>0</v>
      </c>
      <c r="BW98" s="111">
        <f t="shared" ref="BW98:BW105" si="332">BF98/AA98</f>
        <v>1.7239021951526223</v>
      </c>
    </row>
    <row r="99" spans="1:75" x14ac:dyDescent="0.25">
      <c r="A99" s="20" t="str">
        <f t="shared" si="321"/>
        <v>FYP:Rookie last month</v>
      </c>
      <c r="B99" t="s">
        <v>6</v>
      </c>
      <c r="C99" s="6">
        <f>[25]Sheet2!L16</f>
        <v>768.37599999999998</v>
      </c>
      <c r="D99" s="6">
        <f>[25]Sheet2!M16</f>
        <v>779.36099999999999</v>
      </c>
      <c r="E99" s="6">
        <f>[25]Sheet2!N16</f>
        <v>962.07500000000005</v>
      </c>
      <c r="F99" s="6">
        <f>[25]Sheet2!O16</f>
        <v>1836.865</v>
      </c>
      <c r="G99" s="6">
        <f>[25]Sheet2!P16</f>
        <v>1911.2365</v>
      </c>
      <c r="H99" s="6">
        <f>[25]Sheet2!Q16</f>
        <v>1852.546</v>
      </c>
      <c r="I99" s="6">
        <f>[25]Sheet2!R16</f>
        <v>1554.126</v>
      </c>
      <c r="J99" s="6">
        <f>[25]Sheet2!S16</f>
        <v>1076.2090000000001</v>
      </c>
      <c r="K99" s="6">
        <f>[25]Sheet2!T16</f>
        <v>1793.36</v>
      </c>
      <c r="L99" s="6">
        <f>[25]Sheet2!U16</f>
        <v>1712.3889999999999</v>
      </c>
      <c r="M99" s="6">
        <f>[25]Sheet2!V16</f>
        <v>1401.8465000000001</v>
      </c>
      <c r="N99" s="6">
        <f>[25]Sheet2!W16</f>
        <v>3614.35699999999</v>
      </c>
      <c r="O99" s="6">
        <f>[25]Sheet2!X16</f>
        <v>1439.615</v>
      </c>
      <c r="P99" s="6">
        <f>[25]Sheet2!Y16</f>
        <v>276.411</v>
      </c>
      <c r="Q99" s="6">
        <f>[25]Sheet2!Z16</f>
        <v>1082.136</v>
      </c>
      <c r="R99" s="6">
        <f>[25]Sheet2!AA16</f>
        <v>2276.2489999999998</v>
      </c>
      <c r="S99" s="6">
        <f>[25]Sheet2!AB16</f>
        <v>1889.4059999999999</v>
      </c>
      <c r="T99" s="6">
        <f>[25]Sheet2!AC16</f>
        <v>2043.105</v>
      </c>
      <c r="U99" s="6">
        <v>1796.61</v>
      </c>
      <c r="V99">
        <v>1060.914</v>
      </c>
      <c r="W99">
        <v>2152.5410000000002</v>
      </c>
      <c r="X99" s="6">
        <f>[14]APE!K36</f>
        <v>3740.8420000000001</v>
      </c>
      <c r="Y99" s="6">
        <f>[24]APE!K36</f>
        <v>4035.6750000000002</v>
      </c>
      <c r="Z99" s="6">
        <f>[15]APE!K36</f>
        <v>3013.951</v>
      </c>
      <c r="AA99" s="22">
        <f>SUM(O99:INDEX(O99:Z99,$B$2))</f>
        <v>10803.532000000001</v>
      </c>
      <c r="AB99" s="22">
        <f t="shared" si="322"/>
        <v>2798.1620000000003</v>
      </c>
      <c r="AC99" s="22">
        <f t="shared" si="323"/>
        <v>6208.76</v>
      </c>
      <c r="AD99" s="22">
        <f t="shared" si="324"/>
        <v>5010.0650000000005</v>
      </c>
      <c r="AE99" s="22">
        <f t="shared" si="325"/>
        <v>10790.468000000001</v>
      </c>
      <c r="AF99" s="6">
        <f>SUM(C99                                                                                : INDEX(C99:N99,$B$2))</f>
        <v>9664.5854999999992</v>
      </c>
      <c r="AG99" s="6">
        <f t="shared" si="326"/>
        <v>2509.8119999999999</v>
      </c>
      <c r="AH99" s="6">
        <f t="shared" si="327"/>
        <v>5600.6475</v>
      </c>
      <c r="AI99" s="6">
        <f t="shared" si="328"/>
        <v>4423.6949999999997</v>
      </c>
      <c r="AJ99" s="6">
        <f t="shared" si="329"/>
        <v>6728.5924999999897</v>
      </c>
      <c r="AK99" s="31">
        <f t="shared" si="330"/>
        <v>0.11784742346166865</v>
      </c>
      <c r="AL99" s="31">
        <f t="shared" si="305"/>
        <v>0.1148890833257632</v>
      </c>
      <c r="AM99" s="31">
        <f t="shared" si="306"/>
        <v>0.10857896341449802</v>
      </c>
      <c r="AN99" s="31">
        <f t="shared" si="307"/>
        <v>0.13255208598241985</v>
      </c>
      <c r="AO99" s="31">
        <f t="shared" si="308"/>
        <v>0.60367387384508975</v>
      </c>
      <c r="AP99" s="22">
        <f>[16]APE!K36</f>
        <v>1370.3530000000001</v>
      </c>
      <c r="AQ99" s="22">
        <f>[17]APE!K37</f>
        <v>1004.44</v>
      </c>
      <c r="AR99" s="22">
        <f>[18]APE!K38</f>
        <v>3189.04</v>
      </c>
      <c r="AS99" s="22">
        <f>[19]APE!K38</f>
        <v>2173.6979999999999</v>
      </c>
      <c r="AT99" s="22">
        <f>[20]APE!K38</f>
        <v>3137.58</v>
      </c>
      <c r="AU99" s="22">
        <f>[21]APE!K38</f>
        <v>2115.9899999999998</v>
      </c>
      <c r="AV99" s="22">
        <f>[22]APE!K38</f>
        <v>2052.6609999999987</v>
      </c>
      <c r="BB99" s="110">
        <f>SUM(AP99:INDEX(AP99:AR99,IF($B$2&lt;3,$B$2,3)))</f>
        <v>5563.8330000000005</v>
      </c>
      <c r="BC99" s="110">
        <f>SUM(AS99:INDEX(AS99:AU99,IF(AND($B$2&gt;3,$B$2&lt;7),$B$2-3,0)))</f>
        <v>7427.268</v>
      </c>
      <c r="BD99" s="110">
        <f>SUM(AV99:INDEX(AV99:AX99,IF(AND($B$2&gt;6,$B$2&lt;10),$B$2-6,0)))</f>
        <v>2052.6609999999987</v>
      </c>
      <c r="BE99" s="110">
        <f>SUM(AY99:INDEX(AY99:BA99,IF($B$2&gt;9,$B$2-9,0)))</f>
        <v>0</v>
      </c>
      <c r="BF99" s="110">
        <f>SUM($AP99:INDEX(AP99:BA99,$B$2))</f>
        <v>15043.761999999999</v>
      </c>
      <c r="BG99" s="125">
        <f t="shared" si="331"/>
        <v>0.95188852575167671</v>
      </c>
      <c r="BH99" s="111">
        <f t="shared" si="309"/>
        <v>3.6338640647441673</v>
      </c>
      <c r="BI99" s="111">
        <f t="shared" si="310"/>
        <v>2.9469863307384654</v>
      </c>
      <c r="BJ99" s="111">
        <f t="shared" si="311"/>
        <v>0.95494737175063016</v>
      </c>
      <c r="BK99" s="111">
        <f t="shared" si="312"/>
        <v>1.6606171463412311</v>
      </c>
      <c r="BL99" s="111">
        <f t="shared" si="313"/>
        <v>1.0356736437921692</v>
      </c>
      <c r="BM99" s="111">
        <f t="shared" si="314"/>
        <v>1.1425189662753734</v>
      </c>
      <c r="BN99" s="111">
        <f t="shared" si="315"/>
        <v>0</v>
      </c>
      <c r="BO99" s="111">
        <f t="shared" si="316"/>
        <v>0</v>
      </c>
      <c r="BP99" s="111">
        <f t="shared" si="317"/>
        <v>0</v>
      </c>
      <c r="BQ99" s="111">
        <f t="shared" si="318"/>
        <v>0</v>
      </c>
      <c r="BR99" s="111">
        <f t="shared" si="319"/>
        <v>0</v>
      </c>
      <c r="BS99" s="111">
        <f>BB99/SUM(O99:INDEX(O99:Q99,IF($B$2&lt;3,$B$2,3)))</f>
        <v>1.9883884492749169</v>
      </c>
      <c r="BT99" s="111">
        <f>BC99/SUM(R99:INDEX(R99:T99,$C$2))</f>
        <v>3.262941795910729</v>
      </c>
      <c r="BU99" s="111">
        <f>BD99/SUM(U99:INDEX(U99:W99,$C$2))</f>
        <v>1.1425189662753734</v>
      </c>
      <c r="BV99" s="111">
        <f t="shared" si="320"/>
        <v>0</v>
      </c>
      <c r="BW99" s="111">
        <f t="shared" si="332"/>
        <v>1.3924855315835596</v>
      </c>
    </row>
    <row r="100" spans="1:75" x14ac:dyDescent="0.25">
      <c r="A100" s="20" t="str">
        <f t="shared" si="321"/>
        <v>FYP:2-3 months</v>
      </c>
      <c r="B100" t="s">
        <v>7</v>
      </c>
      <c r="C100" s="6">
        <f>[25]Sheet2!L17</f>
        <v>896.06</v>
      </c>
      <c r="D100" s="6">
        <f>[25]Sheet2!M17</f>
        <v>1071.425</v>
      </c>
      <c r="E100" s="6">
        <f>[25]Sheet2!N17</f>
        <v>2173.259</v>
      </c>
      <c r="F100" s="6">
        <f>[25]Sheet2!O17</f>
        <v>1138.549</v>
      </c>
      <c r="G100" s="6">
        <f>[25]Sheet2!P17</f>
        <v>1461.548</v>
      </c>
      <c r="H100" s="6">
        <f>[25]Sheet2!Q17</f>
        <v>3259.0634999999902</v>
      </c>
      <c r="I100" s="6">
        <f>[25]Sheet2!R17</f>
        <v>2361.9650000000001</v>
      </c>
      <c r="J100" s="6">
        <f>[25]Sheet2!S17</f>
        <v>1247.9849999999999</v>
      </c>
      <c r="K100" s="6">
        <f>[25]Sheet2!T17</f>
        <v>2085.6970000000001</v>
      </c>
      <c r="L100" s="6">
        <f>[25]Sheet2!U17</f>
        <v>2098.9899999999998</v>
      </c>
      <c r="M100" s="6">
        <f>[25]Sheet2!V17</f>
        <v>3080.4430000000002</v>
      </c>
      <c r="N100" s="6">
        <f>[25]Sheet2!W17</f>
        <v>3424.1444999999999</v>
      </c>
      <c r="O100" s="6">
        <f>[25]Sheet2!X17</f>
        <v>948.02300000000105</v>
      </c>
      <c r="P100" s="6">
        <f>[25]Sheet2!Y17</f>
        <v>1688.5260000000001</v>
      </c>
      <c r="Q100" s="6">
        <f>[25]Sheet2!Z17</f>
        <v>2155.5830000000001</v>
      </c>
      <c r="R100" s="6">
        <f>[25]Sheet2!AA17</f>
        <v>844.80100000000004</v>
      </c>
      <c r="S100" s="6">
        <f>[25]Sheet2!AB17</f>
        <v>2513.6585</v>
      </c>
      <c r="T100" s="6">
        <f>[25]Sheet2!AC17</f>
        <v>3229.1574999999998</v>
      </c>
      <c r="U100" s="6">
        <v>2772.2350000000001</v>
      </c>
      <c r="V100">
        <v>2069.817</v>
      </c>
      <c r="W100">
        <v>1796.0920000000001</v>
      </c>
      <c r="X100" s="6">
        <f>[14]APE!K37</f>
        <v>1288.1099999999999</v>
      </c>
      <c r="Y100" s="6">
        <f>[24]APE!K37</f>
        <v>7188.4295000000102</v>
      </c>
      <c r="Z100" s="6">
        <f>[15]APE!K37</f>
        <v>15138.454</v>
      </c>
      <c r="AA100" s="22">
        <f>SUM(O100:INDEX(O100:Z100,$B$2))</f>
        <v>14151.984000000002</v>
      </c>
      <c r="AB100" s="22">
        <f t="shared" si="322"/>
        <v>4792.1320000000014</v>
      </c>
      <c r="AC100" s="22">
        <f t="shared" si="323"/>
        <v>6587.6170000000002</v>
      </c>
      <c r="AD100" s="22">
        <f t="shared" si="324"/>
        <v>6638.1440000000002</v>
      </c>
      <c r="AE100" s="22">
        <f t="shared" si="325"/>
        <v>23614.993500000011</v>
      </c>
      <c r="AF100" s="6">
        <f>SUM(C100                                                                                : INDEX(C100:N100,$B$2))</f>
        <v>12361.86949999999</v>
      </c>
      <c r="AG100" s="6">
        <f t="shared" si="326"/>
        <v>4140.7439999999997</v>
      </c>
      <c r="AH100" s="6">
        <f t="shared" si="327"/>
        <v>5859.16049999999</v>
      </c>
      <c r="AI100" s="6">
        <f t="shared" si="328"/>
        <v>5695.6469999999999</v>
      </c>
      <c r="AJ100" s="6">
        <f t="shared" si="329"/>
        <v>8603.5774999999994</v>
      </c>
      <c r="AK100" s="31">
        <f t="shared" si="330"/>
        <v>0.14480936722394722</v>
      </c>
      <c r="AL100" s="31">
        <f t="shared" si="305"/>
        <v>0.15731182608729299</v>
      </c>
      <c r="AM100" s="31">
        <f t="shared" si="306"/>
        <v>0.12432779405855343</v>
      </c>
      <c r="AN100" s="31">
        <f t="shared" si="307"/>
        <v>0.16547672283763371</v>
      </c>
      <c r="AO100" s="31">
        <f t="shared" si="308"/>
        <v>1.744787676986697</v>
      </c>
      <c r="AP100" s="22">
        <f>[16]APE!K37</f>
        <v>2823.7734999999998</v>
      </c>
      <c r="AQ100" s="22">
        <f>[17]APE!K38</f>
        <v>4470.6319999999996</v>
      </c>
      <c r="AR100" s="22">
        <f>[18]APE!K39</f>
        <v>2328.29</v>
      </c>
      <c r="AS100" s="22">
        <f>[19]APE!K39</f>
        <v>2233.645</v>
      </c>
      <c r="AT100" s="22">
        <f>[20]APE!K39</f>
        <v>3743.62</v>
      </c>
      <c r="AU100" s="22">
        <f>[21]APE!K39</f>
        <v>4129.46</v>
      </c>
      <c r="AV100" s="22">
        <f>[22]APE!K39</f>
        <v>2863.3569999999977</v>
      </c>
      <c r="BB100" s="110">
        <f>SUM(AP100:INDEX(AP100:AR100,IF($B$2&lt;3,$B$2,3)))</f>
        <v>9622.695499999998</v>
      </c>
      <c r="BC100" s="110">
        <f>SUM(AS100:INDEX(AS100:AU100,IF(AND($B$2&gt;3,$B$2&lt;7),$B$2-3,0)))</f>
        <v>10106.724999999999</v>
      </c>
      <c r="BD100" s="110">
        <f>SUM(AV100:INDEX(AV100:AX100,IF(AND($B$2&gt;6,$B$2&lt;10),$B$2-6,0)))</f>
        <v>2863.3569999999977</v>
      </c>
      <c r="BE100" s="110">
        <f>SUM(AY100:INDEX(AY100:BA100,IF($B$2&gt;9,$B$2-9,0)))</f>
        <v>0</v>
      </c>
      <c r="BF100" s="110">
        <f>SUM($AP100:INDEX(AP100:BA100,$B$2))</f>
        <v>22592.777499999993</v>
      </c>
      <c r="BG100" s="125">
        <f t="shared" si="331"/>
        <v>2.9785917641238626</v>
      </c>
      <c r="BH100" s="111">
        <f t="shared" si="309"/>
        <v>2.6476536339979364</v>
      </c>
      <c r="BI100" s="111">
        <f t="shared" si="310"/>
        <v>1.0801207840291929</v>
      </c>
      <c r="BJ100" s="111">
        <f t="shared" si="311"/>
        <v>2.6439895312623918</v>
      </c>
      <c r="BK100" s="111">
        <f t="shared" si="312"/>
        <v>1.4893112966618178</v>
      </c>
      <c r="BL100" s="111">
        <f t="shared" si="313"/>
        <v>1.278804146282738</v>
      </c>
      <c r="BM100" s="111">
        <f t="shared" si="314"/>
        <v>1.0328695078158949</v>
      </c>
      <c r="BN100" s="111">
        <f t="shared" si="315"/>
        <v>0</v>
      </c>
      <c r="BO100" s="111">
        <f t="shared" si="316"/>
        <v>0</v>
      </c>
      <c r="BP100" s="111">
        <f t="shared" si="317"/>
        <v>0</v>
      </c>
      <c r="BQ100" s="111">
        <f t="shared" si="318"/>
        <v>0</v>
      </c>
      <c r="BR100" s="111">
        <f t="shared" si="319"/>
        <v>0</v>
      </c>
      <c r="BS100" s="111">
        <f>BB100/SUM(O100:INDEX(O100:Q100,IF($B$2&lt;3,$B$2,3)))</f>
        <v>2.0080197081382556</v>
      </c>
      <c r="BT100" s="111">
        <f>BC100/SUM(R100:INDEX(R100:T100,$C$2))</f>
        <v>11.963438726990141</v>
      </c>
      <c r="BU100" s="111">
        <f>BD100/SUM(U100:INDEX(U100:W100,$C$2))</f>
        <v>1.0328695078158949</v>
      </c>
      <c r="BV100" s="111">
        <f t="shared" si="320"/>
        <v>0</v>
      </c>
      <c r="BW100" s="111">
        <f t="shared" si="332"/>
        <v>1.5964388809371173</v>
      </c>
    </row>
    <row r="101" spans="1:75" x14ac:dyDescent="0.25">
      <c r="A101" s="20" t="str">
        <f t="shared" si="321"/>
        <v>FYP:4 - 6 mths</v>
      </c>
      <c r="B101" t="s">
        <v>8</v>
      </c>
      <c r="C101" s="6">
        <f>[25]Sheet2!L18</f>
        <v>297.05900000000003</v>
      </c>
      <c r="D101" s="6">
        <f>[25]Sheet2!M18</f>
        <v>698.52700000000004</v>
      </c>
      <c r="E101" s="6">
        <f>[25]Sheet2!N18</f>
        <v>1590.6669999999999</v>
      </c>
      <c r="F101" s="6">
        <f>[25]Sheet2!O18</f>
        <v>1525.4765</v>
      </c>
      <c r="G101" s="6">
        <f>[25]Sheet2!P18</f>
        <v>1658.8119999999999</v>
      </c>
      <c r="H101" s="6">
        <f>[25]Sheet2!Q18</f>
        <v>1483.665</v>
      </c>
      <c r="I101" s="6">
        <f>[25]Sheet2!R18</f>
        <v>2137.2350000000001</v>
      </c>
      <c r="J101" s="6">
        <f>[25]Sheet2!S18</f>
        <v>1885.086</v>
      </c>
      <c r="K101" s="6">
        <f>[25]Sheet2!T18</f>
        <v>2516.4115000000002</v>
      </c>
      <c r="L101" s="6">
        <f>[25]Sheet2!U18</f>
        <v>2261.4059999999999</v>
      </c>
      <c r="M101" s="6">
        <f>[25]Sheet2!V18</f>
        <v>2729.8090000000002</v>
      </c>
      <c r="N101" s="6">
        <f>[25]Sheet2!W18</f>
        <v>4888.1260000000002</v>
      </c>
      <c r="O101" s="6">
        <f>[25]Sheet2!X18</f>
        <v>596.21500000000003</v>
      </c>
      <c r="P101" s="6">
        <f>[25]Sheet2!Y18</f>
        <v>576.58249999999998</v>
      </c>
      <c r="Q101" s="6">
        <f>[25]Sheet2!Z18</f>
        <v>2242.6680000000001</v>
      </c>
      <c r="R101" s="6">
        <f>[25]Sheet2!AA18</f>
        <v>4236.6719999999996</v>
      </c>
      <c r="S101" s="6">
        <f>[25]Sheet2!AB18</f>
        <v>1373.7104999999999</v>
      </c>
      <c r="T101" s="6">
        <f>[25]Sheet2!AC18</f>
        <v>1350.452</v>
      </c>
      <c r="U101" s="6">
        <v>1483.2974999999999</v>
      </c>
      <c r="V101">
        <v>2428.3919999999998</v>
      </c>
      <c r="W101">
        <v>3900.6590000000001</v>
      </c>
      <c r="X101" s="6">
        <f>[14]APE!K38</f>
        <v>3858.0965000000001</v>
      </c>
      <c r="Y101" s="6">
        <f>[24]APE!K38</f>
        <v>1922.1234999999999</v>
      </c>
      <c r="Z101" s="6">
        <f>[15]APE!K38</f>
        <v>2530.0524999999998</v>
      </c>
      <c r="AA101" s="22">
        <f>SUM(O101:INDEX(O101:Z101,$B$2))</f>
        <v>11859.5975</v>
      </c>
      <c r="AB101" s="22">
        <f t="shared" si="322"/>
        <v>3415.4655000000002</v>
      </c>
      <c r="AC101" s="22">
        <f t="shared" si="323"/>
        <v>6960.8344999999999</v>
      </c>
      <c r="AD101" s="22">
        <f t="shared" si="324"/>
        <v>7812.3485000000001</v>
      </c>
      <c r="AE101" s="22">
        <f t="shared" si="325"/>
        <v>8310.2724999999991</v>
      </c>
      <c r="AF101" s="6">
        <f>SUM(C101                                                                                : INDEX(C101:N101,$B$2))</f>
        <v>9391.441499999999</v>
      </c>
      <c r="AG101" s="6">
        <f t="shared" si="326"/>
        <v>2586.2529999999997</v>
      </c>
      <c r="AH101" s="6">
        <f t="shared" si="327"/>
        <v>4667.9534999999996</v>
      </c>
      <c r="AI101" s="6">
        <f t="shared" si="328"/>
        <v>6538.7325000000001</v>
      </c>
      <c r="AJ101" s="6">
        <f t="shared" si="329"/>
        <v>9879.3410000000003</v>
      </c>
      <c r="AK101" s="31">
        <f t="shared" si="330"/>
        <v>0.26280906929995806</v>
      </c>
      <c r="AL101" s="31">
        <f t="shared" si="305"/>
        <v>0.32062311769188878</v>
      </c>
      <c r="AM101" s="31">
        <f t="shared" si="306"/>
        <v>0.49119619550623206</v>
      </c>
      <c r="AN101" s="31">
        <f t="shared" si="307"/>
        <v>0.19478025748874117</v>
      </c>
      <c r="AO101" s="31">
        <f t="shared" si="308"/>
        <v>-0.15882319478596818</v>
      </c>
      <c r="AP101" s="22">
        <f>[16]APE!K38</f>
        <v>1309.0219999999999</v>
      </c>
      <c r="AQ101" s="22">
        <f>[17]APE!K39</f>
        <v>3900.0279999999998</v>
      </c>
      <c r="AR101" s="22">
        <f>[18]APE!K40</f>
        <v>5236.03</v>
      </c>
      <c r="AS101" s="22">
        <f>[19]APE!K40</f>
        <v>3909.8105</v>
      </c>
      <c r="AT101" s="22">
        <f>[20]APE!K40</f>
        <v>2226.09</v>
      </c>
      <c r="AU101" s="22">
        <f>[21]APE!K40</f>
        <v>4375.99</v>
      </c>
      <c r="AV101" s="22">
        <f>[22]APE!K40</f>
        <v>2455.5169999999985</v>
      </c>
      <c r="BB101" s="110">
        <f>SUM(AP101:INDEX(AP101:AR101,IF($B$2&lt;3,$B$2,3)))</f>
        <v>10445.079999999998</v>
      </c>
      <c r="BC101" s="110">
        <f>SUM(AS101:INDEX(AS101:AU101,IF(AND($B$2&gt;3,$B$2&lt;7),$B$2-3,0)))</f>
        <v>10511.8905</v>
      </c>
      <c r="BD101" s="110">
        <f>SUM(AV101:INDEX(AV101:AX101,IF(AND($B$2&gt;6,$B$2&lt;10),$B$2-6,0)))</f>
        <v>2455.5169999999985</v>
      </c>
      <c r="BE101" s="110">
        <f>SUM(AY101:INDEX(AY101:BA101,IF($B$2&gt;9,$B$2-9,0)))</f>
        <v>0</v>
      </c>
      <c r="BF101" s="110">
        <f>SUM($AP101:INDEX(AP101:BA101,$B$2))</f>
        <v>23412.487499999996</v>
      </c>
      <c r="BG101" s="125">
        <f t="shared" si="331"/>
        <v>2.1955536174031178</v>
      </c>
      <c r="BH101" s="111">
        <f t="shared" si="309"/>
        <v>6.7640415725416574</v>
      </c>
      <c r="BI101" s="111">
        <f t="shared" si="310"/>
        <v>2.3347325596120334</v>
      </c>
      <c r="BJ101" s="111">
        <f t="shared" si="311"/>
        <v>0.92284946769539877</v>
      </c>
      <c r="BK101" s="111">
        <f t="shared" si="312"/>
        <v>1.6204942744486559</v>
      </c>
      <c r="BL101" s="111">
        <f t="shared" si="313"/>
        <v>3.2403891437829704</v>
      </c>
      <c r="BM101" s="111">
        <f t="shared" si="314"/>
        <v>1.6554447101812</v>
      </c>
      <c r="BN101" s="111">
        <f t="shared" si="315"/>
        <v>0</v>
      </c>
      <c r="BO101" s="111">
        <f t="shared" si="316"/>
        <v>0</v>
      </c>
      <c r="BP101" s="111">
        <f t="shared" si="317"/>
        <v>0</v>
      </c>
      <c r="BQ101" s="111">
        <f t="shared" si="318"/>
        <v>0</v>
      </c>
      <c r="BR101" s="111">
        <f t="shared" si="319"/>
        <v>0</v>
      </c>
      <c r="BS101" s="111">
        <f>BB101/SUM(O101:INDEX(O101:Q101,IF($B$2&lt;3,$B$2,3)))</f>
        <v>3.0581717191990365</v>
      </c>
      <c r="BT101" s="111">
        <f>BC101/SUM(R101:INDEX(R101:T101,$C$2))</f>
        <v>2.4811669395223421</v>
      </c>
      <c r="BU101" s="111">
        <f>BD101/SUM(U101:INDEX(U101:W101,$C$2))</f>
        <v>1.6554447101812</v>
      </c>
      <c r="BV101" s="111">
        <f t="shared" si="320"/>
        <v>0</v>
      </c>
      <c r="BW101" s="111">
        <f t="shared" si="332"/>
        <v>1.9741384562165787</v>
      </c>
    </row>
    <row r="102" spans="1:75" x14ac:dyDescent="0.25">
      <c r="A102" s="20" t="str">
        <f t="shared" si="321"/>
        <v>FYP:7-12mth</v>
      </c>
      <c r="B102" t="s">
        <v>1</v>
      </c>
      <c r="C102" s="6">
        <f>[25]Sheet2!L19</f>
        <v>563.48</v>
      </c>
      <c r="D102" s="6">
        <f>[25]Sheet2!M19</f>
        <v>579.75400000000002</v>
      </c>
      <c r="E102" s="6">
        <f>[25]Sheet2!N19</f>
        <v>685.16549999999995</v>
      </c>
      <c r="F102" s="6">
        <f>[25]Sheet2!O19</f>
        <v>1602.683</v>
      </c>
      <c r="G102" s="6">
        <f>[25]Sheet2!P19</f>
        <v>1475.279</v>
      </c>
      <c r="H102" s="6">
        <f>[25]Sheet2!Q19</f>
        <v>4496.3365000000003</v>
      </c>
      <c r="I102" s="6">
        <f>[25]Sheet2!R19</f>
        <v>2947.6419999999998</v>
      </c>
      <c r="J102" s="6">
        <f>[25]Sheet2!S19</f>
        <v>1568.0650000000001</v>
      </c>
      <c r="K102" s="6">
        <f>[25]Sheet2!T19</f>
        <v>3744.0770000000002</v>
      </c>
      <c r="L102" s="6">
        <f>[25]Sheet2!U19</f>
        <v>3059.5985000000001</v>
      </c>
      <c r="M102" s="6">
        <f>[25]Sheet2!V19</f>
        <v>5223.0770000000202</v>
      </c>
      <c r="N102" s="6">
        <f>[25]Sheet2!W19</f>
        <v>6057.8635000000104</v>
      </c>
      <c r="O102" s="6">
        <f>[25]Sheet2!X19</f>
        <v>1034.376</v>
      </c>
      <c r="P102" s="6">
        <f>[25]Sheet2!Y19</f>
        <v>875.29</v>
      </c>
      <c r="Q102" s="6">
        <f>[25]Sheet2!Z19</f>
        <v>2399.6129999999998</v>
      </c>
      <c r="R102" s="6">
        <f>[25]Sheet2!AA19</f>
        <v>1740.2139999999999</v>
      </c>
      <c r="S102" s="6">
        <f>[25]Sheet2!AB19</f>
        <v>1865.1559999999999</v>
      </c>
      <c r="T102" s="6">
        <f>[25]Sheet2!AC19</f>
        <v>2684.0005000000001</v>
      </c>
      <c r="U102" s="6">
        <v>2316.1725000000001</v>
      </c>
      <c r="V102">
        <v>2349.8775000000001</v>
      </c>
      <c r="W102">
        <v>2910.386</v>
      </c>
      <c r="X102" s="6">
        <f>[14]APE!K39</f>
        <v>2585.4229999999998</v>
      </c>
      <c r="Y102" s="6">
        <f>[24]APE!K39</f>
        <v>4923.0280000000103</v>
      </c>
      <c r="Z102" s="6">
        <f>[15]APE!K39</f>
        <v>7223.4210000000103</v>
      </c>
      <c r="AA102" s="22">
        <f>SUM(O102:INDEX(O102:Z102,$B$2))</f>
        <v>12914.822</v>
      </c>
      <c r="AB102" s="22">
        <f t="shared" si="322"/>
        <v>4309.2789999999995</v>
      </c>
      <c r="AC102" s="22">
        <f t="shared" si="323"/>
        <v>6289.3705</v>
      </c>
      <c r="AD102" s="22">
        <f t="shared" si="324"/>
        <v>7576.4359999999997</v>
      </c>
      <c r="AE102" s="22">
        <f t="shared" si="325"/>
        <v>14731.872000000021</v>
      </c>
      <c r="AF102" s="6">
        <f>SUM(C102                                                                                : INDEX(C102:N102,$B$2))</f>
        <v>12350.34</v>
      </c>
      <c r="AG102" s="6">
        <f t="shared" si="326"/>
        <v>1828.3995</v>
      </c>
      <c r="AH102" s="6">
        <f t="shared" si="327"/>
        <v>7574.2985000000008</v>
      </c>
      <c r="AI102" s="6">
        <f t="shared" si="328"/>
        <v>8259.7839999999997</v>
      </c>
      <c r="AJ102" s="6">
        <f t="shared" si="329"/>
        <v>14340.53900000003</v>
      </c>
      <c r="AK102" s="31">
        <f t="shared" si="330"/>
        <v>4.5705786237463908E-2</v>
      </c>
      <c r="AL102" s="31">
        <f t="shared" si="305"/>
        <v>1.3568585530678603</v>
      </c>
      <c r="AM102" s="31">
        <f t="shared" si="306"/>
        <v>-0.1696431689350506</v>
      </c>
      <c r="AN102" s="31">
        <f t="shared" si="307"/>
        <v>-8.2731945532716122E-2</v>
      </c>
      <c r="AO102" s="31">
        <f t="shared" si="308"/>
        <v>2.7288583783356524E-2</v>
      </c>
      <c r="AP102" s="22">
        <f>[16]APE!K39</f>
        <v>692.01399999999899</v>
      </c>
      <c r="AQ102" s="22">
        <f>[17]APE!K40</f>
        <v>711.98749999999995</v>
      </c>
      <c r="AR102" s="22">
        <f>[18]APE!K41</f>
        <v>1303.98</v>
      </c>
      <c r="AS102" s="22">
        <f>[19]APE!K41</f>
        <v>2672.5055000000002</v>
      </c>
      <c r="AT102" s="22">
        <f>[20]APE!K41</f>
        <v>9905.15</v>
      </c>
      <c r="AU102" s="22">
        <f>[21]APE!K41</f>
        <v>5173.57</v>
      </c>
      <c r="AV102" s="22">
        <f>[22]APE!K41</f>
        <v>3886.9210000000016</v>
      </c>
      <c r="BB102" s="110">
        <f>SUM(AP102:INDEX(AP102:AR102,IF($B$2&lt;3,$B$2,3)))</f>
        <v>2707.981499999999</v>
      </c>
      <c r="BC102" s="110">
        <f>SUM(AS102:INDEX(AS102:AU102,IF(AND($B$2&gt;3,$B$2&lt;7),$B$2-3,0)))</f>
        <v>17751.2255</v>
      </c>
      <c r="BD102" s="110">
        <f>SUM(AV102:INDEX(AV102:AX102,IF(AND($B$2&gt;6,$B$2&lt;10),$B$2-6,0)))</f>
        <v>3886.9210000000016</v>
      </c>
      <c r="BE102" s="110">
        <f>SUM(AY102:INDEX(AY102:BA102,IF($B$2&gt;9,$B$2-9,0)))</f>
        <v>0</v>
      </c>
      <c r="BF102" s="110">
        <f>SUM($AP102:INDEX(AP102:BA102,$B$2))</f>
        <v>24346.128000000001</v>
      </c>
      <c r="BG102" s="125">
        <f t="shared" si="331"/>
        <v>0.66901590910848574</v>
      </c>
      <c r="BH102" s="111">
        <f t="shared" si="309"/>
        <v>0.81343040592260851</v>
      </c>
      <c r="BI102" s="111">
        <f t="shared" si="310"/>
        <v>0.54341262528582734</v>
      </c>
      <c r="BJ102" s="111">
        <f t="shared" si="311"/>
        <v>1.5357338235412428</v>
      </c>
      <c r="BK102" s="111">
        <f t="shared" si="312"/>
        <v>5.3106281726568714</v>
      </c>
      <c r="BL102" s="111">
        <f t="shared" si="313"/>
        <v>1.9275592534353103</v>
      </c>
      <c r="BM102" s="111">
        <f t="shared" si="314"/>
        <v>1.6781655943156226</v>
      </c>
      <c r="BN102" s="111">
        <f t="shared" si="315"/>
        <v>0</v>
      </c>
      <c r="BO102" s="111">
        <f t="shared" si="316"/>
        <v>0</v>
      </c>
      <c r="BP102" s="111">
        <f t="shared" si="317"/>
        <v>0</v>
      </c>
      <c r="BQ102" s="111">
        <f t="shared" si="318"/>
        <v>0</v>
      </c>
      <c r="BR102" s="111">
        <f t="shared" si="319"/>
        <v>0</v>
      </c>
      <c r="BS102" s="111">
        <f>BB102/SUM(O102:INDEX(O102:Q102,IF($B$2&lt;3,$B$2,3)))</f>
        <v>0.62840709547931317</v>
      </c>
      <c r="BT102" s="111">
        <f>BC102/SUM(R102:INDEX(R102:T102,$C$2))</f>
        <v>10.200599179181411</v>
      </c>
      <c r="BU102" s="111">
        <f>BD102/SUM(U102:INDEX(U102:W102,$C$2))</f>
        <v>1.6781655943156226</v>
      </c>
      <c r="BV102" s="111">
        <f t="shared" si="320"/>
        <v>0</v>
      </c>
      <c r="BW102" s="111">
        <f t="shared" si="332"/>
        <v>1.8851307435750955</v>
      </c>
    </row>
    <row r="103" spans="1:75" x14ac:dyDescent="0.25">
      <c r="A103" s="20" t="str">
        <f t="shared" si="321"/>
        <v>FYP:13+mth</v>
      </c>
      <c r="B103" t="s">
        <v>2</v>
      </c>
      <c r="C103" s="6">
        <f>[25]Sheet2!L20</f>
        <v>339.77199999999999</v>
      </c>
      <c r="D103" s="6">
        <f>[25]Sheet2!M20</f>
        <v>238.262</v>
      </c>
      <c r="E103" s="6">
        <f>[25]Sheet2!N20</f>
        <v>601.72</v>
      </c>
      <c r="F103" s="6">
        <f>[25]Sheet2!O20</f>
        <v>349.46699999999998</v>
      </c>
      <c r="G103" s="6">
        <f>[25]Sheet2!P20</f>
        <v>464.79050000000001</v>
      </c>
      <c r="H103" s="6">
        <f>[25]Sheet2!Q20</f>
        <v>821.51149999999996</v>
      </c>
      <c r="I103" s="6">
        <f>[25]Sheet2!R20</f>
        <v>665.72299999999996</v>
      </c>
      <c r="J103" s="6">
        <f>[25]Sheet2!S20</f>
        <v>680.13900000000001</v>
      </c>
      <c r="K103" s="6">
        <f>[25]Sheet2!T20</f>
        <v>3530.7820000000002</v>
      </c>
      <c r="L103" s="6">
        <f>[25]Sheet2!U20</f>
        <v>-1219.0640000000001</v>
      </c>
      <c r="M103" s="6">
        <f>[25]Sheet2!V20</f>
        <v>2200.7154999999998</v>
      </c>
      <c r="N103" s="6">
        <f>[25]Sheet2!W20</f>
        <v>4340.6039999999903</v>
      </c>
      <c r="O103" s="6">
        <f>[25]Sheet2!X20</f>
        <v>722.38570000000004</v>
      </c>
      <c r="P103" s="6">
        <f>[25]Sheet2!Y20</f>
        <v>1484.7915</v>
      </c>
      <c r="Q103" s="6">
        <f>[25]Sheet2!Z20</f>
        <v>1538.5197000000001</v>
      </c>
      <c r="R103" s="6">
        <f>[25]Sheet2!AA20</f>
        <v>1444.3515</v>
      </c>
      <c r="S103" s="6">
        <f>[25]Sheet2!AB20</f>
        <v>1318.712</v>
      </c>
      <c r="T103" s="6">
        <f>[25]Sheet2!AC20</f>
        <v>2338.3971000000001</v>
      </c>
      <c r="U103" s="6">
        <v>1697.9739999999999</v>
      </c>
      <c r="V103">
        <v>1402.789</v>
      </c>
      <c r="W103">
        <v>2370.739</v>
      </c>
      <c r="X103" s="6">
        <f>[14]APE!K40</f>
        <v>1761.9224999999999</v>
      </c>
      <c r="Y103" s="6">
        <f>[24]APE!K40</f>
        <v>2507.7444999999998</v>
      </c>
      <c r="Z103" s="6">
        <f>[15]APE!K40</f>
        <v>6450.8249999999998</v>
      </c>
      <c r="AA103" s="22">
        <f>SUM(O103:INDEX(O103:Z103,$B$2))</f>
        <v>10545.1315</v>
      </c>
      <c r="AB103" s="22">
        <f t="shared" si="322"/>
        <v>3745.6968999999999</v>
      </c>
      <c r="AC103" s="22">
        <f t="shared" si="323"/>
        <v>5101.4606000000003</v>
      </c>
      <c r="AD103" s="22">
        <f t="shared" si="324"/>
        <v>5471.5020000000004</v>
      </c>
      <c r="AE103" s="22">
        <f t="shared" si="325"/>
        <v>10720.491999999998</v>
      </c>
      <c r="AF103" s="6">
        <f>SUM(C103                                                                                : INDEX(C103:N103,$B$2))</f>
        <v>3481.2460000000001</v>
      </c>
      <c r="AG103" s="6">
        <f t="shared" si="326"/>
        <v>1179.7539999999999</v>
      </c>
      <c r="AH103" s="6">
        <f t="shared" si="327"/>
        <v>1635.7689999999998</v>
      </c>
      <c r="AI103" s="6">
        <f t="shared" si="328"/>
        <v>4876.6440000000002</v>
      </c>
      <c r="AJ103" s="6">
        <f t="shared" si="329"/>
        <v>5322.2554999999902</v>
      </c>
      <c r="AK103" s="31">
        <f t="shared" si="330"/>
        <v>2.0291256349019862</v>
      </c>
      <c r="AL103" s="31">
        <f t="shared" si="305"/>
        <v>2.1749813096628623</v>
      </c>
      <c r="AM103" s="31">
        <f t="shared" si="306"/>
        <v>2.1186925537774592</v>
      </c>
      <c r="AN103" s="31">
        <f t="shared" si="307"/>
        <v>0.12198101809359052</v>
      </c>
      <c r="AO103" s="31">
        <f t="shared" si="308"/>
        <v>1.0142760902778942</v>
      </c>
      <c r="AP103" s="22">
        <f>[16]APE!K40</f>
        <v>1738.6735000000001</v>
      </c>
      <c r="AQ103" s="22">
        <f>[17]APE!K41</f>
        <v>1249.3910000000001</v>
      </c>
      <c r="AR103" s="22">
        <f>[18]APE!K42</f>
        <v>2293.5</v>
      </c>
      <c r="AS103" s="22">
        <f>[19]APE!K42</f>
        <v>2165.19</v>
      </c>
      <c r="AT103" s="22">
        <f>[20]APE!K42</f>
        <v>2303.86</v>
      </c>
      <c r="AU103" s="22">
        <f>[21]APE!K42</f>
        <v>1959.52</v>
      </c>
      <c r="AV103" s="22">
        <f>[22]APE!K42</f>
        <v>2601.9159999999979</v>
      </c>
      <c r="BB103" s="110">
        <f>SUM(AP103:INDEX(AP103:AR103,IF($B$2&lt;3,$B$2,3)))</f>
        <v>5281.5645000000004</v>
      </c>
      <c r="BC103" s="110">
        <f>SUM(AS103:INDEX(AS103:AU103,IF(AND($B$2&gt;3,$B$2&lt;7),$B$2-3,0)))</f>
        <v>6428.57</v>
      </c>
      <c r="BD103" s="110">
        <f>SUM(AV103:INDEX(AV103:AX103,IF(AND($B$2&gt;6,$B$2&lt;10),$B$2-6,0)))</f>
        <v>2601.9159999999979</v>
      </c>
      <c r="BE103" s="110">
        <f>SUM(AY103:INDEX(AY103:BA103,IF($B$2&gt;9,$B$2-9,0)))</f>
        <v>0</v>
      </c>
      <c r="BF103" s="110">
        <f>SUM($AP103:INDEX(AP103:BA103,$B$2))</f>
        <v>14312.050499999999</v>
      </c>
      <c r="BG103" s="125">
        <f t="shared" si="331"/>
        <v>2.4068492773320402</v>
      </c>
      <c r="BH103" s="111">
        <f t="shared" si="309"/>
        <v>0.84145888496802412</v>
      </c>
      <c r="BI103" s="111">
        <f t="shared" si="310"/>
        <v>1.4907186433816868</v>
      </c>
      <c r="BJ103" s="111">
        <f t="shared" si="311"/>
        <v>1.4990741519637014</v>
      </c>
      <c r="BK103" s="111">
        <f t="shared" si="312"/>
        <v>1.7470531852292237</v>
      </c>
      <c r="BL103" s="111">
        <f t="shared" si="313"/>
        <v>0.83797572277180798</v>
      </c>
      <c r="BM103" s="111">
        <f t="shared" si="314"/>
        <v>1.532365042103117</v>
      </c>
      <c r="BN103" s="111">
        <f t="shared" si="315"/>
        <v>0</v>
      </c>
      <c r="BO103" s="111">
        <f t="shared" si="316"/>
        <v>0</v>
      </c>
      <c r="BP103" s="111">
        <f t="shared" si="317"/>
        <v>0</v>
      </c>
      <c r="BQ103" s="111">
        <f t="shared" si="318"/>
        <v>0</v>
      </c>
      <c r="BR103" s="111">
        <f t="shared" si="319"/>
        <v>0</v>
      </c>
      <c r="BS103" s="111">
        <f>BB103/SUM(O103:INDEX(O103:Q103,IF($B$2&lt;3,$B$2,3)))</f>
        <v>1.410035205998649</v>
      </c>
      <c r="BT103" s="111">
        <f>BC103/SUM(R103:INDEX(R103:T103,$C$2))</f>
        <v>4.4508348556428263</v>
      </c>
      <c r="BU103" s="111">
        <f>BD103/SUM(U103:INDEX(U103:W103,$C$2))</f>
        <v>1.532365042103117</v>
      </c>
      <c r="BV103" s="111">
        <f t="shared" si="320"/>
        <v>0</v>
      </c>
      <c r="BW103" s="111">
        <f t="shared" si="332"/>
        <v>1.3572187791114791</v>
      </c>
    </row>
    <row r="104" spans="1:75" x14ac:dyDescent="0.25">
      <c r="A104" s="20" t="str">
        <f t="shared" si="321"/>
        <v>FYP:SA</v>
      </c>
      <c r="B104" s="135" t="s">
        <v>136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X104" s="6"/>
      <c r="Y104" s="6"/>
      <c r="Z104" s="6"/>
      <c r="AA104" s="22"/>
      <c r="AB104" s="22"/>
      <c r="AC104" s="22"/>
      <c r="AD104" s="22"/>
      <c r="AE104" s="22"/>
      <c r="AF104" s="6"/>
      <c r="AG104" s="6"/>
      <c r="AH104" s="6"/>
      <c r="AI104" s="6"/>
      <c r="AJ104" s="6"/>
      <c r="AK104" s="31"/>
      <c r="AL104" s="31"/>
      <c r="AM104" s="31"/>
      <c r="AN104" s="31"/>
      <c r="AO104" s="31"/>
      <c r="AP104" s="22"/>
      <c r="AQ104" s="22">
        <f>[17]APE!K42</f>
        <v>659.01</v>
      </c>
      <c r="AR104" s="22">
        <f>[18]APE!K43</f>
        <v>708.99</v>
      </c>
      <c r="AS104" s="22">
        <f>[19]APE!K43</f>
        <v>907.77499999999998</v>
      </c>
      <c r="AT104" s="22">
        <f>[20]APE!K43</f>
        <v>602.87</v>
      </c>
      <c r="AU104" s="22">
        <f>[21]APE!K43</f>
        <v>472.69</v>
      </c>
      <c r="AV104" s="22">
        <f>[22]APE!K43</f>
        <v>494.73399999999992</v>
      </c>
      <c r="BB104" s="110">
        <f>SUM(AP104:INDEX(AP104:AR104,IF($B$2&lt;3,$B$2,3)))</f>
        <v>1368</v>
      </c>
      <c r="BC104" s="110">
        <f>SUM(AS104:INDEX(AS104:AU104,IF(AND($B$2&gt;3,$B$2&lt;7),$B$2-3,0)))</f>
        <v>1983.335</v>
      </c>
      <c r="BD104" s="110">
        <f>SUM(AV104:INDEX(AV104:AX104,IF(AND($B$2&gt;6,$B$2&lt;10),$B$2-6,0)))</f>
        <v>494.73399999999992</v>
      </c>
      <c r="BE104" s="110">
        <f>SUM(AY104:INDEX(AY104:BA104,IF($B$2&gt;9,$B$2-9,0)))</f>
        <v>0</v>
      </c>
      <c r="BF104" s="110">
        <f>SUM($AP104:INDEX(AP104:BA104,$B$2))</f>
        <v>3846.069</v>
      </c>
      <c r="BG104" s="125"/>
      <c r="BH104" s="111"/>
      <c r="BI104" s="111"/>
      <c r="BJ104" s="111"/>
      <c r="BK104" s="111"/>
      <c r="BL104" s="111"/>
      <c r="BM104" s="111"/>
      <c r="BN104" s="111"/>
      <c r="BO104" s="111"/>
      <c r="BP104" s="111"/>
      <c r="BQ104" s="111"/>
      <c r="BR104" s="111"/>
      <c r="BS104" s="111"/>
      <c r="BT104" s="111"/>
      <c r="BU104" s="111"/>
      <c r="BV104" s="111"/>
      <c r="BW104" s="111"/>
    </row>
    <row r="105" spans="1:75" s="17" customFormat="1" x14ac:dyDescent="0.25">
      <c r="A105" s="20" t="str">
        <f t="shared" si="321"/>
        <v>FYP:Total</v>
      </c>
      <c r="B105" s="1" t="s">
        <v>186</v>
      </c>
      <c r="C105" s="7">
        <f>SUM(C97:C103)</f>
        <v>4979.2820000000002</v>
      </c>
      <c r="D105" s="7">
        <f t="shared" ref="D105:AE105" si="333">SUM(D97:D103)</f>
        <v>5022.9649999999992</v>
      </c>
      <c r="E105" s="7">
        <f t="shared" si="333"/>
        <v>10501.582999999999</v>
      </c>
      <c r="F105" s="7">
        <f t="shared" si="333"/>
        <v>12990.927000000003</v>
      </c>
      <c r="G105" s="7">
        <f t="shared" si="333"/>
        <v>11089.975</v>
      </c>
      <c r="H105" s="7">
        <f t="shared" si="333"/>
        <v>18006.320999999993</v>
      </c>
      <c r="I105" s="7">
        <f t="shared" si="333"/>
        <v>16231.789000000001</v>
      </c>
      <c r="J105" s="7">
        <f t="shared" si="333"/>
        <v>9711.6299999999992</v>
      </c>
      <c r="K105" s="7">
        <f t="shared" si="333"/>
        <v>21069.793000000001</v>
      </c>
      <c r="L105" s="7">
        <f t="shared" si="333"/>
        <v>13515.177999999987</v>
      </c>
      <c r="M105" s="7">
        <f t="shared" si="333"/>
        <v>20693.26300000001</v>
      </c>
      <c r="N105" s="7">
        <f t="shared" si="333"/>
        <v>33897.207499999968</v>
      </c>
      <c r="O105" s="7">
        <f t="shared" si="333"/>
        <v>6689.1957000000011</v>
      </c>
      <c r="P105" s="7">
        <f t="shared" si="333"/>
        <v>7064.9489999999696</v>
      </c>
      <c r="Q105" s="7">
        <f t="shared" si="333"/>
        <v>17063.353699999989</v>
      </c>
      <c r="R105" s="7">
        <f t="shared" si="333"/>
        <v>17829.3815</v>
      </c>
      <c r="S105" s="7">
        <f t="shared" si="333"/>
        <v>13153.852999999999</v>
      </c>
      <c r="T105" s="7">
        <f t="shared" si="333"/>
        <v>17112.536599999999</v>
      </c>
      <c r="U105" s="7">
        <f t="shared" si="333"/>
        <v>14083.947000000002</v>
      </c>
      <c r="V105" s="7">
        <f t="shared" si="333"/>
        <v>13458.544</v>
      </c>
      <c r="W105" s="7">
        <f t="shared" si="333"/>
        <v>19973.662000000011</v>
      </c>
      <c r="X105" s="7">
        <f t="shared" si="333"/>
        <v>17507.513999999999</v>
      </c>
      <c r="Y105" s="7">
        <f t="shared" si="333"/>
        <v>27275.495000000021</v>
      </c>
      <c r="Z105" s="7">
        <f t="shared" si="333"/>
        <v>44739.436000000016</v>
      </c>
      <c r="AA105" s="7">
        <f t="shared" si="333"/>
        <v>92997.216499999966</v>
      </c>
      <c r="AB105" s="7">
        <f t="shared" si="333"/>
        <v>30817.49839999996</v>
      </c>
      <c r="AC105" s="7">
        <f t="shared" si="333"/>
        <v>48095.771099999991</v>
      </c>
      <c r="AD105" s="7">
        <f t="shared" si="333"/>
        <v>47516.153000000013</v>
      </c>
      <c r="AE105" s="7">
        <f t="shared" si="333"/>
        <v>89522.445000000036</v>
      </c>
      <c r="AF105" s="7">
        <f>SUM(AF97:AF103)</f>
        <v>78822.84199999999</v>
      </c>
      <c r="AG105" s="7">
        <f t="shared" ref="AG105:AJ105" si="334">SUM(AG97:AG103)</f>
        <v>20503.830000000002</v>
      </c>
      <c r="AH105" s="7">
        <f t="shared" si="334"/>
        <v>42087.222999999998</v>
      </c>
      <c r="AI105" s="7">
        <f t="shared" si="334"/>
        <v>47013.212</v>
      </c>
      <c r="AJ105" s="7">
        <f t="shared" si="334"/>
        <v>68105.648499999967</v>
      </c>
      <c r="AK105" s="31">
        <f t="shared" si="330"/>
        <v>0.17982572234581418</v>
      </c>
      <c r="AL105" s="31">
        <f t="shared" si="305"/>
        <v>0.50301179828353804</v>
      </c>
      <c r="AM105" s="31">
        <f t="shared" si="306"/>
        <v>0.14276418522552548</v>
      </c>
      <c r="AN105" s="31">
        <f t="shared" si="307"/>
        <v>1.0697865102261339E-2</v>
      </c>
      <c r="AO105" s="31">
        <f t="shared" si="308"/>
        <v>0.31446432082648879</v>
      </c>
      <c r="AP105" s="15">
        <f t="shared" ref="AP105" si="335">SUM(AP97:AP103)</f>
        <v>13201.143</v>
      </c>
      <c r="AQ105" s="15">
        <f>SUM(AQ97:AQ104)</f>
        <v>21017.186300000008</v>
      </c>
      <c r="AR105" s="15">
        <f t="shared" ref="AR105:BA105" si="336">SUM(AR97:AR104)</f>
        <v>27126.850000000002</v>
      </c>
      <c r="AS105" s="15">
        <f t="shared" si="336"/>
        <v>24493.397000000019</v>
      </c>
      <c r="AT105" s="15">
        <f t="shared" si="336"/>
        <v>31213.649999999998</v>
      </c>
      <c r="AU105" s="15">
        <f t="shared" si="336"/>
        <v>30759.43</v>
      </c>
      <c r="AV105" s="15">
        <f t="shared" si="336"/>
        <v>23288.808000000005</v>
      </c>
      <c r="AW105" s="15">
        <f t="shared" si="336"/>
        <v>0</v>
      </c>
      <c r="AX105" s="15">
        <f t="shared" si="336"/>
        <v>0</v>
      </c>
      <c r="AY105" s="15">
        <f t="shared" si="336"/>
        <v>0</v>
      </c>
      <c r="AZ105" s="15">
        <f t="shared" si="336"/>
        <v>0</v>
      </c>
      <c r="BA105" s="15">
        <f t="shared" si="336"/>
        <v>0</v>
      </c>
      <c r="BB105" s="116">
        <f>SUM(AP105:INDEX(AP105:AR105,IF($B$2&lt;3,$B$2,3)))</f>
        <v>61345.179300000018</v>
      </c>
      <c r="BC105" s="116">
        <f>SUM(AS105:INDEX(AS105:AU105,IF(AND($B$2&gt;3,$B$2&lt;7),$B$2-3,0)))</f>
        <v>86466.477000000014</v>
      </c>
      <c r="BD105" s="116">
        <f>SUM(AV105:INDEX(AV105:AX105,IF(AND($B$2&gt;6,$B$2&lt;10),$B$2-6,0)))</f>
        <v>23288.808000000005</v>
      </c>
      <c r="BE105" s="116">
        <f>SUM(AY105:INDEX(AY105:BA105,IF($B$2&gt;9,$B$2-9,0)))</f>
        <v>0</v>
      </c>
      <c r="BF105" s="116">
        <f>SUM($AP105:INDEX(AP105:BA105,$B$2))</f>
        <v>171100.46430000005</v>
      </c>
      <c r="BG105" s="126">
        <f t="shared" si="331"/>
        <v>1.9735022851850481</v>
      </c>
      <c r="BH105" s="111">
        <f t="shared" si="309"/>
        <v>2.9748532225781248</v>
      </c>
      <c r="BI105" s="111">
        <f t="shared" si="310"/>
        <v>1.5897724724536431</v>
      </c>
      <c r="BJ105" s="111">
        <f t="shared" si="311"/>
        <v>1.3737659379827629</v>
      </c>
      <c r="BK105" s="111">
        <f t="shared" si="312"/>
        <v>2.3729663088070088</v>
      </c>
      <c r="BL105" s="111">
        <f t="shared" si="313"/>
        <v>1.7974792819435081</v>
      </c>
      <c r="BM105" s="111">
        <f t="shared" si="314"/>
        <v>1.6535711189484028</v>
      </c>
      <c r="BN105" s="111">
        <f t="shared" si="315"/>
        <v>0</v>
      </c>
      <c r="BO105" s="111">
        <f t="shared" si="316"/>
        <v>0</v>
      </c>
      <c r="BP105" s="111">
        <f t="shared" si="317"/>
        <v>0</v>
      </c>
      <c r="BQ105" s="111">
        <f t="shared" si="318"/>
        <v>0</v>
      </c>
      <c r="BR105" s="111">
        <f t="shared" si="319"/>
        <v>0</v>
      </c>
      <c r="BS105" s="111">
        <f>BB105/SUM(O105:INDEX(O105:Q105,IF($B$2&lt;3,$B$2,3)))</f>
        <v>1.9905956837820455</v>
      </c>
      <c r="BT105" s="111">
        <f>BC105/SUM(R105:INDEX(R105:T105,$C$2))</f>
        <v>4.8496621713994967</v>
      </c>
      <c r="BU105" s="111">
        <f>BD105/SUM(U105:INDEX(U105:W105,$C$2))</f>
        <v>1.6535711189484028</v>
      </c>
      <c r="BV105" s="111">
        <f t="shared" si="320"/>
        <v>0</v>
      </c>
      <c r="BW105" s="111">
        <f t="shared" si="332"/>
        <v>1.8398450054685251</v>
      </c>
    </row>
    <row r="106" spans="1:75" x14ac:dyDescent="0.25">
      <c r="B106" t="s">
        <v>187</v>
      </c>
      <c r="BG106" s="124"/>
    </row>
    <row r="107" spans="1:75" x14ac:dyDescent="0.25">
      <c r="B107" t="s">
        <v>187</v>
      </c>
      <c r="BG107" s="124"/>
    </row>
    <row r="108" spans="1:75" s="19" customFormat="1" x14ac:dyDescent="0.25">
      <c r="B108" s="2" t="s">
        <v>9</v>
      </c>
      <c r="C108" s="3">
        <v>42005</v>
      </c>
      <c r="D108" s="3">
        <v>42036</v>
      </c>
      <c r="E108" s="3">
        <v>42064</v>
      </c>
      <c r="F108" s="3">
        <v>42095</v>
      </c>
      <c r="G108" s="3">
        <v>42125</v>
      </c>
      <c r="H108" s="3">
        <v>42156</v>
      </c>
      <c r="I108" s="3">
        <v>42186</v>
      </c>
      <c r="J108" s="3">
        <v>42217</v>
      </c>
      <c r="K108" s="3">
        <v>42248</v>
      </c>
      <c r="L108" s="3">
        <v>42278</v>
      </c>
      <c r="M108" s="3">
        <v>42309</v>
      </c>
      <c r="N108" s="3">
        <v>42339</v>
      </c>
      <c r="O108" s="3">
        <v>42370</v>
      </c>
      <c r="P108" s="3">
        <v>42401</v>
      </c>
      <c r="Q108" s="3">
        <v>42430</v>
      </c>
      <c r="R108" s="3">
        <v>42461</v>
      </c>
      <c r="S108" s="3">
        <v>42491</v>
      </c>
      <c r="T108" s="3">
        <v>42522</v>
      </c>
      <c r="U108" s="3">
        <v>42552</v>
      </c>
      <c r="V108" s="3">
        <v>42583</v>
      </c>
      <c r="W108" s="3">
        <v>42614</v>
      </c>
      <c r="X108" s="3">
        <v>42644</v>
      </c>
      <c r="Y108" s="3">
        <v>42675</v>
      </c>
      <c r="Z108" s="3">
        <v>42705</v>
      </c>
      <c r="AA108" s="29" t="str">
        <f>AA96</f>
        <v>YTD 0/16</v>
      </c>
      <c r="AB108" s="29" t="s">
        <v>19</v>
      </c>
      <c r="AC108" s="29" t="s">
        <v>20</v>
      </c>
      <c r="AD108" s="29" t="s">
        <v>21</v>
      </c>
      <c r="AE108" s="29" t="s">
        <v>22</v>
      </c>
      <c r="AF108" s="26" t="str">
        <f t="shared" ref="AF108:AJ108" si="337">AF96</f>
        <v>YTD 0/15</v>
      </c>
      <c r="AG108" s="26" t="str">
        <f t="shared" si="337"/>
        <v>Q1 '15</v>
      </c>
      <c r="AH108" s="26" t="str">
        <f t="shared" si="337"/>
        <v>Q2 '15</v>
      </c>
      <c r="AI108" s="26" t="str">
        <f t="shared" si="337"/>
        <v>Q3 '15</v>
      </c>
      <c r="AJ108" s="26" t="str">
        <f t="shared" si="337"/>
        <v>Q4 '15</v>
      </c>
      <c r="AK108" s="30" t="s">
        <v>27</v>
      </c>
      <c r="AL108" s="30" t="s">
        <v>29</v>
      </c>
      <c r="AM108" s="30" t="s">
        <v>30</v>
      </c>
      <c r="AN108" s="30" t="s">
        <v>31</v>
      </c>
      <c r="AO108" s="30" t="s">
        <v>32</v>
      </c>
      <c r="AP108" s="108">
        <v>42736</v>
      </c>
      <c r="AQ108" s="108">
        <v>42767</v>
      </c>
      <c r="AR108" s="108">
        <v>42795</v>
      </c>
      <c r="AS108" s="108">
        <v>42826</v>
      </c>
      <c r="AT108" s="108">
        <v>42856</v>
      </c>
      <c r="AU108" s="108">
        <v>42887</v>
      </c>
      <c r="AV108" s="108">
        <v>42917</v>
      </c>
      <c r="AW108" s="108">
        <v>42948</v>
      </c>
      <c r="AX108" s="108">
        <v>42979</v>
      </c>
      <c r="AY108" s="108">
        <v>43009</v>
      </c>
      <c r="AZ108" s="108">
        <v>43040</v>
      </c>
      <c r="BA108" s="108">
        <v>43070</v>
      </c>
      <c r="BB108" s="29" t="s">
        <v>123</v>
      </c>
      <c r="BC108" s="29" t="s">
        <v>124</v>
      </c>
      <c r="BD108" s="29" t="s">
        <v>125</v>
      </c>
      <c r="BE108" s="29" t="s">
        <v>126</v>
      </c>
      <c r="BF108" s="29" t="str">
        <f>$BF$3</f>
        <v>YTD 7/17</v>
      </c>
      <c r="BG108" s="121">
        <v>42736</v>
      </c>
      <c r="BH108" s="108">
        <v>42767</v>
      </c>
      <c r="BI108" s="108">
        <v>42795</v>
      </c>
      <c r="BJ108" s="108">
        <v>42826</v>
      </c>
      <c r="BK108" s="108">
        <v>42856</v>
      </c>
      <c r="BL108" s="108">
        <v>42887</v>
      </c>
      <c r="BM108" s="108">
        <v>42917</v>
      </c>
      <c r="BN108" s="108">
        <v>42948</v>
      </c>
      <c r="BO108" s="108">
        <v>42979</v>
      </c>
      <c r="BP108" s="108">
        <v>43009</v>
      </c>
      <c r="BQ108" s="108">
        <v>43040</v>
      </c>
      <c r="BR108" s="108">
        <v>43070</v>
      </c>
      <c r="BS108" s="29" t="s">
        <v>127</v>
      </c>
      <c r="BT108" s="29" t="s">
        <v>128</v>
      </c>
      <c r="BU108" s="29" t="s">
        <v>96</v>
      </c>
      <c r="BV108" s="29" t="s">
        <v>129</v>
      </c>
      <c r="BW108" s="112" t="s">
        <v>130</v>
      </c>
    </row>
    <row r="109" spans="1:75" s="20" customFormat="1" x14ac:dyDescent="0.25">
      <c r="A109" s="20" t="str">
        <f>$B$108&amp;"_by_designation:"&amp;B109</f>
        <v># Manpower_by_designation:AG</v>
      </c>
      <c r="B109" t="s">
        <v>17</v>
      </c>
      <c r="C109" s="6">
        <f>[25]Ag!F138</f>
        <v>1025</v>
      </c>
      <c r="D109">
        <f>[25]Ag!F153</f>
        <v>1043</v>
      </c>
      <c r="E109">
        <f>[25]Ag!F168</f>
        <v>1088</v>
      </c>
      <c r="F109">
        <f>[25]Ag!F183</f>
        <v>1193</v>
      </c>
      <c r="G109">
        <f>[25]Ag!F197</f>
        <v>1125</v>
      </c>
      <c r="H109">
        <f>[25]Ag!F213</f>
        <v>1155</v>
      </c>
      <c r="I109">
        <f>[25]Ag!F228</f>
        <v>1179</v>
      </c>
      <c r="J109">
        <f>[25]Ag!F243</f>
        <v>1278</v>
      </c>
      <c r="K109">
        <f>[25]Ag!F258</f>
        <v>1248</v>
      </c>
      <c r="L109">
        <f>[25]Ag!F273</f>
        <v>1295</v>
      </c>
      <c r="M109">
        <f>[25]Ag!F288</f>
        <v>1384</v>
      </c>
      <c r="N109">
        <f>[25]Ag!F13</f>
        <v>1422</v>
      </c>
      <c r="O109">
        <f>[25]Ag!F30</f>
        <v>1429</v>
      </c>
      <c r="P109">
        <f>[25]Ag!F46</f>
        <v>1443</v>
      </c>
      <c r="Q109">
        <f>[25]Ag!F62</f>
        <v>1545</v>
      </c>
      <c r="R109">
        <f>[25]Ag!F78</f>
        <v>1574</v>
      </c>
      <c r="S109">
        <f>[25]Ag!F94</f>
        <v>1627</v>
      </c>
      <c r="T109">
        <v>1730</v>
      </c>
      <c r="U109">
        <v>1845</v>
      </c>
      <c r="V109">
        <v>1944</v>
      </c>
      <c r="W109">
        <f>VLOOKUP(B109,[26]MP!$Y$35:$Z$40,2,0)</f>
        <v>2064</v>
      </c>
      <c r="X109">
        <f>[14]MP!Z35</f>
        <v>2227</v>
      </c>
      <c r="Y109">
        <f>[24]MP!$Z$39</f>
        <v>2410</v>
      </c>
      <c r="Z109">
        <f>[15]MP!Z39</f>
        <v>2513</v>
      </c>
      <c r="AA109" s="22">
        <f>INDEX($O109:$Z109,$B$2)</f>
        <v>1845</v>
      </c>
      <c r="AB109" s="22">
        <f t="shared" ref="AB109" si="338">Q109</f>
        <v>1545</v>
      </c>
      <c r="AC109" s="22">
        <f t="shared" ref="AC109" si="339">T109</f>
        <v>1730</v>
      </c>
      <c r="AD109" s="22">
        <f t="shared" ref="AD109" si="340">W109</f>
        <v>2064</v>
      </c>
      <c r="AE109" s="22">
        <f t="shared" ref="AE109" si="341">Z109</f>
        <v>2513</v>
      </c>
      <c r="AF109" s="18">
        <f>INDEX($C109:$N109,$B$2)</f>
        <v>1179</v>
      </c>
      <c r="AG109" s="22">
        <f t="shared" ref="AG109:AG116" si="342">E109</f>
        <v>1088</v>
      </c>
      <c r="AH109" s="22">
        <f t="shared" ref="AH109:AH116" si="343">H109</f>
        <v>1155</v>
      </c>
      <c r="AI109" s="22">
        <f t="shared" ref="AI109:AI116" si="344">K109</f>
        <v>1248</v>
      </c>
      <c r="AJ109" s="22">
        <f t="shared" ref="AJ109:AJ116" si="345">N109</f>
        <v>1422</v>
      </c>
      <c r="AK109" s="31">
        <f>AA109/AF109-1</f>
        <v>0.56488549618320616</v>
      </c>
      <c r="AL109" s="31">
        <f t="shared" ref="AL109:AM116" si="346">AB109/AG109-1</f>
        <v>0.42003676470588225</v>
      </c>
      <c r="AM109" s="31">
        <f t="shared" si="346"/>
        <v>0.49783549783549774</v>
      </c>
      <c r="AN109" s="31">
        <f t="shared" ref="AN109:AN116" si="347">AD109/AI109-1</f>
        <v>0.65384615384615374</v>
      </c>
      <c r="AO109" s="31">
        <f t="shared" ref="AO109:AO116" si="348">AE109/AJ109-1</f>
        <v>0.76722925457102664</v>
      </c>
      <c r="AP109" s="6">
        <f>[16]MP!Z39</f>
        <v>2581</v>
      </c>
      <c r="AQ109" s="6">
        <f>[17]MP!$Z$40</f>
        <v>1867</v>
      </c>
      <c r="AR109" s="6">
        <f>[18]MP!$Z$40</f>
        <v>1817</v>
      </c>
      <c r="AS109" s="6">
        <f>[19]MP!Z40</f>
        <v>1650</v>
      </c>
      <c r="AT109" s="6">
        <f>[20]MP!$Z$40</f>
        <v>1756</v>
      </c>
      <c r="AU109" s="22">
        <f>[21]MP!$Z$40</f>
        <v>1833</v>
      </c>
      <c r="AV109" s="22">
        <f>[22]MP!$Z$40</f>
        <v>1789</v>
      </c>
      <c r="BB109" s="22">
        <f>INDEX(AP109:AR109,IF($B$2&lt;3,$B$2,3))</f>
        <v>1817</v>
      </c>
      <c r="BC109" s="22">
        <f>INDEX(AS109:AU109,IF($B$2&lt;7,$B$2-3,3))</f>
        <v>1833</v>
      </c>
      <c r="BD109" s="22">
        <f>INDEX(AV109:AX109,$AV$2)</f>
        <v>1789</v>
      </c>
      <c r="BE109" s="18"/>
      <c r="BF109" s="22">
        <f>INDEX(AP109:BA109,$B$2)</f>
        <v>1789</v>
      </c>
      <c r="BG109" s="122">
        <f>AP109/O109</f>
        <v>1.8061581525542336</v>
      </c>
      <c r="BH109" s="111">
        <f>AQ109/P109</f>
        <v>1.2938322938322939</v>
      </c>
      <c r="BI109" s="111">
        <f t="shared" ref="BI109:BJ114" si="349">AR109/Q109</f>
        <v>1.176051779935275</v>
      </c>
      <c r="BJ109" s="111">
        <f t="shared" si="349"/>
        <v>1.0482846251588309</v>
      </c>
      <c r="BK109" s="111">
        <f t="shared" ref="BK109:BK114" si="350">AT109/S109</f>
        <v>1.0792870313460357</v>
      </c>
      <c r="BL109" s="111">
        <f t="shared" ref="BL109:BM114" si="351">AU109/T109</f>
        <v>1.0595375722543352</v>
      </c>
      <c r="BM109" s="111">
        <f>AV109/U109</f>
        <v>0.9696476964769648</v>
      </c>
      <c r="BN109" s="18"/>
      <c r="BO109" s="18"/>
      <c r="BP109" s="18"/>
      <c r="BQ109" s="18"/>
      <c r="BR109" s="18"/>
      <c r="BS109" s="111">
        <f>BB109/INDEX(O109:Q109,IF($B$2&lt;3,$B$2,3))</f>
        <v>1.176051779935275</v>
      </c>
      <c r="BT109" s="111">
        <f>BC109/INDEX(R109:T109,IF($B$2&lt;7,$B$2-3,3))</f>
        <v>1.0595375722543352</v>
      </c>
      <c r="BU109" s="111">
        <f>BD109/INDEX(S109:U109,IF($B$2&lt;7,$B$2-3,3))</f>
        <v>0.9696476964769648</v>
      </c>
      <c r="BV109" s="18"/>
      <c r="BW109" s="111">
        <f t="shared" ref="BW109:BW116" si="352">BF109/AA109</f>
        <v>0.9696476964769648</v>
      </c>
    </row>
    <row r="110" spans="1:75" s="20" customFormat="1" x14ac:dyDescent="0.25">
      <c r="A110" s="20" t="str">
        <f t="shared" ref="A110:A116" si="353">$B$108&amp;"_by_designation:"&amp;B110</f>
        <v># Manpower_by_designation:US</v>
      </c>
      <c r="B110" t="s">
        <v>34</v>
      </c>
      <c r="C110" s="6">
        <f>[25]Ag!F139</f>
        <v>50</v>
      </c>
      <c r="D110">
        <f>[25]Ag!F154</f>
        <v>58</v>
      </c>
      <c r="E110">
        <f>[25]Ag!F169</f>
        <v>71</v>
      </c>
      <c r="F110">
        <f>[25]Ag!F184</f>
        <v>71</v>
      </c>
      <c r="G110">
        <f>[25]Ag!F198</f>
        <v>76</v>
      </c>
      <c r="H110">
        <f>[25]Ag!F214</f>
        <v>74</v>
      </c>
      <c r="I110">
        <f>[25]Ag!F229</f>
        <v>65</v>
      </c>
      <c r="J110">
        <f>[25]Ag!F244</f>
        <v>65</v>
      </c>
      <c r="K110">
        <f>[25]Ag!F259</f>
        <v>63</v>
      </c>
      <c r="L110">
        <f>[25]Ag!F274</f>
        <v>71</v>
      </c>
      <c r="M110">
        <f>[25]Ag!F289</f>
        <v>78</v>
      </c>
      <c r="N110">
        <f>[25]Ag!F14</f>
        <v>79</v>
      </c>
      <c r="O110">
        <f>[25]Ag!F31</f>
        <v>77</v>
      </c>
      <c r="P110">
        <f>[25]Ag!F47</f>
        <v>79</v>
      </c>
      <c r="Q110">
        <f>[25]Ag!F63</f>
        <v>84</v>
      </c>
      <c r="R110">
        <f>[25]Ag!F79</f>
        <v>94</v>
      </c>
      <c r="S110">
        <f>[25]Ag!F95</f>
        <v>95</v>
      </c>
      <c r="T110">
        <v>86</v>
      </c>
      <c r="U110">
        <v>81</v>
      </c>
      <c r="V110">
        <v>91</v>
      </c>
      <c r="W110">
        <f>VLOOKUP(B110,[26]MP!$Y$35:$Z$40,2,0)</f>
        <v>83</v>
      </c>
      <c r="X110">
        <f>[14]MP!Z36</f>
        <v>91</v>
      </c>
      <c r="Y110">
        <f>[24]MP!$Z$40</f>
        <v>85</v>
      </c>
      <c r="Z110">
        <f>[15]MP!Z40</f>
        <v>84</v>
      </c>
      <c r="AA110" s="18">
        <f t="shared" ref="AA110:AA116" si="354">INDEX($O110:$Z110,$B$2)</f>
        <v>81</v>
      </c>
      <c r="AB110" s="22">
        <f>Q110</f>
        <v>84</v>
      </c>
      <c r="AC110" s="22">
        <f>T110</f>
        <v>86</v>
      </c>
      <c r="AD110" s="22">
        <f>W110</f>
        <v>83</v>
      </c>
      <c r="AE110" s="22">
        <f>Z110</f>
        <v>84</v>
      </c>
      <c r="AF110" s="18">
        <f t="shared" ref="AF110:AF116" si="355">INDEX($C110:$N110,$B$2)</f>
        <v>65</v>
      </c>
      <c r="AG110" s="22">
        <f t="shared" si="342"/>
        <v>71</v>
      </c>
      <c r="AH110" s="22">
        <f t="shared" si="343"/>
        <v>74</v>
      </c>
      <c r="AI110" s="22">
        <f t="shared" si="344"/>
        <v>63</v>
      </c>
      <c r="AJ110" s="22">
        <f t="shared" si="345"/>
        <v>79</v>
      </c>
      <c r="AK110" s="31">
        <f t="shared" ref="AK110:AK116" si="356">AA110/AF110-1</f>
        <v>0.24615384615384617</v>
      </c>
      <c r="AL110" s="31">
        <f t="shared" si="346"/>
        <v>0.18309859154929575</v>
      </c>
      <c r="AM110" s="31">
        <f t="shared" si="346"/>
        <v>0.16216216216216206</v>
      </c>
      <c r="AN110" s="31">
        <f t="shared" si="347"/>
        <v>0.31746031746031744</v>
      </c>
      <c r="AO110" s="31">
        <f t="shared" si="348"/>
        <v>6.3291139240506222E-2</v>
      </c>
      <c r="AP110" s="6">
        <f>[16]MP!Z40</f>
        <v>85</v>
      </c>
      <c r="AQ110" s="6">
        <f>[17]MP!$Z$41</f>
        <v>97</v>
      </c>
      <c r="AR110" s="6">
        <f>[18]MP!$Z$42</f>
        <v>125</v>
      </c>
      <c r="AS110" s="6">
        <f>[19]MP!Z41</f>
        <v>131</v>
      </c>
      <c r="AT110" s="6">
        <f>[20]MP!$Z$42</f>
        <v>146</v>
      </c>
      <c r="AU110" s="22">
        <f>[21]MP!$Z$42</f>
        <v>143</v>
      </c>
      <c r="AV110" s="22">
        <f>[22]MP!$Z$42</f>
        <v>121</v>
      </c>
      <c r="BB110" s="22">
        <f t="shared" ref="BB110:BB115" si="357">INDEX(AP110:AR110,IF($B$2&lt;3,$B$2,3))</f>
        <v>125</v>
      </c>
      <c r="BC110" s="18">
        <f t="shared" ref="BC110:BC115" si="358">INDEX(AS110:AU110,IF($B$2&lt;7,$B$2-3,3))</f>
        <v>143</v>
      </c>
      <c r="BD110" s="22">
        <f t="shared" ref="BD110:BD116" si="359">INDEX(AV110:AX110,$AV$2)</f>
        <v>121</v>
      </c>
      <c r="BE110" s="18"/>
      <c r="BF110" s="22">
        <f t="shared" ref="BF110:BF115" si="360">INDEX(AP110:BA110,$B$2)</f>
        <v>121</v>
      </c>
      <c r="BG110" s="122">
        <f t="shared" ref="BG110:BH116" si="361">AP110/O110</f>
        <v>1.1038961038961039</v>
      </c>
      <c r="BH110" s="111">
        <f t="shared" si="361"/>
        <v>1.2278481012658229</v>
      </c>
      <c r="BI110" s="111">
        <f t="shared" si="349"/>
        <v>1.4880952380952381</v>
      </c>
      <c r="BJ110" s="111">
        <f t="shared" si="349"/>
        <v>1.3936170212765957</v>
      </c>
      <c r="BK110" s="111">
        <f t="shared" si="350"/>
        <v>1.5368421052631578</v>
      </c>
      <c r="BL110" s="111">
        <f t="shared" si="351"/>
        <v>1.6627906976744187</v>
      </c>
      <c r="BM110" s="111">
        <f t="shared" si="351"/>
        <v>1.4938271604938271</v>
      </c>
      <c r="BN110" s="18"/>
      <c r="BO110" s="18"/>
      <c r="BP110" s="18"/>
      <c r="BQ110" s="18"/>
      <c r="BR110" s="18"/>
      <c r="BS110" s="111">
        <f t="shared" ref="BS110:BS116" si="362">BB110/INDEX(O110:Q110,IF($B$2&lt;3,$B$2,3))</f>
        <v>1.4880952380952381</v>
      </c>
      <c r="BT110" s="111">
        <f t="shared" ref="BT110:BT116" si="363">BC110/INDEX(R110:T110,IF($B$2&lt;7,$B$2-3,3))</f>
        <v>1.6627906976744187</v>
      </c>
      <c r="BU110" s="111">
        <f t="shared" ref="BU110:BU116" si="364">BD110/INDEX(S110:U110,IF($B$2&lt;7,$B$2-3,3))</f>
        <v>1.4938271604938271</v>
      </c>
      <c r="BV110" s="18"/>
      <c r="BW110" s="111">
        <f t="shared" si="352"/>
        <v>1.4938271604938271</v>
      </c>
    </row>
    <row r="111" spans="1:75" s="20" customFormat="1" x14ac:dyDescent="0.25">
      <c r="A111" s="20" t="str">
        <f t="shared" si="353"/>
        <v># Manpower_by_designation:UM</v>
      </c>
      <c r="B111" t="s">
        <v>35</v>
      </c>
      <c r="C111" s="6">
        <f>[25]Ag!F140</f>
        <v>177</v>
      </c>
      <c r="D111">
        <f>[25]Ag!F155</f>
        <v>179</v>
      </c>
      <c r="E111">
        <f>[25]Ag!F170</f>
        <v>204</v>
      </c>
      <c r="F111">
        <f>[25]Ag!F185</f>
        <v>233</v>
      </c>
      <c r="G111">
        <f>[25]Ag!F199</f>
        <v>251</v>
      </c>
      <c r="H111">
        <f>[25]Ag!F215</f>
        <v>247</v>
      </c>
      <c r="I111">
        <f>[25]Ag!F230</f>
        <v>256</v>
      </c>
      <c r="J111">
        <f>[25]Ag!F245</f>
        <v>260</v>
      </c>
      <c r="K111">
        <f>[25]Ag!F260</f>
        <v>273</v>
      </c>
      <c r="L111">
        <f>[25]Ag!F275</f>
        <v>280</v>
      </c>
      <c r="M111">
        <f>[25]Ag!F290</f>
        <v>282</v>
      </c>
      <c r="N111">
        <f>[25]Ag!F15</f>
        <v>272</v>
      </c>
      <c r="O111">
        <f>[25]Ag!F32</f>
        <v>272</v>
      </c>
      <c r="P111">
        <f>[25]Ag!F48</f>
        <v>258</v>
      </c>
      <c r="Q111">
        <f>[25]Ag!F64</f>
        <v>272</v>
      </c>
      <c r="R111">
        <f>[25]Ag!F80</f>
        <v>284</v>
      </c>
      <c r="S111">
        <f>[25]Ag!F96</f>
        <v>304</v>
      </c>
      <c r="T111">
        <v>299</v>
      </c>
      <c r="U111">
        <v>275</v>
      </c>
      <c r="V111">
        <v>290</v>
      </c>
      <c r="W111">
        <f>VLOOKUP(B111,[26]MP!$Y$35:$Z$40,2,0)</f>
        <v>299</v>
      </c>
      <c r="X111">
        <f>[14]MP!$Z$40</f>
        <v>313</v>
      </c>
      <c r="Y111">
        <f>[24]MP!$Z$44</f>
        <v>347</v>
      </c>
      <c r="Z111">
        <f>[15]MP!$Z$44</f>
        <v>355</v>
      </c>
      <c r="AA111" s="18">
        <f t="shared" si="354"/>
        <v>275</v>
      </c>
      <c r="AB111" s="18">
        <f t="shared" ref="AB111:AB116" si="365">Q111</f>
        <v>272</v>
      </c>
      <c r="AC111" s="18">
        <f t="shared" ref="AC111:AC116" si="366">T111</f>
        <v>299</v>
      </c>
      <c r="AD111" s="18">
        <f t="shared" ref="AD111:AD116" si="367">W111</f>
        <v>299</v>
      </c>
      <c r="AE111" s="18">
        <f t="shared" ref="AE111:AE116" si="368">Z111</f>
        <v>355</v>
      </c>
      <c r="AF111" s="18">
        <f t="shared" si="355"/>
        <v>256</v>
      </c>
      <c r="AG111" s="22">
        <f t="shared" si="342"/>
        <v>204</v>
      </c>
      <c r="AH111" s="22">
        <f t="shared" si="343"/>
        <v>247</v>
      </c>
      <c r="AI111" s="22">
        <f t="shared" si="344"/>
        <v>273</v>
      </c>
      <c r="AJ111" s="22">
        <f t="shared" si="345"/>
        <v>272</v>
      </c>
      <c r="AK111" s="31">
        <f t="shared" si="356"/>
        <v>7.421875E-2</v>
      </c>
      <c r="AL111" s="31">
        <f t="shared" si="346"/>
        <v>0.33333333333333326</v>
      </c>
      <c r="AM111" s="31">
        <f t="shared" si="346"/>
        <v>0.21052631578947367</v>
      </c>
      <c r="AN111" s="31">
        <f t="shared" si="347"/>
        <v>9.5238095238095344E-2</v>
      </c>
      <c r="AO111" s="31">
        <f t="shared" si="348"/>
        <v>0.30514705882352944</v>
      </c>
      <c r="AP111" s="6">
        <f>[16]MP!$Z$44</f>
        <v>356</v>
      </c>
      <c r="AQ111" s="6">
        <f>[17]MP!$Z$45</f>
        <v>388</v>
      </c>
      <c r="AR111" s="6">
        <f>[18]MP!$Z$46</f>
        <v>387</v>
      </c>
      <c r="AS111" s="6">
        <f>[19]MP!Z42</f>
        <v>336</v>
      </c>
      <c r="AT111" s="6">
        <f>[20]MP!$Z$46</f>
        <v>325</v>
      </c>
      <c r="AU111" s="22">
        <f>[21]MP!$Z$46</f>
        <v>316</v>
      </c>
      <c r="AV111" s="22">
        <f>[22]MP!$Z$46</f>
        <v>320</v>
      </c>
      <c r="BB111" s="22">
        <f t="shared" si="357"/>
        <v>387</v>
      </c>
      <c r="BC111" s="18">
        <f t="shared" si="358"/>
        <v>316</v>
      </c>
      <c r="BD111" s="22">
        <f t="shared" si="359"/>
        <v>320</v>
      </c>
      <c r="BE111" s="18"/>
      <c r="BF111" s="22">
        <f t="shared" si="360"/>
        <v>320</v>
      </c>
      <c r="BG111" s="122">
        <f t="shared" si="361"/>
        <v>1.3088235294117647</v>
      </c>
      <c r="BH111" s="111">
        <f t="shared" si="361"/>
        <v>1.5038759689922481</v>
      </c>
      <c r="BI111" s="111">
        <f t="shared" si="349"/>
        <v>1.4227941176470589</v>
      </c>
      <c r="BJ111" s="111">
        <f t="shared" si="349"/>
        <v>1.1830985915492958</v>
      </c>
      <c r="BK111" s="111">
        <f t="shared" si="350"/>
        <v>1.069078947368421</v>
      </c>
      <c r="BL111" s="111">
        <f t="shared" si="351"/>
        <v>1.0568561872909699</v>
      </c>
      <c r="BM111" s="111">
        <f t="shared" si="351"/>
        <v>1.1636363636363636</v>
      </c>
      <c r="BN111" s="18"/>
      <c r="BO111" s="18"/>
      <c r="BP111" s="18"/>
      <c r="BQ111" s="18"/>
      <c r="BR111" s="18"/>
      <c r="BS111" s="111">
        <f t="shared" si="362"/>
        <v>1.4227941176470589</v>
      </c>
      <c r="BT111" s="111">
        <f t="shared" si="363"/>
        <v>1.0568561872909699</v>
      </c>
      <c r="BU111" s="111">
        <f t="shared" si="364"/>
        <v>1.1636363636363636</v>
      </c>
      <c r="BV111" s="18"/>
      <c r="BW111" s="111">
        <f t="shared" si="352"/>
        <v>1.1636363636363636</v>
      </c>
    </row>
    <row r="112" spans="1:75" s="20" customFormat="1" x14ac:dyDescent="0.25">
      <c r="A112" s="20" t="str">
        <f t="shared" si="353"/>
        <v># Manpower_by_designation:SUM</v>
      </c>
      <c r="B112" t="s">
        <v>36</v>
      </c>
      <c r="C112" s="6">
        <f>[25]Ag!F141</f>
        <v>59</v>
      </c>
      <c r="D112">
        <f>[25]Ag!F156</f>
        <v>59</v>
      </c>
      <c r="E112">
        <f>[25]Ag!F171</f>
        <v>65</v>
      </c>
      <c r="F112">
        <f>[25]Ag!F186</f>
        <v>82</v>
      </c>
      <c r="G112">
        <f>[25]Ag!F200</f>
        <v>82</v>
      </c>
      <c r="H112">
        <f>[25]Ag!F216</f>
        <v>89</v>
      </c>
      <c r="I112">
        <f>[25]Ag!F231</f>
        <v>96</v>
      </c>
      <c r="J112">
        <f>[25]Ag!F246</f>
        <v>95</v>
      </c>
      <c r="K112">
        <f>[25]Ag!F261</f>
        <v>97</v>
      </c>
      <c r="L112">
        <f>[25]Ag!F276</f>
        <v>103</v>
      </c>
      <c r="M112">
        <f>[25]Ag!F291</f>
        <v>103</v>
      </c>
      <c r="N112">
        <f>[25]Ag!F16</f>
        <v>105</v>
      </c>
      <c r="O112">
        <f>[25]Ag!F33</f>
        <v>110</v>
      </c>
      <c r="P112">
        <f>[25]Ag!F49</f>
        <v>109</v>
      </c>
      <c r="Q112">
        <f>[25]Ag!F65</f>
        <v>117</v>
      </c>
      <c r="R112">
        <f>[25]Ag!F81</f>
        <v>121</v>
      </c>
      <c r="S112">
        <f>[25]Ag!F97</f>
        <v>124</v>
      </c>
      <c r="T112">
        <v>129</v>
      </c>
      <c r="U112">
        <v>126</v>
      </c>
      <c r="V112">
        <v>125</v>
      </c>
      <c r="W112">
        <f>VLOOKUP(B112,[26]MP!$Y$35:$Z$40,2,0)</f>
        <v>129</v>
      </c>
      <c r="X112">
        <f>[14]MP!$Z$39</f>
        <v>130</v>
      </c>
      <c r="Y112">
        <f>[24]MP!$Z$43</f>
        <v>136</v>
      </c>
      <c r="Z112">
        <f>[15]MP!$Z$43</f>
        <v>142</v>
      </c>
      <c r="AA112" s="18">
        <f t="shared" si="354"/>
        <v>126</v>
      </c>
      <c r="AB112" s="18">
        <f t="shared" si="365"/>
        <v>117</v>
      </c>
      <c r="AC112" s="18">
        <f t="shared" si="366"/>
        <v>129</v>
      </c>
      <c r="AD112" s="18">
        <f t="shared" si="367"/>
        <v>129</v>
      </c>
      <c r="AE112" s="18">
        <f t="shared" si="368"/>
        <v>142</v>
      </c>
      <c r="AF112" s="18">
        <f t="shared" si="355"/>
        <v>96</v>
      </c>
      <c r="AG112" s="22">
        <f t="shared" si="342"/>
        <v>65</v>
      </c>
      <c r="AH112" s="22">
        <f t="shared" si="343"/>
        <v>89</v>
      </c>
      <c r="AI112" s="22">
        <f t="shared" si="344"/>
        <v>97</v>
      </c>
      <c r="AJ112" s="22">
        <f t="shared" si="345"/>
        <v>105</v>
      </c>
      <c r="AK112" s="31">
        <f t="shared" si="356"/>
        <v>0.3125</v>
      </c>
      <c r="AL112" s="31">
        <f t="shared" si="346"/>
        <v>0.8</v>
      </c>
      <c r="AM112" s="31">
        <f t="shared" si="346"/>
        <v>0.449438202247191</v>
      </c>
      <c r="AN112" s="31">
        <f t="shared" si="347"/>
        <v>0.32989690721649478</v>
      </c>
      <c r="AO112" s="31">
        <f t="shared" si="348"/>
        <v>0.35238095238095246</v>
      </c>
      <c r="AP112" s="6">
        <f>[16]MP!$Z$43</f>
        <v>143</v>
      </c>
      <c r="AQ112" s="6">
        <f>[17]MP!$Z$44</f>
        <v>151</v>
      </c>
      <c r="AR112" s="6">
        <f>[18]MP!$Z$45</f>
        <v>144</v>
      </c>
      <c r="AS112" s="6">
        <f>[19]MP!Z43</f>
        <v>147</v>
      </c>
      <c r="AT112" s="6">
        <f>[20]MP!$Z$45</f>
        <v>144</v>
      </c>
      <c r="AU112" s="22">
        <f>[21]MP!$Z$45</f>
        <v>134</v>
      </c>
      <c r="AV112" s="22">
        <f>[22]MP!$Z$45</f>
        <v>117</v>
      </c>
      <c r="BB112" s="22">
        <f t="shared" si="357"/>
        <v>144</v>
      </c>
      <c r="BC112" s="18">
        <f t="shared" si="358"/>
        <v>134</v>
      </c>
      <c r="BD112" s="22">
        <f t="shared" si="359"/>
        <v>117</v>
      </c>
      <c r="BE112" s="18"/>
      <c r="BF112" s="22">
        <f t="shared" si="360"/>
        <v>117</v>
      </c>
      <c r="BG112" s="122">
        <f t="shared" si="361"/>
        <v>1.3</v>
      </c>
      <c r="BH112" s="111">
        <f t="shared" si="361"/>
        <v>1.3853211009174311</v>
      </c>
      <c r="BI112" s="111">
        <f t="shared" si="349"/>
        <v>1.2307692307692308</v>
      </c>
      <c r="BJ112" s="111">
        <f t="shared" si="349"/>
        <v>1.2148760330578512</v>
      </c>
      <c r="BK112" s="111">
        <f t="shared" si="350"/>
        <v>1.1612903225806452</v>
      </c>
      <c r="BL112" s="111">
        <f t="shared" si="351"/>
        <v>1.0387596899224807</v>
      </c>
      <c r="BM112" s="111">
        <f t="shared" si="351"/>
        <v>0.9285714285714286</v>
      </c>
      <c r="BN112" s="18"/>
      <c r="BO112" s="18"/>
      <c r="BP112" s="18"/>
      <c r="BQ112" s="18"/>
      <c r="BR112" s="18"/>
      <c r="BS112" s="111">
        <f t="shared" si="362"/>
        <v>1.2307692307692308</v>
      </c>
      <c r="BT112" s="111">
        <f t="shared" si="363"/>
        <v>1.0387596899224807</v>
      </c>
      <c r="BU112" s="111">
        <f t="shared" si="364"/>
        <v>0.9285714285714286</v>
      </c>
      <c r="BV112" s="18"/>
      <c r="BW112" s="111">
        <f t="shared" si="352"/>
        <v>0.9285714285714286</v>
      </c>
    </row>
    <row r="113" spans="1:75" s="20" customFormat="1" x14ac:dyDescent="0.25">
      <c r="A113" s="20" t="str">
        <f t="shared" si="353"/>
        <v># Manpower_by_designation:BM</v>
      </c>
      <c r="B113" t="s">
        <v>37</v>
      </c>
      <c r="C113" s="6">
        <f>[25]Ag!F142</f>
        <v>39</v>
      </c>
      <c r="D113">
        <f>[25]Ag!F157</f>
        <v>40</v>
      </c>
      <c r="E113">
        <f>[25]Ag!F172</f>
        <v>43</v>
      </c>
      <c r="F113">
        <f>[25]Ag!F187</f>
        <v>45</v>
      </c>
      <c r="G113">
        <f>[25]Ag!F201</f>
        <v>47</v>
      </c>
      <c r="H113">
        <f>[25]Ag!F217</f>
        <v>47</v>
      </c>
      <c r="I113">
        <f>[25]Ag!F232</f>
        <v>46</v>
      </c>
      <c r="J113">
        <f>[25]Ag!F247</f>
        <v>45</v>
      </c>
      <c r="K113">
        <f>[25]Ag!F262</f>
        <v>44</v>
      </c>
      <c r="L113">
        <f>[25]Ag!F277</f>
        <v>43</v>
      </c>
      <c r="M113">
        <f>[25]Ag!F292</f>
        <v>40</v>
      </c>
      <c r="N113">
        <f>[25]Ag!F17</f>
        <v>40</v>
      </c>
      <c r="O113">
        <f>[25]Ag!F34</f>
        <v>40</v>
      </c>
      <c r="P113">
        <f>[25]Ag!F50</f>
        <v>38</v>
      </c>
      <c r="Q113">
        <f>[25]Ag!F66</f>
        <v>39</v>
      </c>
      <c r="R113">
        <f>[25]Ag!F82</f>
        <v>37</v>
      </c>
      <c r="S113">
        <f>[25]Ag!F98</f>
        <v>36</v>
      </c>
      <c r="T113">
        <v>39</v>
      </c>
      <c r="U113">
        <v>39</v>
      </c>
      <c r="V113">
        <v>38</v>
      </c>
      <c r="W113">
        <f>VLOOKUP(B113,[26]MP!$Y$35:$Z$40,2,0)</f>
        <v>37</v>
      </c>
      <c r="X113">
        <f>[14]MP!Z37</f>
        <v>38</v>
      </c>
      <c r="Y113">
        <f>[24]MP!Z41</f>
        <v>39</v>
      </c>
      <c r="Z113">
        <f>[15]MP!Z41</f>
        <v>36</v>
      </c>
      <c r="AA113" s="18">
        <f t="shared" si="354"/>
        <v>39</v>
      </c>
      <c r="AB113" s="18">
        <f t="shared" si="365"/>
        <v>39</v>
      </c>
      <c r="AC113" s="18">
        <f t="shared" si="366"/>
        <v>39</v>
      </c>
      <c r="AD113" s="18">
        <f t="shared" si="367"/>
        <v>37</v>
      </c>
      <c r="AE113" s="18">
        <f t="shared" si="368"/>
        <v>36</v>
      </c>
      <c r="AF113" s="18">
        <f t="shared" si="355"/>
        <v>46</v>
      </c>
      <c r="AG113" s="22">
        <f t="shared" si="342"/>
        <v>43</v>
      </c>
      <c r="AH113" s="22">
        <f t="shared" si="343"/>
        <v>47</v>
      </c>
      <c r="AI113" s="22">
        <f t="shared" si="344"/>
        <v>44</v>
      </c>
      <c r="AJ113" s="22">
        <f t="shared" si="345"/>
        <v>40</v>
      </c>
      <c r="AK113" s="31">
        <f t="shared" si="356"/>
        <v>-0.15217391304347827</v>
      </c>
      <c r="AL113" s="31">
        <f t="shared" si="346"/>
        <v>-9.3023255813953543E-2</v>
      </c>
      <c r="AM113" s="31">
        <f t="shared" si="346"/>
        <v>-0.17021276595744683</v>
      </c>
      <c r="AN113" s="31">
        <f t="shared" si="347"/>
        <v>-0.15909090909090906</v>
      </c>
      <c r="AO113" s="31">
        <f t="shared" si="348"/>
        <v>-9.9999999999999978E-2</v>
      </c>
      <c r="AP113" s="6">
        <f>[16]MP!Z41</f>
        <v>37</v>
      </c>
      <c r="AQ113" s="6">
        <f>[17]MP!Z42</f>
        <v>40</v>
      </c>
      <c r="AR113" s="6">
        <f>[18]MP!Z43</f>
        <v>40</v>
      </c>
      <c r="AS113" s="6">
        <f>[19]MP!Z44</f>
        <v>42</v>
      </c>
      <c r="AT113" s="6">
        <f>[20]MP!Z43</f>
        <v>43</v>
      </c>
      <c r="AU113" s="22">
        <f>[21]MP!Z43</f>
        <v>42</v>
      </c>
      <c r="AV113" s="22">
        <f>[22]MP!$Z$43</f>
        <v>40</v>
      </c>
      <c r="BB113" s="22">
        <f t="shared" si="357"/>
        <v>40</v>
      </c>
      <c r="BC113" s="18">
        <f t="shared" si="358"/>
        <v>42</v>
      </c>
      <c r="BD113" s="22">
        <f t="shared" si="359"/>
        <v>40</v>
      </c>
      <c r="BE113" s="18"/>
      <c r="BF113" s="22">
        <f t="shared" si="360"/>
        <v>40</v>
      </c>
      <c r="BG113" s="122">
        <f t="shared" si="361"/>
        <v>0.92500000000000004</v>
      </c>
      <c r="BH113" s="111">
        <f t="shared" si="361"/>
        <v>1.0526315789473684</v>
      </c>
      <c r="BI113" s="111">
        <f t="shared" si="349"/>
        <v>1.0256410256410255</v>
      </c>
      <c r="BJ113" s="111">
        <f t="shared" si="349"/>
        <v>1.1351351351351351</v>
      </c>
      <c r="BK113" s="111">
        <f t="shared" si="350"/>
        <v>1.1944444444444444</v>
      </c>
      <c r="BL113" s="111">
        <f t="shared" si="351"/>
        <v>1.0769230769230769</v>
      </c>
      <c r="BM113" s="111">
        <f t="shared" si="351"/>
        <v>1.0256410256410255</v>
      </c>
      <c r="BN113" s="18"/>
      <c r="BO113" s="18"/>
      <c r="BP113" s="18"/>
      <c r="BQ113" s="18"/>
      <c r="BR113" s="18"/>
      <c r="BS113" s="111">
        <f t="shared" si="362"/>
        <v>1.0256410256410255</v>
      </c>
      <c r="BT113" s="111">
        <f t="shared" si="363"/>
        <v>1.0769230769230769</v>
      </c>
      <c r="BU113" s="111">
        <f t="shared" si="364"/>
        <v>1.0256410256410255</v>
      </c>
      <c r="BV113" s="18"/>
      <c r="BW113" s="111">
        <f t="shared" si="352"/>
        <v>1.0256410256410255</v>
      </c>
    </row>
    <row r="114" spans="1:75" s="20" customFormat="1" x14ac:dyDescent="0.25">
      <c r="A114" s="20" t="str">
        <f t="shared" si="353"/>
        <v># Manpower_by_designation:SBM</v>
      </c>
      <c r="B114" t="s">
        <v>38</v>
      </c>
      <c r="C114" s="6">
        <f>[25]Ag!F143</f>
        <v>4</v>
      </c>
      <c r="D114">
        <f>[25]Ag!F158</f>
        <v>4</v>
      </c>
      <c r="E114">
        <f>[25]Ag!F173</f>
        <v>5</v>
      </c>
      <c r="F114">
        <f>[25]Ag!F188</f>
        <v>8</v>
      </c>
      <c r="G114">
        <f>[25]Ag!F202</f>
        <v>9</v>
      </c>
      <c r="H114">
        <f>[25]Ag!F218</f>
        <v>9</v>
      </c>
      <c r="I114">
        <f>[25]Ag!F233</f>
        <v>8</v>
      </c>
      <c r="J114">
        <f>[25]Ag!F248</f>
        <v>8</v>
      </c>
      <c r="K114">
        <f>[25]Ag!F263</f>
        <v>9</v>
      </c>
      <c r="L114">
        <f>[25]Ag!F278</f>
        <v>10</v>
      </c>
      <c r="M114">
        <f>[25]Ag!F293</f>
        <v>10</v>
      </c>
      <c r="N114">
        <f>[25]Ag!F18</f>
        <v>10</v>
      </c>
      <c r="O114">
        <f>[25]Ag!F35</f>
        <v>11</v>
      </c>
      <c r="P114">
        <f>[25]Ag!F51</f>
        <v>11</v>
      </c>
      <c r="Q114">
        <f>[25]Ag!F67</f>
        <v>11</v>
      </c>
      <c r="R114">
        <f>[25]Ag!F83</f>
        <v>11</v>
      </c>
      <c r="S114">
        <f>[25]Ag!F99</f>
        <v>11</v>
      </c>
      <c r="T114">
        <v>12</v>
      </c>
      <c r="U114">
        <v>12</v>
      </c>
      <c r="V114">
        <v>12</v>
      </c>
      <c r="W114">
        <f>VLOOKUP(B114,[26]MP!$Y$35:$Z$40,2,0)</f>
        <v>12</v>
      </c>
      <c r="X114">
        <f>[14]MP!Z38</f>
        <v>13</v>
      </c>
      <c r="Y114">
        <f>[24]MP!Z42</f>
        <v>14</v>
      </c>
      <c r="Z114">
        <f>[15]MP!Z42</f>
        <v>14</v>
      </c>
      <c r="AA114" s="18">
        <f t="shared" si="354"/>
        <v>12</v>
      </c>
      <c r="AB114" s="18">
        <f t="shared" si="365"/>
        <v>11</v>
      </c>
      <c r="AC114" s="18">
        <f t="shared" si="366"/>
        <v>12</v>
      </c>
      <c r="AD114" s="18">
        <f t="shared" si="367"/>
        <v>12</v>
      </c>
      <c r="AE114" s="18">
        <f t="shared" si="368"/>
        <v>14</v>
      </c>
      <c r="AF114" s="18">
        <f t="shared" si="355"/>
        <v>8</v>
      </c>
      <c r="AG114" s="22">
        <f t="shared" si="342"/>
        <v>5</v>
      </c>
      <c r="AH114" s="22">
        <f t="shared" si="343"/>
        <v>9</v>
      </c>
      <c r="AI114" s="22">
        <f t="shared" si="344"/>
        <v>9</v>
      </c>
      <c r="AJ114" s="22">
        <f t="shared" si="345"/>
        <v>10</v>
      </c>
      <c r="AK114" s="31">
        <f t="shared" si="356"/>
        <v>0.5</v>
      </c>
      <c r="AL114" s="31">
        <f t="shared" si="346"/>
        <v>1.2000000000000002</v>
      </c>
      <c r="AM114" s="31">
        <f t="shared" si="346"/>
        <v>0.33333333333333326</v>
      </c>
      <c r="AN114" s="31">
        <f t="shared" si="347"/>
        <v>0.33333333333333326</v>
      </c>
      <c r="AO114" s="31">
        <f t="shared" si="348"/>
        <v>0.39999999999999991</v>
      </c>
      <c r="AP114" s="6">
        <f>[16]MP!Z42</f>
        <v>18</v>
      </c>
      <c r="AQ114" s="6">
        <f>[17]MP!Z43</f>
        <v>21</v>
      </c>
      <c r="AR114" s="6">
        <f>[18]MP!Z44</f>
        <v>21</v>
      </c>
      <c r="AS114" s="6">
        <f>[19]MP!Z45</f>
        <v>21</v>
      </c>
      <c r="AT114" s="6">
        <f>[20]MP!Z44</f>
        <v>22</v>
      </c>
      <c r="AU114" s="22">
        <f>[21]MP!Z44</f>
        <v>23</v>
      </c>
      <c r="AV114" s="22">
        <f>[22]MP!$Z$44</f>
        <v>23</v>
      </c>
      <c r="BB114" s="22">
        <f t="shared" si="357"/>
        <v>21</v>
      </c>
      <c r="BC114" s="18">
        <f t="shared" si="358"/>
        <v>23</v>
      </c>
      <c r="BD114" s="22">
        <f t="shared" si="359"/>
        <v>23</v>
      </c>
      <c r="BE114" s="18"/>
      <c r="BF114" s="22">
        <f t="shared" si="360"/>
        <v>23</v>
      </c>
      <c r="BG114" s="122">
        <f t="shared" si="361"/>
        <v>1.6363636363636365</v>
      </c>
      <c r="BH114" s="111">
        <f t="shared" si="361"/>
        <v>1.9090909090909092</v>
      </c>
      <c r="BI114" s="111">
        <f t="shared" si="349"/>
        <v>1.9090909090909092</v>
      </c>
      <c r="BJ114" s="111">
        <f t="shared" si="349"/>
        <v>1.9090909090909092</v>
      </c>
      <c r="BK114" s="111">
        <f t="shared" si="350"/>
        <v>2</v>
      </c>
      <c r="BL114" s="111">
        <f t="shared" si="351"/>
        <v>1.9166666666666667</v>
      </c>
      <c r="BM114" s="111">
        <f t="shared" si="351"/>
        <v>1.9166666666666667</v>
      </c>
      <c r="BN114" s="18"/>
      <c r="BO114" s="18"/>
      <c r="BP114" s="18"/>
      <c r="BQ114" s="18"/>
      <c r="BR114" s="18"/>
      <c r="BS114" s="111">
        <f t="shared" si="362"/>
        <v>1.9090909090909092</v>
      </c>
      <c r="BT114" s="111">
        <f t="shared" si="363"/>
        <v>1.9166666666666667</v>
      </c>
      <c r="BU114" s="111">
        <f t="shared" si="364"/>
        <v>1.9166666666666667</v>
      </c>
      <c r="BV114" s="18"/>
      <c r="BW114" s="111">
        <f t="shared" si="352"/>
        <v>1.9166666666666667</v>
      </c>
    </row>
    <row r="115" spans="1:75" s="20" customFormat="1" x14ac:dyDescent="0.25">
      <c r="A115" s="20" t="str">
        <f t="shared" si="353"/>
        <v># Manpower_by_designation:SA</v>
      </c>
      <c r="B115" s="135" t="s">
        <v>136</v>
      </c>
      <c r="C115" s="6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 s="18"/>
      <c r="AB115" s="18"/>
      <c r="AC115" s="18"/>
      <c r="AD115" s="18"/>
      <c r="AE115" s="18"/>
      <c r="AF115" s="18"/>
      <c r="AG115" s="22"/>
      <c r="AH115" s="22"/>
      <c r="AI115" s="22"/>
      <c r="AJ115" s="22"/>
      <c r="AK115" s="31"/>
      <c r="AL115" s="31"/>
      <c r="AM115" s="31"/>
      <c r="AN115" s="31"/>
      <c r="AO115" s="31"/>
      <c r="AP115" s="6"/>
      <c r="AQ115" s="6">
        <f>[17]MP!$Z$46</f>
        <v>799</v>
      </c>
      <c r="AR115" s="22">
        <f>[18]MP!$Z$41</f>
        <v>902</v>
      </c>
      <c r="AS115" s="22">
        <f>[19]MP!Z46</f>
        <v>1130</v>
      </c>
      <c r="AT115" s="22">
        <f>[20]MP!$Z$41</f>
        <v>1301</v>
      </c>
      <c r="AU115" s="22">
        <f>[21]MP!$Z$41</f>
        <v>1550</v>
      </c>
      <c r="AV115" s="22">
        <f>[22]MP!$Z$41</f>
        <v>1761</v>
      </c>
      <c r="BB115" s="22">
        <f t="shared" si="357"/>
        <v>902</v>
      </c>
      <c r="BC115" s="18">
        <f t="shared" si="358"/>
        <v>1550</v>
      </c>
      <c r="BD115" s="22">
        <f t="shared" si="359"/>
        <v>1761</v>
      </c>
      <c r="BE115" s="18"/>
      <c r="BF115" s="22">
        <f t="shared" si="360"/>
        <v>1761</v>
      </c>
      <c r="BG115" s="122"/>
      <c r="BH115" s="111"/>
      <c r="BI115" s="111"/>
      <c r="BJ115" s="111"/>
      <c r="BK115" s="111"/>
      <c r="BL115" s="111"/>
      <c r="BM115" s="111"/>
      <c r="BN115" s="18"/>
      <c r="BO115" s="18"/>
      <c r="BP115" s="18"/>
      <c r="BQ115" s="18"/>
      <c r="BR115" s="18"/>
      <c r="BS115" s="111"/>
      <c r="BT115" s="111"/>
      <c r="BU115" s="111"/>
      <c r="BV115" s="18"/>
      <c r="BW115" s="111"/>
    </row>
    <row r="116" spans="1:75" s="19" customFormat="1" x14ac:dyDescent="0.25">
      <c r="A116" s="20" t="str">
        <f t="shared" si="353"/>
        <v># Manpower_by_designation:Total (excl. SA)</v>
      </c>
      <c r="B116" s="1" t="s">
        <v>137</v>
      </c>
      <c r="C116" s="7">
        <f t="shared" ref="C116:Z116" si="369">SUM(C109:C114)</f>
        <v>1354</v>
      </c>
      <c r="D116" s="7">
        <f t="shared" si="369"/>
        <v>1383</v>
      </c>
      <c r="E116" s="7">
        <f t="shared" si="369"/>
        <v>1476</v>
      </c>
      <c r="F116" s="7">
        <f t="shared" si="369"/>
        <v>1632</v>
      </c>
      <c r="G116" s="7">
        <f t="shared" si="369"/>
        <v>1590</v>
      </c>
      <c r="H116" s="7">
        <f t="shared" si="369"/>
        <v>1621</v>
      </c>
      <c r="I116" s="7">
        <f t="shared" si="369"/>
        <v>1650</v>
      </c>
      <c r="J116" s="7">
        <f t="shared" si="369"/>
        <v>1751</v>
      </c>
      <c r="K116" s="7">
        <f t="shared" si="369"/>
        <v>1734</v>
      </c>
      <c r="L116" s="7">
        <f t="shared" si="369"/>
        <v>1802</v>
      </c>
      <c r="M116" s="7">
        <f t="shared" si="369"/>
        <v>1897</v>
      </c>
      <c r="N116" s="7">
        <f t="shared" si="369"/>
        <v>1928</v>
      </c>
      <c r="O116" s="7">
        <f t="shared" si="369"/>
        <v>1939</v>
      </c>
      <c r="P116" s="7">
        <f t="shared" si="369"/>
        <v>1938</v>
      </c>
      <c r="Q116" s="7">
        <f t="shared" si="369"/>
        <v>2068</v>
      </c>
      <c r="R116" s="7">
        <f t="shared" si="369"/>
        <v>2121</v>
      </c>
      <c r="S116" s="7">
        <f t="shared" si="369"/>
        <v>2197</v>
      </c>
      <c r="T116" s="7">
        <f t="shared" si="369"/>
        <v>2295</v>
      </c>
      <c r="U116" s="7">
        <f t="shared" si="369"/>
        <v>2378</v>
      </c>
      <c r="V116" s="7">
        <f t="shared" si="369"/>
        <v>2500</v>
      </c>
      <c r="W116" s="7">
        <f t="shared" si="369"/>
        <v>2624</v>
      </c>
      <c r="X116" s="7">
        <f t="shared" si="369"/>
        <v>2812</v>
      </c>
      <c r="Y116" s="7">
        <f t="shared" si="369"/>
        <v>3031</v>
      </c>
      <c r="Z116" s="7">
        <f t="shared" si="369"/>
        <v>3144</v>
      </c>
      <c r="AA116" s="17">
        <f t="shared" si="354"/>
        <v>2378</v>
      </c>
      <c r="AB116" s="17">
        <f t="shared" si="365"/>
        <v>2068</v>
      </c>
      <c r="AC116" s="17">
        <f t="shared" si="366"/>
        <v>2295</v>
      </c>
      <c r="AD116" s="17">
        <f t="shared" si="367"/>
        <v>2624</v>
      </c>
      <c r="AE116" s="17">
        <f t="shared" si="368"/>
        <v>3144</v>
      </c>
      <c r="AF116" s="17">
        <f t="shared" si="355"/>
        <v>1650</v>
      </c>
      <c r="AG116" s="27">
        <f t="shared" si="342"/>
        <v>1476</v>
      </c>
      <c r="AH116" s="27">
        <f t="shared" si="343"/>
        <v>1621</v>
      </c>
      <c r="AI116" s="27">
        <f t="shared" si="344"/>
        <v>1734</v>
      </c>
      <c r="AJ116" s="27">
        <f t="shared" si="345"/>
        <v>1928</v>
      </c>
      <c r="AK116" s="32">
        <f t="shared" si="356"/>
        <v>0.44121212121212117</v>
      </c>
      <c r="AL116" s="32">
        <f t="shared" si="346"/>
        <v>0.40108401084010836</v>
      </c>
      <c r="AM116" s="32">
        <f t="shared" si="346"/>
        <v>0.41579272054287486</v>
      </c>
      <c r="AN116" s="32">
        <f t="shared" si="347"/>
        <v>0.51326412918108422</v>
      </c>
      <c r="AO116" s="32">
        <f t="shared" si="348"/>
        <v>0.63070539419087135</v>
      </c>
      <c r="AP116" s="7">
        <f t="shared" ref="AP116:AV116" si="370">SUM(AP109:AP114)</f>
        <v>3220</v>
      </c>
      <c r="AQ116" s="7">
        <f t="shared" si="370"/>
        <v>2564</v>
      </c>
      <c r="AR116" s="7">
        <f t="shared" si="370"/>
        <v>2534</v>
      </c>
      <c r="AS116" s="7">
        <f t="shared" si="370"/>
        <v>2327</v>
      </c>
      <c r="AT116" s="7">
        <f t="shared" si="370"/>
        <v>2436</v>
      </c>
      <c r="AU116" s="7">
        <f t="shared" si="370"/>
        <v>2491</v>
      </c>
      <c r="AV116" s="7">
        <f t="shared" si="370"/>
        <v>2410</v>
      </c>
      <c r="BB116" s="114">
        <f t="shared" ref="BB116:BF116" si="371">SUM(BB109:BB114)</f>
        <v>2534</v>
      </c>
      <c r="BC116" s="114">
        <f t="shared" si="371"/>
        <v>2491</v>
      </c>
      <c r="BD116" s="115">
        <f t="shared" si="359"/>
        <v>2410</v>
      </c>
      <c r="BE116" s="114">
        <f t="shared" si="371"/>
        <v>0</v>
      </c>
      <c r="BF116" s="114">
        <f t="shared" si="371"/>
        <v>2410</v>
      </c>
      <c r="BG116" s="123">
        <f t="shared" si="361"/>
        <v>1.6606498194945849</v>
      </c>
      <c r="BH116" s="118">
        <f t="shared" si="361"/>
        <v>1.323013415892673</v>
      </c>
      <c r="BI116" s="118">
        <f t="shared" ref="BI116" si="372">AR116/Q116</f>
        <v>1.2253384912959382</v>
      </c>
      <c r="BJ116" s="118">
        <f t="shared" ref="BJ116" si="373">AS116/R116</f>
        <v>1.0971239981140972</v>
      </c>
      <c r="BK116" s="118">
        <f t="shared" ref="BK116" si="374">AT116/S116</f>
        <v>1.1087847064178424</v>
      </c>
      <c r="BL116" s="118">
        <f t="shared" ref="BL116:BM116" si="375">AU116/T116</f>
        <v>1.0854030501089325</v>
      </c>
      <c r="BM116" s="118">
        <f t="shared" si="375"/>
        <v>1.0134566862910008</v>
      </c>
      <c r="BN116" s="37"/>
      <c r="BO116" s="37"/>
      <c r="BP116" s="37"/>
      <c r="BQ116" s="37"/>
      <c r="BR116" s="37"/>
      <c r="BS116" s="118">
        <f t="shared" si="362"/>
        <v>1.2253384912959382</v>
      </c>
      <c r="BT116" s="111">
        <f t="shared" si="363"/>
        <v>1.0854030501089325</v>
      </c>
      <c r="BU116" s="111">
        <f t="shared" si="364"/>
        <v>1.0134566862910008</v>
      </c>
      <c r="BV116" s="37"/>
      <c r="BW116" s="118">
        <f t="shared" si="352"/>
        <v>1.0134566862910008</v>
      </c>
    </row>
    <row r="117" spans="1:75" x14ac:dyDescent="0.25">
      <c r="A117" s="20" t="s">
        <v>160</v>
      </c>
      <c r="B117" t="s">
        <v>187</v>
      </c>
      <c r="C117" s="6">
        <f>SUM(C109:C115)</f>
        <v>1354</v>
      </c>
      <c r="D117" s="6">
        <f t="shared" ref="D117:Z117" si="376">SUM(D109:D115)</f>
        <v>1383</v>
      </c>
      <c r="E117" s="6">
        <f t="shared" si="376"/>
        <v>1476</v>
      </c>
      <c r="F117" s="6">
        <f t="shared" si="376"/>
        <v>1632</v>
      </c>
      <c r="G117" s="6">
        <f t="shared" si="376"/>
        <v>1590</v>
      </c>
      <c r="H117" s="6">
        <f t="shared" si="376"/>
        <v>1621</v>
      </c>
      <c r="I117" s="6">
        <f t="shared" si="376"/>
        <v>1650</v>
      </c>
      <c r="J117" s="6">
        <f t="shared" si="376"/>
        <v>1751</v>
      </c>
      <c r="K117" s="6">
        <f t="shared" si="376"/>
        <v>1734</v>
      </c>
      <c r="L117" s="6">
        <f t="shared" si="376"/>
        <v>1802</v>
      </c>
      <c r="M117" s="6">
        <f t="shared" si="376"/>
        <v>1897</v>
      </c>
      <c r="N117" s="6">
        <f t="shared" si="376"/>
        <v>1928</v>
      </c>
      <c r="O117" s="6">
        <f t="shared" si="376"/>
        <v>1939</v>
      </c>
      <c r="P117" s="6">
        <f t="shared" si="376"/>
        <v>1938</v>
      </c>
      <c r="Q117" s="6">
        <f t="shared" si="376"/>
        <v>2068</v>
      </c>
      <c r="R117" s="6">
        <f t="shared" si="376"/>
        <v>2121</v>
      </c>
      <c r="S117" s="6">
        <f t="shared" si="376"/>
        <v>2197</v>
      </c>
      <c r="T117" s="6">
        <f t="shared" si="376"/>
        <v>2295</v>
      </c>
      <c r="U117" s="6">
        <f t="shared" si="376"/>
        <v>2378</v>
      </c>
      <c r="V117" s="6">
        <f t="shared" si="376"/>
        <v>2500</v>
      </c>
      <c r="W117" s="6">
        <f t="shared" si="376"/>
        <v>2624</v>
      </c>
      <c r="X117" s="6">
        <f t="shared" si="376"/>
        <v>2812</v>
      </c>
      <c r="Y117" s="6">
        <f t="shared" si="376"/>
        <v>3031</v>
      </c>
      <c r="Z117" s="6">
        <f t="shared" si="376"/>
        <v>3144</v>
      </c>
      <c r="AP117" s="6">
        <f t="shared" ref="AP117:AV117" si="377">SUM(AP109:AP115)</f>
        <v>3220</v>
      </c>
      <c r="AQ117" s="6">
        <f t="shared" si="377"/>
        <v>3363</v>
      </c>
      <c r="AR117" s="6">
        <f t="shared" si="377"/>
        <v>3436</v>
      </c>
      <c r="AS117" s="6">
        <f t="shared" si="377"/>
        <v>3457</v>
      </c>
      <c r="AT117" s="6">
        <f t="shared" si="377"/>
        <v>3737</v>
      </c>
      <c r="AU117" s="6">
        <f t="shared" si="377"/>
        <v>4041</v>
      </c>
      <c r="AV117" s="6">
        <f t="shared" si="377"/>
        <v>4171</v>
      </c>
      <c r="BG117" s="124"/>
    </row>
    <row r="118" spans="1:75" x14ac:dyDescent="0.25">
      <c r="A118" s="20" t="s">
        <v>228</v>
      </c>
      <c r="B118" t="s">
        <v>187</v>
      </c>
      <c r="C118" s="6">
        <f>C110+C111+C112+C113+C114</f>
        <v>329</v>
      </c>
      <c r="D118" s="6">
        <f t="shared" ref="D118:Z118" si="378">D110+D111+D112+D113+D114</f>
        <v>340</v>
      </c>
      <c r="E118" s="6">
        <f t="shared" si="378"/>
        <v>388</v>
      </c>
      <c r="F118" s="6">
        <f t="shared" si="378"/>
        <v>439</v>
      </c>
      <c r="G118" s="6">
        <f t="shared" si="378"/>
        <v>465</v>
      </c>
      <c r="H118" s="6">
        <f t="shared" si="378"/>
        <v>466</v>
      </c>
      <c r="I118" s="6">
        <f t="shared" si="378"/>
        <v>471</v>
      </c>
      <c r="J118" s="6">
        <f t="shared" si="378"/>
        <v>473</v>
      </c>
      <c r="K118" s="6">
        <f t="shared" si="378"/>
        <v>486</v>
      </c>
      <c r="L118" s="6">
        <f t="shared" si="378"/>
        <v>507</v>
      </c>
      <c r="M118" s="6">
        <f t="shared" si="378"/>
        <v>513</v>
      </c>
      <c r="N118" s="6">
        <f t="shared" si="378"/>
        <v>506</v>
      </c>
      <c r="O118" s="6">
        <f t="shared" si="378"/>
        <v>510</v>
      </c>
      <c r="P118" s="6">
        <f t="shared" si="378"/>
        <v>495</v>
      </c>
      <c r="Q118" s="6">
        <f t="shared" si="378"/>
        <v>523</v>
      </c>
      <c r="R118" s="6">
        <f t="shared" si="378"/>
        <v>547</v>
      </c>
      <c r="S118" s="6">
        <f t="shared" si="378"/>
        <v>570</v>
      </c>
      <c r="T118" s="6">
        <f t="shared" si="378"/>
        <v>565</v>
      </c>
      <c r="U118" s="6">
        <f>U110+U111+U112+U113+U114</f>
        <v>533</v>
      </c>
      <c r="V118" s="6">
        <f t="shared" si="378"/>
        <v>556</v>
      </c>
      <c r="W118" s="6">
        <f t="shared" si="378"/>
        <v>560</v>
      </c>
      <c r="X118" s="6">
        <f t="shared" si="378"/>
        <v>585</v>
      </c>
      <c r="Y118" s="6">
        <f t="shared" si="378"/>
        <v>621</v>
      </c>
      <c r="Z118" s="6">
        <f t="shared" si="378"/>
        <v>631</v>
      </c>
      <c r="AP118" s="6">
        <f>AP110+AP111+AP112+AP113+AP114</f>
        <v>639</v>
      </c>
      <c r="AQ118" s="6">
        <f t="shared" ref="AQ118:AV118" si="379">AQ110+AQ111+AQ112+AQ113+AQ114</f>
        <v>697</v>
      </c>
      <c r="AR118" s="6">
        <f t="shared" si="379"/>
        <v>717</v>
      </c>
      <c r="AS118" s="6">
        <f t="shared" si="379"/>
        <v>677</v>
      </c>
      <c r="AT118" s="6">
        <f t="shared" si="379"/>
        <v>680</v>
      </c>
      <c r="AU118" s="6">
        <f t="shared" si="379"/>
        <v>658</v>
      </c>
      <c r="AV118" s="6">
        <f t="shared" si="379"/>
        <v>621</v>
      </c>
      <c r="BG118" s="124"/>
    </row>
    <row r="119" spans="1:75" x14ac:dyDescent="0.25">
      <c r="C119" s="6"/>
      <c r="BG119" s="124"/>
    </row>
    <row r="120" spans="1:75" s="20" customFormat="1" x14ac:dyDescent="0.25">
      <c r="B120" s="2" t="s">
        <v>15</v>
      </c>
      <c r="C120" s="3">
        <v>42005</v>
      </c>
      <c r="D120" s="3">
        <v>42036</v>
      </c>
      <c r="E120" s="3">
        <v>42064</v>
      </c>
      <c r="F120" s="3">
        <v>42095</v>
      </c>
      <c r="G120" s="3">
        <v>42125</v>
      </c>
      <c r="H120" s="3">
        <v>42156</v>
      </c>
      <c r="I120" s="3">
        <v>42186</v>
      </c>
      <c r="J120" s="3">
        <v>42217</v>
      </c>
      <c r="K120" s="3">
        <v>42248</v>
      </c>
      <c r="L120" s="3">
        <v>42278</v>
      </c>
      <c r="M120" s="3">
        <v>42309</v>
      </c>
      <c r="N120" s="3">
        <v>42339</v>
      </c>
      <c r="O120" s="3">
        <v>42370</v>
      </c>
      <c r="P120" s="3">
        <v>42401</v>
      </c>
      <c r="Q120" s="3">
        <v>42430</v>
      </c>
      <c r="R120" s="3">
        <v>42461</v>
      </c>
      <c r="S120" s="3">
        <v>42491</v>
      </c>
      <c r="T120" s="3">
        <v>42522</v>
      </c>
      <c r="U120" s="3">
        <v>42552</v>
      </c>
      <c r="V120" s="3">
        <v>42583</v>
      </c>
      <c r="W120" s="3">
        <v>42614</v>
      </c>
      <c r="X120" s="3">
        <v>42644</v>
      </c>
      <c r="Y120" s="3">
        <v>42675</v>
      </c>
      <c r="Z120" s="3">
        <v>42705</v>
      </c>
      <c r="AA120" s="29" t="s">
        <v>138</v>
      </c>
      <c r="AB120" s="29" t="s">
        <v>19</v>
      </c>
      <c r="AC120" s="29" t="s">
        <v>20</v>
      </c>
      <c r="AD120" s="29" t="s">
        <v>21</v>
      </c>
      <c r="AE120" s="29" t="s">
        <v>22</v>
      </c>
      <c r="AF120" s="26" t="str">
        <f t="shared" ref="AF120:AJ120" si="380">AF108</f>
        <v>YTD 0/15</v>
      </c>
      <c r="AG120" s="26" t="str">
        <f t="shared" si="380"/>
        <v>Q1 '15</v>
      </c>
      <c r="AH120" s="26" t="str">
        <f t="shared" si="380"/>
        <v>Q2 '15</v>
      </c>
      <c r="AI120" s="26" t="str">
        <f t="shared" si="380"/>
        <v>Q3 '15</v>
      </c>
      <c r="AJ120" s="26" t="str">
        <f t="shared" si="380"/>
        <v>Q4 '15</v>
      </c>
      <c r="AK120" s="30" t="s">
        <v>27</v>
      </c>
      <c r="AL120" s="30" t="s">
        <v>29</v>
      </c>
      <c r="AM120" s="30" t="s">
        <v>30</v>
      </c>
      <c r="AN120" s="30" t="s">
        <v>31</v>
      </c>
      <c r="AO120" s="30" t="s">
        <v>32</v>
      </c>
      <c r="AP120" s="108">
        <v>42736</v>
      </c>
      <c r="AQ120" s="108">
        <v>42767</v>
      </c>
      <c r="AR120" s="108">
        <v>42795</v>
      </c>
      <c r="AS120" s="108">
        <v>42826</v>
      </c>
      <c r="AT120" s="108">
        <v>42856</v>
      </c>
      <c r="AU120" s="108">
        <v>42887</v>
      </c>
      <c r="AV120" s="108">
        <v>42917</v>
      </c>
      <c r="AW120" s="108">
        <v>42948</v>
      </c>
      <c r="AX120" s="108">
        <v>42979</v>
      </c>
      <c r="AY120" s="108">
        <v>43009</v>
      </c>
      <c r="AZ120" s="108">
        <v>43040</v>
      </c>
      <c r="BA120" s="108">
        <v>43070</v>
      </c>
      <c r="BB120" s="29" t="s">
        <v>123</v>
      </c>
      <c r="BC120" s="29" t="s">
        <v>124</v>
      </c>
      <c r="BD120" s="29" t="s">
        <v>125</v>
      </c>
      <c r="BE120" s="29" t="s">
        <v>126</v>
      </c>
      <c r="BF120" s="29" t="str">
        <f>$BF$3</f>
        <v>YTD 7/17</v>
      </c>
      <c r="BG120" s="121">
        <v>42736</v>
      </c>
      <c r="BH120" s="108">
        <v>42767</v>
      </c>
      <c r="BI120" s="108">
        <v>42795</v>
      </c>
      <c r="BJ120" s="108">
        <v>42826</v>
      </c>
      <c r="BK120" s="108">
        <v>42856</v>
      </c>
      <c r="BL120" s="108">
        <v>42887</v>
      </c>
      <c r="BM120" s="108">
        <v>42917</v>
      </c>
      <c r="BN120" s="108">
        <v>42948</v>
      </c>
      <c r="BO120" s="108">
        <v>42979</v>
      </c>
      <c r="BP120" s="108">
        <v>43009</v>
      </c>
      <c r="BQ120" s="108">
        <v>43040</v>
      </c>
      <c r="BR120" s="108">
        <v>43070</v>
      </c>
      <c r="BS120" s="29" t="s">
        <v>127</v>
      </c>
      <c r="BT120" s="29" t="s">
        <v>128</v>
      </c>
      <c r="BU120" s="29" t="s">
        <v>96</v>
      </c>
      <c r="BV120" s="29" t="s">
        <v>129</v>
      </c>
      <c r="BW120" s="112" t="s">
        <v>130</v>
      </c>
    </row>
    <row r="121" spans="1:75" s="20" customFormat="1" x14ac:dyDescent="0.25">
      <c r="A121" s="20" t="str">
        <f>$B$120&amp;"_by_designation:"&amp;B121</f>
        <v>Recruit_by_designation:AG</v>
      </c>
      <c r="B121" t="s">
        <v>17</v>
      </c>
      <c r="C121" s="6">
        <f>[25]Ag!L137</f>
        <v>175</v>
      </c>
      <c r="D121" s="6">
        <f>[25]Ag!L153</f>
        <v>58</v>
      </c>
      <c r="E121" s="6">
        <f>[25]Ag!L167</f>
        <v>180</v>
      </c>
      <c r="F121" s="6">
        <f>[25]Ag!L183</f>
        <v>245</v>
      </c>
      <c r="G121" s="6">
        <f>[25]Ag!L197</f>
        <v>188</v>
      </c>
      <c r="H121" s="6">
        <f>[25]Ag!L212</f>
        <v>220</v>
      </c>
      <c r="I121" s="6">
        <f>[25]Ag!$L$227</f>
        <v>206</v>
      </c>
      <c r="J121" s="6">
        <f>[25]Ag!$L$242</f>
        <v>204</v>
      </c>
      <c r="K121" s="6">
        <f>[25]Ag!$L$257</f>
        <v>190</v>
      </c>
      <c r="L121" s="6">
        <f>[25]Ag!$L$272</f>
        <v>162</v>
      </c>
      <c r="M121" s="6">
        <f>[25]Ag!$L$286</f>
        <v>296</v>
      </c>
      <c r="N121" s="6">
        <f>[25]Ag!$M$12</f>
        <v>232</v>
      </c>
      <c r="O121" s="6">
        <f>[25]Ag!$M$27</f>
        <v>65</v>
      </c>
      <c r="P121" s="6">
        <f>[25]Ag!$M$45</f>
        <v>72</v>
      </c>
      <c r="Q121" s="6">
        <f>[25]Ag!$M$60</f>
        <v>289</v>
      </c>
      <c r="R121" s="6">
        <f>[25]Ag!$M$77</f>
        <v>193</v>
      </c>
      <c r="S121" s="6">
        <f>[25]Ag!$L$93</f>
        <v>177</v>
      </c>
      <c r="T121" s="6">
        <f>[25]Ag!$L$108</f>
        <v>273</v>
      </c>
      <c r="U121" s="6">
        <f>[25]Ag!$L$122</f>
        <v>224</v>
      </c>
      <c r="V121" s="6">
        <v>211</v>
      </c>
      <c r="W121" s="6">
        <f>IFERROR(VLOOKUP(B121,[26]Recruit!$I$48:$J$53,2,0),0)</f>
        <v>289</v>
      </c>
      <c r="X121" s="6">
        <f>[14]Recruit!$J$48</f>
        <v>253</v>
      </c>
      <c r="Y121" s="6">
        <f>[24]Recruit!$J$48</f>
        <v>307</v>
      </c>
      <c r="Z121" s="6">
        <f>[15]Recruit!$J$48</f>
        <v>344</v>
      </c>
      <c r="AA121" s="22">
        <f>SUM(O121:INDEX(O121:Z121,$B$2))</f>
        <v>1293</v>
      </c>
      <c r="AB121" s="22">
        <f t="shared" ref="AB121:AB126" si="381">SUM(O121:Q121)</f>
        <v>426</v>
      </c>
      <c r="AC121" s="22">
        <f t="shared" ref="AC121:AC126" si="382">SUM(R121:T121)</f>
        <v>643</v>
      </c>
      <c r="AD121" s="22">
        <f t="shared" ref="AD121:AD126" si="383">SUM(U121:W121)</f>
        <v>724</v>
      </c>
      <c r="AE121" s="22">
        <f t="shared" ref="AE121:AE126" si="384">SUM(X121:Z121)</f>
        <v>904</v>
      </c>
      <c r="AF121" s="22">
        <f>SUM(C121                                                                                : INDEX(C121:N121,$B$2))</f>
        <v>1272</v>
      </c>
      <c r="AG121" s="22">
        <f t="shared" ref="AG121:AG127" si="385">SUM(C121:E121)</f>
        <v>413</v>
      </c>
      <c r="AH121" s="22">
        <f t="shared" ref="AH121:AH127" si="386">SUM(F121:H121)</f>
        <v>653</v>
      </c>
      <c r="AI121" s="22">
        <f t="shared" ref="AI121:AI127" si="387">SUM(I121:K121)</f>
        <v>600</v>
      </c>
      <c r="AJ121" s="22">
        <f t="shared" ref="AJ121:AJ127" si="388">SUM(L121:N121)</f>
        <v>690</v>
      </c>
      <c r="AK121" s="31">
        <f>AA121/AF121-1</f>
        <v>1.6509433962264231E-2</v>
      </c>
      <c r="AL121" s="31">
        <f t="shared" ref="AL121:AM127" si="389">AB121/AG121-1</f>
        <v>3.14769975786926E-2</v>
      </c>
      <c r="AM121" s="31">
        <f t="shared" si="389"/>
        <v>-1.5313935681470103E-2</v>
      </c>
      <c r="AN121" s="31">
        <f t="shared" ref="AN121:AN127" si="390">AD121/AI121-1</f>
        <v>0.20666666666666678</v>
      </c>
      <c r="AO121" s="31">
        <f t="shared" ref="AO121:AO127" si="391">AE121/AJ121-1</f>
        <v>0.3101449275362318</v>
      </c>
      <c r="AP121" s="113">
        <f>[16]Recruit!$J$47</f>
        <v>150</v>
      </c>
      <c r="AQ121" s="113">
        <f>[17]Recruit!$J$49</f>
        <v>323</v>
      </c>
      <c r="AR121" s="113">
        <f>[18]Recruit!$J$47</f>
        <v>328</v>
      </c>
      <c r="AS121" s="113">
        <f>[19]Recruit!$J$48</f>
        <v>272</v>
      </c>
      <c r="AT121" s="113">
        <f>[20]Recruit!$J$48</f>
        <v>334</v>
      </c>
      <c r="AU121" s="113">
        <f>[21]Recruit!$J$49</f>
        <v>392</v>
      </c>
      <c r="AV121" s="18">
        <f>[22]Recruit!$J$38</f>
        <v>309</v>
      </c>
      <c r="AW121" s="113"/>
      <c r="AX121" s="113"/>
      <c r="AY121" s="113"/>
      <c r="AZ121" s="113"/>
      <c r="BA121" s="113"/>
      <c r="BB121" s="113">
        <f>SUM(AP121:INDEX(AP121:AR121,IF($B$2&lt;3,$B$2,3)))</f>
        <v>801</v>
      </c>
      <c r="BC121" s="113">
        <f>SUM(AS121:INDEX(AS121:AU121,IF(AND($B$2&gt;3,B118&lt;7),$B$2-3,0)))</f>
        <v>998</v>
      </c>
      <c r="BD121" s="113">
        <f>SUM(AV121:INDEX(AV121:AX121,IF(AND($B$2&gt;6,$B$2&lt;10),$B$2-6,0)))</f>
        <v>309</v>
      </c>
      <c r="BE121" s="113">
        <f>SUM(AY121:INDEX(AY121:BA121,IF($B$2&gt;9,$B$2-9,0)))</f>
        <v>0</v>
      </c>
      <c r="BF121" s="113">
        <f>SUM($AP121:INDEX(AP121:BA121,$B$2))</f>
        <v>2108</v>
      </c>
      <c r="BG121" s="122">
        <f>IFERROR(AP121/O121,0)</f>
        <v>2.3076923076923075</v>
      </c>
      <c r="BH121" s="111">
        <f t="shared" ref="BH121:BR126" si="392">IFERROR(AQ121/P121,0)</f>
        <v>4.4861111111111107</v>
      </c>
      <c r="BI121" s="111">
        <f t="shared" si="392"/>
        <v>1.1349480968858132</v>
      </c>
      <c r="BJ121" s="111">
        <f t="shared" si="392"/>
        <v>1.4093264248704662</v>
      </c>
      <c r="BK121" s="111">
        <f t="shared" si="392"/>
        <v>1.8870056497175141</v>
      </c>
      <c r="BL121" s="111">
        <f t="shared" si="392"/>
        <v>1.4358974358974359</v>
      </c>
      <c r="BM121" s="111">
        <f>IFERROR(AV121/U121,0)</f>
        <v>1.3794642857142858</v>
      </c>
      <c r="BN121" s="111">
        <f t="shared" si="392"/>
        <v>0</v>
      </c>
      <c r="BO121" s="111">
        <f t="shared" si="392"/>
        <v>0</v>
      </c>
      <c r="BP121" s="111">
        <f t="shared" si="392"/>
        <v>0</v>
      </c>
      <c r="BQ121" s="111">
        <f t="shared" si="392"/>
        <v>0</v>
      </c>
      <c r="BR121" s="111">
        <f t="shared" si="392"/>
        <v>0</v>
      </c>
      <c r="BS121" s="111">
        <f>IFERROR(BB121/SUM(O121:INDEX(O121:Q121,IF($B$2&lt;3,$B$2,3))),0)</f>
        <v>1.880281690140845</v>
      </c>
      <c r="BT121" s="111">
        <f>IFERROR(BC121/SUM(R121:INDEX(R121:T121,IF($C$2&lt;3,$C$2,3))),0)</f>
        <v>5.1709844559585489</v>
      </c>
      <c r="BU121" s="111">
        <f>IFERROR(BD121/SUM(U121:INDEX(U121:W121,IF($C$2&lt;3,$C$2,3))),0)</f>
        <v>1.3794642857142858</v>
      </c>
      <c r="BV121" s="111">
        <f>IFERROR(BE121/SUM(X121:INDEX(X121:Z121,IF($B$2&lt;3,$B$2,3))),0)</f>
        <v>0</v>
      </c>
      <c r="BW121" s="111">
        <f>IFERROR(BF121/AA121,0)</f>
        <v>1.6303170920340293</v>
      </c>
    </row>
    <row r="122" spans="1:75" s="20" customFormat="1" x14ac:dyDescent="0.25">
      <c r="A122" s="20" t="str">
        <f t="shared" ref="A122:A127" si="393">$B$120&amp;"_by_designation:"&amp;B122</f>
        <v>Recruit_by_designation:US</v>
      </c>
      <c r="B122" t="s">
        <v>34</v>
      </c>
      <c r="C122" s="6">
        <f>[25]Ag!L138</f>
        <v>11</v>
      </c>
      <c r="D122" s="6">
        <f>[25]Ag!L154</f>
        <v>4</v>
      </c>
      <c r="E122" s="6">
        <f>[25]Ag!L168</f>
        <v>14</v>
      </c>
      <c r="F122" s="6">
        <f>[25]Ag!L184</f>
        <v>5</v>
      </c>
      <c r="G122" s="6">
        <f>[25]Ag!L198</f>
        <v>3</v>
      </c>
      <c r="H122" s="6">
        <f>[25]Ag!L213</f>
        <v>2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>
        <f>IFERROR(VLOOKUP(B122,[26]Recruit!$I$48:$J$53,2,0),0)</f>
        <v>0</v>
      </c>
      <c r="X122" s="6"/>
      <c r="Y122" s="6"/>
      <c r="Z122" s="6"/>
      <c r="AA122" s="22">
        <f>SUM(O122:INDEX(O122:Z122,$B$2))</f>
        <v>0</v>
      </c>
      <c r="AB122" s="22">
        <f t="shared" si="381"/>
        <v>0</v>
      </c>
      <c r="AC122" s="22">
        <f t="shared" si="382"/>
        <v>0</v>
      </c>
      <c r="AD122" s="22">
        <f t="shared" si="383"/>
        <v>0</v>
      </c>
      <c r="AE122" s="22">
        <f t="shared" si="384"/>
        <v>0</v>
      </c>
      <c r="AF122" s="22">
        <f>SUM(C122                                                                                : INDEX(C122:N122,$B$2))</f>
        <v>39</v>
      </c>
      <c r="AG122" s="22">
        <f t="shared" si="385"/>
        <v>29</v>
      </c>
      <c r="AH122" s="22">
        <f t="shared" si="386"/>
        <v>10</v>
      </c>
      <c r="AI122" s="22">
        <f t="shared" si="387"/>
        <v>0</v>
      </c>
      <c r="AJ122" s="22">
        <f t="shared" si="388"/>
        <v>0</v>
      </c>
      <c r="AK122" s="31">
        <f t="shared" ref="AK122:AK127" si="394">AA122/AF122-1</f>
        <v>-1</v>
      </c>
      <c r="AL122" s="31">
        <f t="shared" si="389"/>
        <v>-1</v>
      </c>
      <c r="AM122" s="31">
        <f t="shared" si="389"/>
        <v>-1</v>
      </c>
      <c r="AN122" s="31">
        <f>IFERROR(AD122/AI122-1,0)</f>
        <v>0</v>
      </c>
      <c r="AO122" s="31">
        <f>IFERROR(AE122/AJ122-1,0)</f>
        <v>0</v>
      </c>
      <c r="AP122" s="113"/>
      <c r="AQ122" s="113"/>
      <c r="AR122" s="113"/>
      <c r="AS122" s="113"/>
      <c r="AT122" s="113"/>
      <c r="AU122" s="113"/>
      <c r="AV122" s="113">
        <v>0</v>
      </c>
      <c r="AW122" s="113"/>
      <c r="AX122" s="113"/>
      <c r="AY122" s="113"/>
      <c r="AZ122" s="113"/>
      <c r="BA122" s="113"/>
      <c r="BB122" s="113">
        <f>SUM(AP122:INDEX(AP122:AR122,IF($B$2&lt;3,$B$2,3)))</f>
        <v>0</v>
      </c>
      <c r="BC122" s="113">
        <f>SUM(AS122:INDEX(AS122:AU122,IF(AND($B$2&gt;3,B120&lt;7),$B$2-3,0)))</f>
        <v>0</v>
      </c>
      <c r="BD122" s="113">
        <f>SUM(AV122:INDEX(AV122:AX122,IF(AND($B$2&gt;6,$B$2&lt;10),$B$2-6,0)))</f>
        <v>0</v>
      </c>
      <c r="BE122" s="113">
        <f>SUM(AY122:INDEX(AY122:BA122,IF($B$2&gt;9,$B$2-9,0)))</f>
        <v>0</v>
      </c>
      <c r="BF122" s="113">
        <f>SUM($AP122:INDEX(AP122:BA122,$B$2))</f>
        <v>0</v>
      </c>
      <c r="BG122" s="122">
        <f t="shared" ref="BG122:BG126" si="395">IFERROR(AP122/O122,0)</f>
        <v>0</v>
      </c>
      <c r="BH122" s="111">
        <f t="shared" si="392"/>
        <v>0</v>
      </c>
      <c r="BI122" s="111">
        <f t="shared" si="392"/>
        <v>0</v>
      </c>
      <c r="BJ122" s="111">
        <f t="shared" si="392"/>
        <v>0</v>
      </c>
      <c r="BK122" s="111">
        <f t="shared" si="392"/>
        <v>0</v>
      </c>
      <c r="BL122" s="111">
        <f t="shared" si="392"/>
        <v>0</v>
      </c>
      <c r="BM122" s="111">
        <f t="shared" si="392"/>
        <v>0</v>
      </c>
      <c r="BN122" s="111">
        <f t="shared" si="392"/>
        <v>0</v>
      </c>
      <c r="BO122" s="111">
        <f t="shared" si="392"/>
        <v>0</v>
      </c>
      <c r="BP122" s="111">
        <f t="shared" si="392"/>
        <v>0</v>
      </c>
      <c r="BQ122" s="111">
        <f t="shared" si="392"/>
        <v>0</v>
      </c>
      <c r="BR122" s="111">
        <f t="shared" si="392"/>
        <v>0</v>
      </c>
      <c r="BS122" s="111">
        <f>IFERROR(BB122/SUM(O122:INDEX(O122:Q122,IF($B$2&lt;3,$B$2,3))),0)</f>
        <v>0</v>
      </c>
      <c r="BT122" s="111">
        <f>IFERROR(BC122/SUM(R122:INDEX(R122:T122,IF($C$2&lt;3,$C$2,3))),0)</f>
        <v>0</v>
      </c>
      <c r="BU122" s="111">
        <f>IFERROR(BD122/SUM(U122:INDEX(U122:W122,IF($C$2&lt;3,$C$2,3))),0)</f>
        <v>0</v>
      </c>
      <c r="BV122" s="111">
        <f>IFERROR(BE122/SUM(X122:INDEX(X122:Z122,IF($B$2&lt;3,$B$2,3))),0)</f>
        <v>0</v>
      </c>
      <c r="BW122" s="111">
        <f t="shared" ref="BW122:BW127" si="396">IFERROR(BF122/AA122,0)</f>
        <v>0</v>
      </c>
    </row>
    <row r="123" spans="1:75" s="20" customFormat="1" x14ac:dyDescent="0.25">
      <c r="A123" s="20" t="str">
        <f t="shared" si="393"/>
        <v>Recruit_by_designation:UM</v>
      </c>
      <c r="B123" t="s">
        <v>35</v>
      </c>
      <c r="C123" s="6">
        <f>[25]Ag!L139</f>
        <v>23</v>
      </c>
      <c r="D123" s="6">
        <f>[25]Ag!L155</f>
        <v>9</v>
      </c>
      <c r="E123" s="6">
        <f>[25]Ag!L169</f>
        <v>25</v>
      </c>
      <c r="F123" s="6">
        <f>[25]Ag!L185</f>
        <v>36</v>
      </c>
      <c r="G123" s="6">
        <f>[25]Ag!L199</f>
        <v>28</v>
      </c>
      <c r="H123" s="6">
        <f>[25]Ag!L214</f>
        <v>28</v>
      </c>
      <c r="I123" s="6">
        <f>[25]Ag!L228</f>
        <v>19</v>
      </c>
      <c r="J123" s="6">
        <f>[25]Ag!L243</f>
        <v>20</v>
      </c>
      <c r="K123" s="6">
        <f>[25]Ag!L258</f>
        <v>27</v>
      </c>
      <c r="L123" s="6">
        <f>[25]Ag!L273</f>
        <v>19</v>
      </c>
      <c r="M123" s="6">
        <f>[25]Ag!L287</f>
        <v>17</v>
      </c>
      <c r="N123" s="6">
        <f>[25]Ag!N13</f>
        <v>16</v>
      </c>
      <c r="O123" s="6">
        <f>[25]Ag!$N$28</f>
        <v>5</v>
      </c>
      <c r="P123" s="6">
        <f>[25]Ag!$N$46</f>
        <v>2</v>
      </c>
      <c r="Q123" s="6">
        <f>[25]Ag!N61</f>
        <v>22</v>
      </c>
      <c r="R123" s="6">
        <f>[25]Ag!N78</f>
        <v>16</v>
      </c>
      <c r="S123" s="6">
        <f>[25]Ag!L94</f>
        <v>29</v>
      </c>
      <c r="T123" s="6">
        <f>[25]Ag!L109</f>
        <v>31</v>
      </c>
      <c r="U123" s="6">
        <f>[25]Ag!L123</f>
        <v>19</v>
      </c>
      <c r="V123" s="6">
        <v>24</v>
      </c>
      <c r="W123" s="6">
        <f>IFERROR(VLOOKUP(B123,[26]Recruit!$I$48:$J$53,2,0),0)</f>
        <v>29</v>
      </c>
      <c r="X123" s="6">
        <f>[14]Recruit!$J$52</f>
        <v>41</v>
      </c>
      <c r="Y123" s="6">
        <f>[24]Recruit!$J$52</f>
        <v>57</v>
      </c>
      <c r="Z123" s="6">
        <f>[15]Recruit!$J$50</f>
        <v>32</v>
      </c>
      <c r="AA123" s="22">
        <f>SUM(O123:INDEX(O123:Z123,$B$2))</f>
        <v>124</v>
      </c>
      <c r="AB123" s="22">
        <f t="shared" si="381"/>
        <v>29</v>
      </c>
      <c r="AC123" s="22">
        <f t="shared" si="382"/>
        <v>76</v>
      </c>
      <c r="AD123" s="22">
        <f t="shared" si="383"/>
        <v>72</v>
      </c>
      <c r="AE123" s="22">
        <f t="shared" si="384"/>
        <v>130</v>
      </c>
      <c r="AF123" s="22">
        <f>SUM(C123                                                                                : INDEX(C123:N123,$B$2))</f>
        <v>168</v>
      </c>
      <c r="AG123" s="22">
        <f t="shared" si="385"/>
        <v>57</v>
      </c>
      <c r="AH123" s="22">
        <f t="shared" si="386"/>
        <v>92</v>
      </c>
      <c r="AI123" s="22">
        <f t="shared" si="387"/>
        <v>66</v>
      </c>
      <c r="AJ123" s="22">
        <f t="shared" si="388"/>
        <v>52</v>
      </c>
      <c r="AK123" s="31">
        <f t="shared" si="394"/>
        <v>-0.26190476190476186</v>
      </c>
      <c r="AL123" s="31">
        <f t="shared" si="389"/>
        <v>-0.49122807017543857</v>
      </c>
      <c r="AM123" s="31">
        <f t="shared" si="389"/>
        <v>-0.17391304347826086</v>
      </c>
      <c r="AN123" s="31">
        <f t="shared" si="390"/>
        <v>9.0909090909090828E-2</v>
      </c>
      <c r="AO123" s="31">
        <f t="shared" si="391"/>
        <v>1.5</v>
      </c>
      <c r="AP123" s="113">
        <f>[16]Recruit!$J$51</f>
        <v>21</v>
      </c>
      <c r="AQ123" s="113">
        <f>[17]Recruit!$J$53</f>
        <v>41</v>
      </c>
      <c r="AR123" s="113">
        <f>[18]Recruit!$J$50</f>
        <v>13</v>
      </c>
      <c r="AS123" s="113">
        <f>[19]Recruit!$J$52</f>
        <v>14</v>
      </c>
      <c r="AT123" s="113">
        <f>[20]Recruit!$J$52</f>
        <v>10</v>
      </c>
      <c r="AU123" s="113">
        <f>[21]Recruit!$J$53</f>
        <v>15</v>
      </c>
      <c r="AV123" s="14">
        <v>23</v>
      </c>
      <c r="AW123" s="113"/>
      <c r="AX123" s="113"/>
      <c r="AY123" s="113"/>
      <c r="AZ123" s="113"/>
      <c r="BA123" s="113"/>
      <c r="BB123" s="113">
        <f>SUM(AP123:INDEX(AP123:AR123,IF($B$2&lt;3,$B$2,3)))</f>
        <v>75</v>
      </c>
      <c r="BC123" s="113">
        <f>SUM(AS123:INDEX(AS123:AU123,IF(AND($B$2&gt;3,B121&lt;7),$B$2-3,0)))</f>
        <v>39</v>
      </c>
      <c r="BD123" s="113">
        <f>SUM(AV123:INDEX(AV123:AX123,IF(AND($B$2&gt;6,$B$2&lt;10),$B$2-6,0)))</f>
        <v>23</v>
      </c>
      <c r="BE123" s="113">
        <f>SUM(AY123:INDEX(AY123:BA123,IF($B$2&gt;9,$B$2-9,0)))</f>
        <v>0</v>
      </c>
      <c r="BF123" s="113">
        <f>SUM($AP123:INDEX(AP123:BA123,$B$2))</f>
        <v>137</v>
      </c>
      <c r="BG123" s="122">
        <f t="shared" si="395"/>
        <v>4.2</v>
      </c>
      <c r="BH123" s="111">
        <f t="shared" si="392"/>
        <v>20.5</v>
      </c>
      <c r="BI123" s="111">
        <f t="shared" si="392"/>
        <v>0.59090909090909094</v>
      </c>
      <c r="BJ123" s="111">
        <f>IFERROR(AS123/R123,0)</f>
        <v>0.875</v>
      </c>
      <c r="BK123" s="111">
        <f t="shared" si="392"/>
        <v>0.34482758620689657</v>
      </c>
      <c r="BL123" s="111">
        <f t="shared" si="392"/>
        <v>0.4838709677419355</v>
      </c>
      <c r="BM123" s="111">
        <f t="shared" si="392"/>
        <v>1.2105263157894737</v>
      </c>
      <c r="BN123" s="111">
        <f t="shared" si="392"/>
        <v>0</v>
      </c>
      <c r="BO123" s="111">
        <f t="shared" si="392"/>
        <v>0</v>
      </c>
      <c r="BP123" s="111">
        <f t="shared" si="392"/>
        <v>0</v>
      </c>
      <c r="BQ123" s="111">
        <f t="shared" si="392"/>
        <v>0</v>
      </c>
      <c r="BR123" s="111">
        <f t="shared" si="392"/>
        <v>0</v>
      </c>
      <c r="BS123" s="111">
        <f>IFERROR(BB123/SUM(O123:INDEX(O123:Q123,IF($B$2&lt;3,$B$2,3))),0)</f>
        <v>2.5862068965517242</v>
      </c>
      <c r="BT123" s="111">
        <f>IFERROR(BC123/SUM(R123:INDEX(R123:T123,IF($C$2&lt;3,$C$2,3))),0)</f>
        <v>2.4375</v>
      </c>
      <c r="BU123" s="111">
        <f>IFERROR(BD123/SUM(U123:INDEX(U123:W123,IF($C$2&lt;3,$C$2,3))),0)</f>
        <v>1.2105263157894737</v>
      </c>
      <c r="BV123" s="111">
        <f>IFERROR(BE123/SUM(X123:INDEX(X123:Z123,IF($B$2&lt;3,$B$2,3))),0)</f>
        <v>0</v>
      </c>
      <c r="BW123" s="111">
        <f t="shared" si="396"/>
        <v>1.1048387096774193</v>
      </c>
    </row>
    <row r="124" spans="1:75" s="20" customFormat="1" x14ac:dyDescent="0.25">
      <c r="A124" s="20" t="str">
        <f t="shared" si="393"/>
        <v>Recruit_by_designation:SUM</v>
      </c>
      <c r="B124" t="s">
        <v>36</v>
      </c>
      <c r="C124" s="6">
        <f>[25]Ag!L140</f>
        <v>5</v>
      </c>
      <c r="D124" s="6">
        <f>[25]Ag!L156</f>
        <v>1</v>
      </c>
      <c r="E124" s="6">
        <f>[25]Ag!L170</f>
        <v>7</v>
      </c>
      <c r="F124" s="6">
        <f>[25]Ag!L186</f>
        <v>16</v>
      </c>
      <c r="G124" s="6">
        <f>[25]Ag!L200</f>
        <v>2</v>
      </c>
      <c r="H124" s="6">
        <f>[25]Ag!L215</f>
        <v>8</v>
      </c>
      <c r="I124" s="6">
        <f>[25]Ag!L229</f>
        <v>5</v>
      </c>
      <c r="J124" s="6">
        <f>[25]Ag!L244</f>
        <v>3</v>
      </c>
      <c r="K124" s="6">
        <f>[25]Ag!L259</f>
        <v>5</v>
      </c>
      <c r="L124" s="6">
        <f>[25]Ag!L274</f>
        <v>5</v>
      </c>
      <c r="M124" s="6">
        <f>[25]Ag!L288</f>
        <v>1</v>
      </c>
      <c r="N124" s="6">
        <f>[25]Ag!N14</f>
        <v>5</v>
      </c>
      <c r="O124" s="6"/>
      <c r="P124" s="6"/>
      <c r="Q124" s="6">
        <f>[25]Ag!N62</f>
        <v>8</v>
      </c>
      <c r="R124" s="6">
        <f>[25]Ag!N79</f>
        <v>1</v>
      </c>
      <c r="S124" s="6">
        <f>[25]Ag!L95</f>
        <v>7</v>
      </c>
      <c r="T124" s="6">
        <f>[25]Ag!L110</f>
        <v>9</v>
      </c>
      <c r="U124" s="6">
        <f>[25]Ag!L124</f>
        <v>1</v>
      </c>
      <c r="V124" s="6">
        <v>4</v>
      </c>
      <c r="W124" s="6">
        <f>IFERROR(VLOOKUP(B124,[26]Recruit!$I$48:$J$53,2,0),0)</f>
        <v>9</v>
      </c>
      <c r="X124" s="6">
        <f>[14]Recruit!$J$51</f>
        <v>8</v>
      </c>
      <c r="Y124" s="6">
        <f>[24]Recruit!$J$51</f>
        <v>10</v>
      </c>
      <c r="Z124" s="6">
        <f>[15]Recruit!$J$49</f>
        <v>7</v>
      </c>
      <c r="AA124" s="22">
        <f>SUM(O124:INDEX(O124:Z124,$B$2))</f>
        <v>26</v>
      </c>
      <c r="AB124" s="22">
        <f t="shared" si="381"/>
        <v>8</v>
      </c>
      <c r="AC124" s="22">
        <f t="shared" si="382"/>
        <v>17</v>
      </c>
      <c r="AD124" s="22">
        <f t="shared" si="383"/>
        <v>14</v>
      </c>
      <c r="AE124" s="22">
        <f t="shared" si="384"/>
        <v>25</v>
      </c>
      <c r="AF124" s="22">
        <f>SUM(C124                                                                                : INDEX(C124:N124,$B$2))</f>
        <v>44</v>
      </c>
      <c r="AG124" s="22">
        <f t="shared" si="385"/>
        <v>13</v>
      </c>
      <c r="AH124" s="22">
        <f t="shared" si="386"/>
        <v>26</v>
      </c>
      <c r="AI124" s="22">
        <f t="shared" si="387"/>
        <v>13</v>
      </c>
      <c r="AJ124" s="22">
        <f t="shared" si="388"/>
        <v>11</v>
      </c>
      <c r="AK124" s="31">
        <f t="shared" si="394"/>
        <v>-0.40909090909090906</v>
      </c>
      <c r="AL124" s="31">
        <f t="shared" si="389"/>
        <v>-0.38461538461538458</v>
      </c>
      <c r="AM124" s="31">
        <f t="shared" si="389"/>
        <v>-0.34615384615384615</v>
      </c>
      <c r="AN124" s="31">
        <f t="shared" si="390"/>
        <v>7.6923076923076872E-2</v>
      </c>
      <c r="AO124" s="31">
        <f t="shared" si="391"/>
        <v>1.2727272727272729</v>
      </c>
      <c r="AP124" s="113">
        <f>[16]Recruit!$J$50</f>
        <v>12</v>
      </c>
      <c r="AQ124" s="113">
        <f>[17]Recruit!$J$52</f>
        <v>10</v>
      </c>
      <c r="AR124" s="113">
        <f>[18]Recruit!$J$49</f>
        <v>5</v>
      </c>
      <c r="AS124" s="113">
        <f>[19]Recruit!$J$51</f>
        <v>3</v>
      </c>
      <c r="AT124" s="113">
        <f>[20]Recruit!$J$51</f>
        <v>5</v>
      </c>
      <c r="AU124" s="113">
        <f>[21]Recruit!$J$52</f>
        <v>3</v>
      </c>
      <c r="AV124" s="14">
        <v>3</v>
      </c>
      <c r="AW124" s="113"/>
      <c r="AX124" s="113"/>
      <c r="AY124" s="113"/>
      <c r="AZ124" s="113"/>
      <c r="BA124" s="113"/>
      <c r="BB124" s="113">
        <f>SUM(AP124:INDEX(AP124:AR124,IF($B$2&lt;3,$B$2,3)))</f>
        <v>27</v>
      </c>
      <c r="BC124" s="113">
        <f>SUM(AS124:INDEX(AS124:AU124,IF(AND($B$2&gt;3,B122&lt;7),$B$2-3,0)))</f>
        <v>11</v>
      </c>
      <c r="BD124" s="113">
        <f>SUM(AV124:INDEX(AV124:AX124,IF(AND($B$2&gt;6,$B$2&lt;10),$B$2-6,0)))</f>
        <v>3</v>
      </c>
      <c r="BE124" s="113">
        <f>SUM(AY124:INDEX(AY124:BA124,IF($B$2&gt;9,$B$2-9,0)))</f>
        <v>0</v>
      </c>
      <c r="BF124" s="113">
        <f>SUM($AP124:INDEX(AP124:BA124,$B$2))</f>
        <v>41</v>
      </c>
      <c r="BG124" s="122">
        <f t="shared" si="395"/>
        <v>0</v>
      </c>
      <c r="BH124" s="111">
        <f t="shared" si="392"/>
        <v>0</v>
      </c>
      <c r="BI124" s="111">
        <f t="shared" si="392"/>
        <v>0.625</v>
      </c>
      <c r="BJ124" s="111">
        <f>IFERROR(AS124/R124,0)</f>
        <v>3</v>
      </c>
      <c r="BK124" s="111">
        <f t="shared" si="392"/>
        <v>0.7142857142857143</v>
      </c>
      <c r="BL124" s="111">
        <f t="shared" si="392"/>
        <v>0.33333333333333331</v>
      </c>
      <c r="BM124" s="111">
        <f t="shared" si="392"/>
        <v>3</v>
      </c>
      <c r="BN124" s="111">
        <f t="shared" si="392"/>
        <v>0</v>
      </c>
      <c r="BO124" s="111">
        <f t="shared" si="392"/>
        <v>0</v>
      </c>
      <c r="BP124" s="111">
        <f t="shared" si="392"/>
        <v>0</v>
      </c>
      <c r="BQ124" s="111">
        <f t="shared" si="392"/>
        <v>0</v>
      </c>
      <c r="BR124" s="111">
        <f t="shared" si="392"/>
        <v>0</v>
      </c>
      <c r="BS124" s="111">
        <f>IFERROR(BB124/SUM(O124:INDEX(O124:Q124,IF($B$2&lt;3,$B$2,3))),0)</f>
        <v>3.375</v>
      </c>
      <c r="BT124" s="111">
        <f>IFERROR(BC124/SUM(R124:INDEX(R124:T124,IF($C$2&lt;3,$C$2,3))),0)</f>
        <v>11</v>
      </c>
      <c r="BU124" s="111">
        <f>IFERROR(BD124/SUM(U124:INDEX(U124:W124,IF($C$2&lt;3,$C$2,3))),0)</f>
        <v>3</v>
      </c>
      <c r="BV124" s="111">
        <f>IFERROR(BE124/SUM(X124:INDEX(X124:Z124,IF($B$2&lt;3,$B$2,3))),0)</f>
        <v>0</v>
      </c>
      <c r="BW124" s="111">
        <f t="shared" si="396"/>
        <v>1.5769230769230769</v>
      </c>
    </row>
    <row r="125" spans="1:75" s="20" customFormat="1" x14ac:dyDescent="0.25">
      <c r="A125" s="20" t="str">
        <f t="shared" si="393"/>
        <v>Recruit_by_designation:BM</v>
      </c>
      <c r="B125" t="s">
        <v>37</v>
      </c>
      <c r="C125" s="6">
        <f>[25]Ag!L141</f>
        <v>4</v>
      </c>
      <c r="D125" s="6">
        <f>[25]Ag!L157</f>
        <v>1</v>
      </c>
      <c r="E125" s="6">
        <f>[25]Ag!L171</f>
        <v>4</v>
      </c>
      <c r="F125" s="6">
        <f>[25]Ag!L187</f>
        <v>4</v>
      </c>
      <c r="G125" s="6">
        <f>[25]Ag!L201</f>
        <v>2</v>
      </c>
      <c r="H125" s="6">
        <f>[25]Ag!L216</f>
        <v>2</v>
      </c>
      <c r="I125" s="6">
        <f>[25]Ag!L230</f>
        <v>1</v>
      </c>
      <c r="J125" s="6">
        <f>[25]Ag!L245</f>
        <v>1</v>
      </c>
      <c r="K125" s="6">
        <f>[25]Ag!L260</f>
        <v>2</v>
      </c>
      <c r="L125" s="6"/>
      <c r="M125" s="6"/>
      <c r="N125" s="6"/>
      <c r="O125" s="6">
        <f>[25]Ag!$N$29</f>
        <v>1</v>
      </c>
      <c r="P125" s="6"/>
      <c r="Q125" s="6">
        <f>[25]Ag!N63</f>
        <v>3</v>
      </c>
      <c r="R125" s="6"/>
      <c r="S125" s="6">
        <f>[25]Ag!L96</f>
        <v>3</v>
      </c>
      <c r="T125" s="6">
        <f>[25]Ag!L111</f>
        <v>3</v>
      </c>
      <c r="U125" s="6">
        <f>[25]Ag!L125</f>
        <v>2</v>
      </c>
      <c r="V125" s="6"/>
      <c r="W125" s="6">
        <f>IFERROR(VLOOKUP(B125,[26]Recruit!$I$48:$J$53,2,0),0)</f>
        <v>1</v>
      </c>
      <c r="X125" s="6">
        <f>[14]Recruit!$J$49</f>
        <v>4</v>
      </c>
      <c r="Y125" s="6">
        <f>[24]Recruit!J49</f>
        <v>2</v>
      </c>
      <c r="Z125" s="6"/>
      <c r="AA125" s="22">
        <f>SUM(O125:INDEX(O125:Z125,$B$2))</f>
        <v>12</v>
      </c>
      <c r="AB125" s="22">
        <f t="shared" si="381"/>
        <v>4</v>
      </c>
      <c r="AC125" s="22">
        <f t="shared" si="382"/>
        <v>6</v>
      </c>
      <c r="AD125" s="22">
        <f t="shared" si="383"/>
        <v>3</v>
      </c>
      <c r="AE125" s="22">
        <f t="shared" si="384"/>
        <v>6</v>
      </c>
      <c r="AF125" s="22">
        <f>SUM(C125                                                                                : INDEX(C125:N125,$B$2))</f>
        <v>18</v>
      </c>
      <c r="AG125" s="22">
        <f t="shared" si="385"/>
        <v>9</v>
      </c>
      <c r="AH125" s="22">
        <f t="shared" si="386"/>
        <v>8</v>
      </c>
      <c r="AI125" s="22">
        <f t="shared" si="387"/>
        <v>4</v>
      </c>
      <c r="AJ125" s="22">
        <f t="shared" si="388"/>
        <v>0</v>
      </c>
      <c r="AK125" s="31">
        <f t="shared" si="394"/>
        <v>-0.33333333333333337</v>
      </c>
      <c r="AL125" s="31">
        <f t="shared" si="389"/>
        <v>-0.55555555555555558</v>
      </c>
      <c r="AM125" s="31">
        <f t="shared" si="389"/>
        <v>-0.25</v>
      </c>
      <c r="AN125" s="31">
        <f t="shared" si="390"/>
        <v>-0.25</v>
      </c>
      <c r="AO125" s="31">
        <f>IFERROR(AE125/AJ125-1,0)</f>
        <v>0</v>
      </c>
      <c r="AP125" s="113">
        <f>[16]Recruit!J48</f>
        <v>3</v>
      </c>
      <c r="AQ125" s="113">
        <f>[17]Recruit!J50</f>
        <v>3</v>
      </c>
      <c r="AR125" s="113">
        <f>[18]Recruit!$J$48</f>
        <v>2</v>
      </c>
      <c r="AS125" s="113">
        <f>[19]Recruit!J49</f>
        <v>4</v>
      </c>
      <c r="AT125" s="113">
        <f>[20]Recruit!$J$49</f>
        <v>2</v>
      </c>
      <c r="AU125" s="113">
        <f>[21]Recruit!J50</f>
        <v>1</v>
      </c>
      <c r="AV125" s="14">
        <v>2</v>
      </c>
      <c r="AW125" s="113"/>
      <c r="AX125" s="113"/>
      <c r="AY125" s="113"/>
      <c r="AZ125" s="113"/>
      <c r="BA125" s="113"/>
      <c r="BB125" s="113">
        <f>SUM(AP125:INDEX(AP125:AR125,IF($B$2&lt;3,$B$2,3)))</f>
        <v>8</v>
      </c>
      <c r="BC125" s="113">
        <f>SUM(AS125:INDEX(AS125:AU125,IF(AND($B$2&gt;3,B123&lt;7),$B$2-3,0)))</f>
        <v>7</v>
      </c>
      <c r="BD125" s="113">
        <f>SUM(AV125:INDEX(AV125:AX125,IF(AND($B$2&gt;6,$B$2&lt;10),$B$2-6,0)))</f>
        <v>2</v>
      </c>
      <c r="BE125" s="113">
        <f>SUM(AY125:INDEX(AY125:BA125,IF($B$2&gt;9,$B$2-9,0)))</f>
        <v>0</v>
      </c>
      <c r="BF125" s="113">
        <f>SUM($AP125:INDEX(AP125:BA125,$B$2))</f>
        <v>17</v>
      </c>
      <c r="BG125" s="122">
        <f t="shared" si="395"/>
        <v>3</v>
      </c>
      <c r="BH125" s="111">
        <f t="shared" si="392"/>
        <v>0</v>
      </c>
      <c r="BI125" s="111">
        <f t="shared" si="392"/>
        <v>0.66666666666666663</v>
      </c>
      <c r="BJ125" s="111">
        <f t="shared" si="392"/>
        <v>0</v>
      </c>
      <c r="BK125" s="111">
        <f t="shared" si="392"/>
        <v>0.66666666666666663</v>
      </c>
      <c r="BL125" s="111">
        <f t="shared" si="392"/>
        <v>0.33333333333333331</v>
      </c>
      <c r="BM125" s="111">
        <f t="shared" si="392"/>
        <v>1</v>
      </c>
      <c r="BN125" s="111">
        <f t="shared" si="392"/>
        <v>0</v>
      </c>
      <c r="BO125" s="111">
        <f t="shared" si="392"/>
        <v>0</v>
      </c>
      <c r="BP125" s="111">
        <f t="shared" si="392"/>
        <v>0</v>
      </c>
      <c r="BQ125" s="111">
        <f t="shared" si="392"/>
        <v>0</v>
      </c>
      <c r="BR125" s="111">
        <f t="shared" si="392"/>
        <v>0</v>
      </c>
      <c r="BS125" s="111">
        <f>IFERROR(BB125/SUM(O125:INDEX(O125:Q125,IF($B$2&lt;3,$B$2,3))),0)</f>
        <v>2</v>
      </c>
      <c r="BT125" s="111">
        <f>IFERROR(BC125/SUM(R125:INDEX(R125:T125,IF($C$2&lt;3,$C$2,3))),0)</f>
        <v>0</v>
      </c>
      <c r="BU125" s="111">
        <f>IFERROR(BD125/SUM(U125:INDEX(U125:W125,IF($C$2&lt;3,$C$2,3))),0)</f>
        <v>1</v>
      </c>
      <c r="BV125" s="111">
        <f>IFERROR(BE125/SUM(X125:INDEX(X125:Z125,IF($B$2&lt;3,$B$2,3))),0)</f>
        <v>0</v>
      </c>
      <c r="BW125" s="111">
        <f t="shared" si="396"/>
        <v>1.4166666666666667</v>
      </c>
    </row>
    <row r="126" spans="1:75" s="20" customFormat="1" x14ac:dyDescent="0.25">
      <c r="A126" s="20" t="str">
        <f t="shared" si="393"/>
        <v>Recruit_by_designation:SBM</v>
      </c>
      <c r="B126" t="s">
        <v>38</v>
      </c>
      <c r="C126" s="6"/>
      <c r="D126" s="6"/>
      <c r="E126" s="6"/>
      <c r="F126" s="6">
        <f>[25]Ag!L188</f>
        <v>2</v>
      </c>
      <c r="G126" s="6">
        <f>[25]Ag!L202</f>
        <v>1</v>
      </c>
      <c r="H126" s="6"/>
      <c r="I126" s="6"/>
      <c r="J126" s="6"/>
      <c r="K126" s="6">
        <f>[25]Ag!L261</f>
        <v>1</v>
      </c>
      <c r="L126" s="6">
        <f>[25]Ag!$L$275</f>
        <v>1</v>
      </c>
      <c r="M126" s="6"/>
      <c r="N126" s="6"/>
      <c r="O126" s="6"/>
      <c r="P126" s="6"/>
      <c r="Q126" s="6">
        <f>[25]Ag!N64</f>
        <v>1</v>
      </c>
      <c r="R126" s="6"/>
      <c r="S126" s="6">
        <f>[25]Ag!L97</f>
        <v>1</v>
      </c>
      <c r="T126" s="6">
        <f>[25]Ag!L112</f>
        <v>1</v>
      </c>
      <c r="U126" s="6"/>
      <c r="V126" s="6"/>
      <c r="W126" s="6">
        <f>IFERROR(VLOOKUP(B126,[26]Recruit!$I$48:$J$53,2,0),0)</f>
        <v>2</v>
      </c>
      <c r="X126" s="6">
        <f>[14]Recruit!$J$50</f>
        <v>1</v>
      </c>
      <c r="Y126" s="6">
        <f>[24]Recruit!J50</f>
        <v>1</v>
      </c>
      <c r="Z126" s="6"/>
      <c r="AA126" s="22">
        <f>SUM(O126:INDEX(O126:Z126,$B$2))</f>
        <v>3</v>
      </c>
      <c r="AB126" s="22">
        <f t="shared" si="381"/>
        <v>1</v>
      </c>
      <c r="AC126" s="22">
        <f t="shared" si="382"/>
        <v>2</v>
      </c>
      <c r="AD126" s="22">
        <f t="shared" si="383"/>
        <v>2</v>
      </c>
      <c r="AE126" s="22">
        <f t="shared" si="384"/>
        <v>2</v>
      </c>
      <c r="AF126" s="22">
        <f>SUM(C126                                                                                : INDEX(C126:N126,$B$2))</f>
        <v>3</v>
      </c>
      <c r="AG126" s="22">
        <f t="shared" si="385"/>
        <v>0</v>
      </c>
      <c r="AH126" s="22">
        <f t="shared" si="386"/>
        <v>3</v>
      </c>
      <c r="AI126" s="22">
        <f t="shared" si="387"/>
        <v>1</v>
      </c>
      <c r="AJ126" s="22">
        <f t="shared" si="388"/>
        <v>1</v>
      </c>
      <c r="AK126" s="31">
        <f t="shared" si="394"/>
        <v>0</v>
      </c>
      <c r="AL126" s="31">
        <f>IFERROR(AB126/AG126-1,0)</f>
        <v>0</v>
      </c>
      <c r="AM126" s="31">
        <f t="shared" si="389"/>
        <v>-0.33333333333333337</v>
      </c>
      <c r="AN126" s="31">
        <f t="shared" si="390"/>
        <v>1</v>
      </c>
      <c r="AO126" s="31">
        <f t="shared" si="391"/>
        <v>1</v>
      </c>
      <c r="AP126" s="113">
        <f>[16]Recruit!J49</f>
        <v>3</v>
      </c>
      <c r="AQ126" s="113">
        <f>[17]Recruit!J51</f>
        <v>4</v>
      </c>
      <c r="AR126" s="113"/>
      <c r="AS126" s="113">
        <f>[19]Recruit!J50</f>
        <v>1</v>
      </c>
      <c r="AT126" s="113">
        <f>[20]Recruit!$J$50</f>
        <v>1</v>
      </c>
      <c r="AU126" s="113">
        <f>[21]Recruit!J51</f>
        <v>1</v>
      </c>
      <c r="AV126" s="14">
        <v>1</v>
      </c>
      <c r="AW126" s="113"/>
      <c r="AX126" s="113"/>
      <c r="AY126" s="113"/>
      <c r="AZ126" s="113"/>
      <c r="BA126" s="113"/>
      <c r="BB126" s="113">
        <f>SUM(AP126:INDEX(AP126:AR126,IF($B$2&lt;3,$B$2,3)))</f>
        <v>7</v>
      </c>
      <c r="BC126" s="113">
        <f>SUM(AS126:INDEX(AS126:AU126,IF(AND($B$2&gt;3,B124&lt;7),$B$2-3,0)))</f>
        <v>3</v>
      </c>
      <c r="BD126" s="113">
        <f>SUM(AV126:INDEX(AV126:AX126,IF(AND($B$2&gt;6,$B$2&lt;10),$B$2-6,0)))</f>
        <v>1</v>
      </c>
      <c r="BE126" s="113">
        <f>SUM(AY126:INDEX(AY126:BA126,IF($B$2&gt;9,$B$2-9,0)))</f>
        <v>0</v>
      </c>
      <c r="BF126" s="113">
        <f>SUM($AP126:INDEX(AP126:BA126,$B$2))</f>
        <v>11</v>
      </c>
      <c r="BG126" s="122">
        <f t="shared" si="395"/>
        <v>0</v>
      </c>
      <c r="BH126" s="111">
        <f t="shared" si="392"/>
        <v>0</v>
      </c>
      <c r="BI126" s="111">
        <f t="shared" si="392"/>
        <v>0</v>
      </c>
      <c r="BJ126" s="111">
        <f t="shared" si="392"/>
        <v>0</v>
      </c>
      <c r="BK126" s="111">
        <f t="shared" si="392"/>
        <v>1</v>
      </c>
      <c r="BL126" s="111">
        <f t="shared" si="392"/>
        <v>1</v>
      </c>
      <c r="BM126" s="111">
        <f t="shared" si="392"/>
        <v>0</v>
      </c>
      <c r="BN126" s="111">
        <f t="shared" si="392"/>
        <v>0</v>
      </c>
      <c r="BO126" s="111">
        <f t="shared" si="392"/>
        <v>0</v>
      </c>
      <c r="BP126" s="111">
        <f t="shared" si="392"/>
        <v>0</v>
      </c>
      <c r="BQ126" s="111">
        <f t="shared" si="392"/>
        <v>0</v>
      </c>
      <c r="BR126" s="111">
        <f t="shared" si="392"/>
        <v>0</v>
      </c>
      <c r="BS126" s="111">
        <f>IFERROR(BB126/SUM(O126:INDEX(O126:Q126,IF($B$2&lt;3,$B$2,3))),0)</f>
        <v>7</v>
      </c>
      <c r="BT126" s="111">
        <f>IFERROR(BC126/SUM(R126:INDEX(R126:T126,IF($C$2&lt;3,$C$2,3))),0)</f>
        <v>0</v>
      </c>
      <c r="BU126" s="111">
        <f>IFERROR(BD126/SUM(U126:INDEX(U126:W126,IF($C$2&lt;3,$C$2,3))),0)</f>
        <v>0</v>
      </c>
      <c r="BV126" s="111">
        <f>IFERROR(BE126/SUM(X126:INDEX(X126:Z126,IF($B$2&lt;3,$B$2,3))),0)</f>
        <v>0</v>
      </c>
      <c r="BW126" s="111">
        <f t="shared" si="396"/>
        <v>3.6666666666666665</v>
      </c>
    </row>
    <row r="127" spans="1:75" s="20" customFormat="1" x14ac:dyDescent="0.25">
      <c r="A127" s="20" t="str">
        <f t="shared" si="393"/>
        <v>Recruit_by_designation:Total</v>
      </c>
      <c r="B127" s="1" t="s">
        <v>186</v>
      </c>
      <c r="C127" s="7">
        <f>SUM(C121:C126)</f>
        <v>218</v>
      </c>
      <c r="D127" s="7">
        <f t="shared" ref="D127:AE127" si="397">SUM(D121:D126)</f>
        <v>73</v>
      </c>
      <c r="E127" s="7">
        <f t="shared" si="397"/>
        <v>230</v>
      </c>
      <c r="F127" s="7">
        <f t="shared" si="397"/>
        <v>308</v>
      </c>
      <c r="G127" s="7">
        <f t="shared" si="397"/>
        <v>224</v>
      </c>
      <c r="H127" s="7">
        <f t="shared" si="397"/>
        <v>260</v>
      </c>
      <c r="I127" s="7">
        <f t="shared" si="397"/>
        <v>231</v>
      </c>
      <c r="J127" s="7">
        <f t="shared" si="397"/>
        <v>228</v>
      </c>
      <c r="K127" s="7">
        <f t="shared" si="397"/>
        <v>225</v>
      </c>
      <c r="L127" s="7">
        <f t="shared" si="397"/>
        <v>187</v>
      </c>
      <c r="M127" s="7">
        <f t="shared" si="397"/>
        <v>314</v>
      </c>
      <c r="N127" s="7">
        <f t="shared" si="397"/>
        <v>253</v>
      </c>
      <c r="O127" s="7">
        <f t="shared" si="397"/>
        <v>71</v>
      </c>
      <c r="P127" s="7">
        <f t="shared" si="397"/>
        <v>74</v>
      </c>
      <c r="Q127" s="7">
        <f t="shared" si="397"/>
        <v>323</v>
      </c>
      <c r="R127" s="7">
        <f t="shared" si="397"/>
        <v>210</v>
      </c>
      <c r="S127" s="7">
        <f t="shared" si="397"/>
        <v>217</v>
      </c>
      <c r="T127" s="7">
        <f t="shared" si="397"/>
        <v>317</v>
      </c>
      <c r="U127" s="7">
        <f t="shared" si="397"/>
        <v>246</v>
      </c>
      <c r="V127" s="7">
        <f t="shared" si="397"/>
        <v>239</v>
      </c>
      <c r="W127" s="7">
        <f t="shared" si="397"/>
        <v>330</v>
      </c>
      <c r="X127" s="7">
        <f t="shared" si="397"/>
        <v>307</v>
      </c>
      <c r="Y127" s="7">
        <f t="shared" si="397"/>
        <v>377</v>
      </c>
      <c r="Z127" s="7">
        <f t="shared" si="397"/>
        <v>383</v>
      </c>
      <c r="AA127" s="7">
        <f t="shared" si="397"/>
        <v>1458</v>
      </c>
      <c r="AB127" s="7">
        <f t="shared" si="397"/>
        <v>468</v>
      </c>
      <c r="AC127" s="7">
        <f t="shared" si="397"/>
        <v>744</v>
      </c>
      <c r="AD127" s="7">
        <f t="shared" si="397"/>
        <v>815</v>
      </c>
      <c r="AE127" s="7">
        <f t="shared" si="397"/>
        <v>1067</v>
      </c>
      <c r="AF127" s="7">
        <f>SUM(C127                                                                                : INDEX(C127:N127,$B$2))</f>
        <v>1544</v>
      </c>
      <c r="AG127" s="7">
        <f t="shared" si="385"/>
        <v>521</v>
      </c>
      <c r="AH127" s="7">
        <f t="shared" si="386"/>
        <v>792</v>
      </c>
      <c r="AI127" s="7">
        <f t="shared" si="387"/>
        <v>684</v>
      </c>
      <c r="AJ127" s="7">
        <f t="shared" si="388"/>
        <v>754</v>
      </c>
      <c r="AK127" s="32">
        <f t="shared" si="394"/>
        <v>-5.569948186528495E-2</v>
      </c>
      <c r="AL127" s="32">
        <f t="shared" si="389"/>
        <v>-0.10172744721689064</v>
      </c>
      <c r="AM127" s="32">
        <f t="shared" si="389"/>
        <v>-6.0606060606060552E-2</v>
      </c>
      <c r="AN127" s="32">
        <f t="shared" si="390"/>
        <v>0.1915204678362572</v>
      </c>
      <c r="AO127" s="32">
        <f t="shared" si="391"/>
        <v>0.41511936339522548</v>
      </c>
      <c r="AP127" s="113">
        <f t="shared" ref="AP127:AV127" si="398">SUM(AP121:AP126)</f>
        <v>189</v>
      </c>
      <c r="AQ127" s="113">
        <f t="shared" si="398"/>
        <v>381</v>
      </c>
      <c r="AR127" s="113">
        <f t="shared" si="398"/>
        <v>348</v>
      </c>
      <c r="AS127" s="113">
        <f t="shared" si="398"/>
        <v>294</v>
      </c>
      <c r="AT127" s="113">
        <f t="shared" si="398"/>
        <v>352</v>
      </c>
      <c r="AU127" s="113">
        <f t="shared" si="398"/>
        <v>412</v>
      </c>
      <c r="AV127" s="113">
        <f t="shared" si="398"/>
        <v>338</v>
      </c>
      <c r="AW127" s="113"/>
      <c r="AX127" s="113"/>
      <c r="AY127" s="113"/>
      <c r="AZ127" s="113"/>
      <c r="BA127" s="113"/>
      <c r="BB127" s="117">
        <f t="shared" ref="BB127" si="399">SUM(BB121:BB126)</f>
        <v>918</v>
      </c>
      <c r="BC127" s="117">
        <f>SUM(AS127:INDEX(AS127:AU127,IF(AND($B$2&gt;3,B125&lt;7),$B$2-3,0)))</f>
        <v>1058</v>
      </c>
      <c r="BD127" s="117">
        <f>SUM(AV127:INDEX(AV127:AX127,IF(AND($B$2&gt;6,$B$2&lt;10),$B$2-6,0)))</f>
        <v>338</v>
      </c>
      <c r="BE127" s="117">
        <f>SUM(AY127:INDEX(AY127:BA127,IF($B$2&gt;9,$B$2-9,0)))</f>
        <v>0</v>
      </c>
      <c r="BF127" s="117">
        <f>SUM($AP127:INDEX(AP127:BA127,$B$2))</f>
        <v>2314</v>
      </c>
      <c r="BG127" s="123">
        <f t="shared" ref="BG127:BR127" si="400">AP127/O127</f>
        <v>2.6619718309859155</v>
      </c>
      <c r="BH127" s="118">
        <f t="shared" si="400"/>
        <v>5.1486486486486482</v>
      </c>
      <c r="BI127" s="118">
        <f t="shared" si="400"/>
        <v>1.0773993808049536</v>
      </c>
      <c r="BJ127" s="118">
        <f t="shared" si="400"/>
        <v>1.4</v>
      </c>
      <c r="BK127" s="118">
        <f t="shared" si="400"/>
        <v>1.6221198156682028</v>
      </c>
      <c r="BL127" s="118">
        <f t="shared" si="400"/>
        <v>1.2996845425867507</v>
      </c>
      <c r="BM127" s="118">
        <f t="shared" si="400"/>
        <v>1.3739837398373984</v>
      </c>
      <c r="BN127" s="118">
        <f t="shared" si="400"/>
        <v>0</v>
      </c>
      <c r="BO127" s="118">
        <f t="shared" si="400"/>
        <v>0</v>
      </c>
      <c r="BP127" s="118">
        <f t="shared" si="400"/>
        <v>0</v>
      </c>
      <c r="BQ127" s="118">
        <f t="shared" si="400"/>
        <v>0</v>
      </c>
      <c r="BR127" s="118">
        <f t="shared" si="400"/>
        <v>0</v>
      </c>
      <c r="BS127" s="118">
        <f>IFERROR(BB127/SUM(O127:INDEX(O127:Q127,IF($B$2&lt;3,$B$2,3))),0)</f>
        <v>1.9615384615384615</v>
      </c>
      <c r="BT127" s="118">
        <f>IFERROR(BC127/SUM(R127:INDEX(R127:T127,IF($C$2&lt;3,$C$2,3))),0)</f>
        <v>5.038095238095238</v>
      </c>
      <c r="BU127" s="118">
        <f>IFERROR(BD127/SUM(U127:INDEX(U127:W127,IF($C$2&lt;3,$C$2,3))),0)</f>
        <v>1.3739837398373984</v>
      </c>
      <c r="BV127" s="118">
        <f>IFERROR(BE127/SUM(X127:INDEX(X127:Z127,IF($B$2&lt;3,$B$2,3))),0)</f>
        <v>0</v>
      </c>
      <c r="BW127" s="118">
        <f t="shared" si="396"/>
        <v>1.5871056241426611</v>
      </c>
    </row>
    <row r="128" spans="1:75" x14ac:dyDescent="0.25">
      <c r="B128" t="s">
        <v>187</v>
      </c>
      <c r="BG128" s="124"/>
    </row>
    <row r="129" spans="1:75" x14ac:dyDescent="0.25">
      <c r="B129" t="s">
        <v>187</v>
      </c>
      <c r="BG129" s="124"/>
    </row>
    <row r="130" spans="1:75" s="17" customFormat="1" x14ac:dyDescent="0.25">
      <c r="A130" s="19"/>
      <c r="B130" s="2" t="s">
        <v>121</v>
      </c>
      <c r="C130" s="3">
        <f>'Agency North'!C130</f>
        <v>42005</v>
      </c>
      <c r="D130" s="3">
        <f>'Agency North'!D130</f>
        <v>42036</v>
      </c>
      <c r="E130" s="3">
        <f>'Agency North'!E130</f>
        <v>42064</v>
      </c>
      <c r="F130" s="3">
        <f>'Agency North'!F130</f>
        <v>42095</v>
      </c>
      <c r="G130" s="3">
        <f>'Agency North'!G130</f>
        <v>42125</v>
      </c>
      <c r="H130" s="3">
        <f>'Agency North'!H130</f>
        <v>42156</v>
      </c>
      <c r="I130" s="3">
        <f>'Agency North'!I130</f>
        <v>42186</v>
      </c>
      <c r="J130" s="3">
        <f>'Agency North'!J130</f>
        <v>42217</v>
      </c>
      <c r="K130" s="3">
        <f>'Agency North'!K130</f>
        <v>42248</v>
      </c>
      <c r="L130" s="3">
        <f>'Agency North'!L130</f>
        <v>42278</v>
      </c>
      <c r="M130" s="3">
        <f>'Agency North'!M130</f>
        <v>42309</v>
      </c>
      <c r="N130" s="3">
        <f>'Agency North'!N130</f>
        <v>42339</v>
      </c>
      <c r="O130" s="3">
        <f>'Agency North'!O130</f>
        <v>42370</v>
      </c>
      <c r="P130" s="3">
        <f>'Agency North'!P130</f>
        <v>42401</v>
      </c>
      <c r="Q130" s="3">
        <f>'Agency North'!Q130</f>
        <v>42430</v>
      </c>
      <c r="R130" s="3">
        <f>'Agency North'!R130</f>
        <v>42461</v>
      </c>
      <c r="S130" s="3">
        <f>'Agency North'!S130</f>
        <v>42491</v>
      </c>
      <c r="T130" s="3">
        <f>'Agency North'!T130</f>
        <v>42522</v>
      </c>
      <c r="U130" s="3">
        <f>'Agency North'!U130</f>
        <v>42552</v>
      </c>
      <c r="V130" s="3">
        <f>'Agency North'!V130</f>
        <v>42583</v>
      </c>
      <c r="W130" s="3">
        <f>'Agency North'!W130</f>
        <v>42614</v>
      </c>
      <c r="X130" s="3">
        <f>'Agency North'!X130</f>
        <v>42644</v>
      </c>
      <c r="Y130" s="3">
        <f>'Agency North'!Y130</f>
        <v>42675</v>
      </c>
      <c r="Z130" s="3">
        <f>'Agency North'!Z130</f>
        <v>42705</v>
      </c>
      <c r="AA130" s="29" t="str">
        <f>"YTD " &amp; B129 &amp;"/16"</f>
        <v>YTD /16</v>
      </c>
      <c r="AB130" s="29" t="s">
        <v>19</v>
      </c>
      <c r="AC130" s="29" t="s">
        <v>20</v>
      </c>
      <c r="AD130" s="29" t="s">
        <v>21</v>
      </c>
      <c r="AE130" s="29" t="s">
        <v>22</v>
      </c>
      <c r="AF130" s="26" t="str">
        <f>"YTD " &amp; B129 &amp;"/15"</f>
        <v>YTD /15</v>
      </c>
      <c r="AG130" s="26" t="s">
        <v>23</v>
      </c>
      <c r="AH130" s="26" t="s">
        <v>24</v>
      </c>
      <c r="AI130" s="26" t="s">
        <v>25</v>
      </c>
      <c r="AJ130" s="26" t="s">
        <v>26</v>
      </c>
      <c r="AK130" s="30" t="s">
        <v>27</v>
      </c>
      <c r="AL130" s="30" t="s">
        <v>29</v>
      </c>
      <c r="AM130" s="30" t="s">
        <v>30</v>
      </c>
      <c r="AN130" s="30" t="s">
        <v>31</v>
      </c>
      <c r="AO130" s="30" t="s">
        <v>32</v>
      </c>
      <c r="AP130" s="108">
        <v>42736</v>
      </c>
      <c r="AQ130" s="108">
        <v>42767</v>
      </c>
      <c r="AR130" s="108">
        <v>42795</v>
      </c>
      <c r="AS130" s="108">
        <v>42826</v>
      </c>
      <c r="AT130" s="108">
        <v>42856</v>
      </c>
      <c r="AU130" s="108">
        <v>42887</v>
      </c>
      <c r="AV130" s="108">
        <v>42917</v>
      </c>
      <c r="AW130" s="108">
        <v>42948</v>
      </c>
      <c r="AX130" s="108">
        <v>42979</v>
      </c>
      <c r="AY130" s="108">
        <v>43009</v>
      </c>
      <c r="AZ130" s="108">
        <v>43040</v>
      </c>
      <c r="BA130" s="108">
        <v>43070</v>
      </c>
      <c r="BB130" s="29" t="s">
        <v>123</v>
      </c>
      <c r="BC130" s="29" t="s">
        <v>124</v>
      </c>
      <c r="BD130" s="29" t="s">
        <v>125</v>
      </c>
      <c r="BE130" s="29" t="s">
        <v>126</v>
      </c>
      <c r="BF130" s="29" t="str">
        <f>$BF$3</f>
        <v>YTD 7/17</v>
      </c>
      <c r="BG130" s="121">
        <v>42736</v>
      </c>
      <c r="BH130" s="108">
        <v>42767</v>
      </c>
      <c r="BI130" s="108">
        <v>42795</v>
      </c>
      <c r="BJ130" s="108">
        <v>42826</v>
      </c>
      <c r="BK130" s="108">
        <v>42856</v>
      </c>
      <c r="BL130" s="108">
        <v>42887</v>
      </c>
      <c r="BM130" s="108">
        <v>42917</v>
      </c>
      <c r="BN130" s="108">
        <v>42948</v>
      </c>
      <c r="BO130" s="108">
        <v>42979</v>
      </c>
      <c r="BP130" s="108">
        <v>43009</v>
      </c>
      <c r="BQ130" s="108">
        <v>43040</v>
      </c>
      <c r="BR130" s="108">
        <v>43070</v>
      </c>
      <c r="BS130" s="29" t="s">
        <v>127</v>
      </c>
      <c r="BT130" s="29" t="s">
        <v>128</v>
      </c>
      <c r="BU130" s="29" t="s">
        <v>96</v>
      </c>
      <c r="BV130" s="29" t="s">
        <v>129</v>
      </c>
      <c r="BW130" s="112" t="s">
        <v>130</v>
      </c>
    </row>
    <row r="131" spans="1:75" x14ac:dyDescent="0.25">
      <c r="A131" s="20" t="str">
        <f>$B$130&amp;"_by_rookie_mdrt:"&amp;B131</f>
        <v>RYP_by_rookie_mdrt:MDRT</v>
      </c>
      <c r="B131" t="s">
        <v>4</v>
      </c>
      <c r="C131" s="6">
        <f>[25]Sheet2!L39</f>
        <v>208.94800000000001</v>
      </c>
      <c r="D131" s="6">
        <f>[25]Sheet2!M39</f>
        <v>264.71100000000001</v>
      </c>
      <c r="E131" s="6">
        <f>[25]Sheet2!N39</f>
        <v>105.51600000000001</v>
      </c>
      <c r="F131" s="6">
        <f>[25]Sheet2!O39</f>
        <v>315.61200000000002</v>
      </c>
      <c r="G131" s="6">
        <f>[25]Sheet2!P39</f>
        <v>240.71199999999999</v>
      </c>
      <c r="H131" s="6">
        <f>[25]Sheet2!Q39</f>
        <v>328.81299999999999</v>
      </c>
      <c r="I131" s="6">
        <f>[25]Sheet2!R39</f>
        <v>1106.586</v>
      </c>
      <c r="J131" s="6">
        <f>[25]Sheet2!S39</f>
        <v>1341.5920000000001</v>
      </c>
      <c r="K131" s="6">
        <f>[25]Sheet2!T39</f>
        <v>1630.9280000000001</v>
      </c>
      <c r="L131" s="6">
        <f>[25]Sheet2!U39</f>
        <v>1937.2505000000001</v>
      </c>
      <c r="M131" s="6">
        <f>[25]Sheet2!V39</f>
        <v>2081.3782000000001</v>
      </c>
      <c r="N131" s="6">
        <f>[25]Sheet2!W39</f>
        <v>3546.0724</v>
      </c>
      <c r="O131" s="6">
        <f>[25]Sheet2!X39</f>
        <v>2765.9549999999999</v>
      </c>
      <c r="P131" s="6">
        <f>[25]Sheet2!Y39</f>
        <v>2284.3724999999999</v>
      </c>
      <c r="Q131" s="6">
        <f>[25]Sheet2!Z39</f>
        <v>1934.7574999999999</v>
      </c>
      <c r="R131" s="6">
        <f>[25]Sheet2!AA39</f>
        <v>2156.9445000000001</v>
      </c>
      <c r="S131" s="6">
        <f>[25]Sheet2!AB39</f>
        <v>3507.0192000000002</v>
      </c>
      <c r="T131" s="6">
        <f>[25]Sheet2!AC39</f>
        <v>3201.6309999999999</v>
      </c>
      <c r="U131" s="6">
        <f>[25]Sheet2!AD39</f>
        <v>3621.3530000000001</v>
      </c>
      <c r="V131">
        <f>[25]Sheet2!AE39</f>
        <v>7302.5074000000004</v>
      </c>
      <c r="W131">
        <f>[25]Sheet2!AF39</f>
        <v>5032.7290000000003</v>
      </c>
      <c r="X131" s="6">
        <f>[25]Sheet2!AG39</f>
        <v>4213.4393</v>
      </c>
      <c r="Y131" s="6">
        <f>[25]Sheet2!AH39</f>
        <v>7845.7409000000098</v>
      </c>
      <c r="Z131" s="6">
        <f>[15]APE!L34</f>
        <v>7682.7559999999903</v>
      </c>
      <c r="AA131" s="186">
        <f>SUM(O131:INDEX(O131:Z131,$B$2))</f>
        <v>19472.0327</v>
      </c>
      <c r="AB131" s="22">
        <f>SUM(O131:Q131)</f>
        <v>6985.0849999999991</v>
      </c>
      <c r="AC131" s="22">
        <f>SUM(R131:T131)</f>
        <v>8865.5946999999996</v>
      </c>
      <c r="AD131" s="22">
        <f>SUM(U131:W131)</f>
        <v>15956.589400000001</v>
      </c>
      <c r="AE131" s="22">
        <f>SUM(X131:Z131)</f>
        <v>19741.9362</v>
      </c>
      <c r="AF131" s="33">
        <f>SUM(C131:INDEX(C131:N131,$B$2))</f>
        <v>2570.8980000000001</v>
      </c>
      <c r="AG131" s="6">
        <f>SUM(C131:E131)</f>
        <v>579.17499999999995</v>
      </c>
      <c r="AH131" s="6">
        <f>SUM(F131:H131)</f>
        <v>885.13700000000006</v>
      </c>
      <c r="AI131" s="6">
        <f>SUM(I131:K131)</f>
        <v>4079.1059999999998</v>
      </c>
      <c r="AJ131" s="6">
        <f>SUM(L131:N131)</f>
        <v>7564.7011000000002</v>
      </c>
      <c r="AK131" s="31">
        <f>AA131/AF131-1</f>
        <v>6.5740199338908036</v>
      </c>
      <c r="AL131" s="31">
        <f t="shared" ref="AL131:AO139" si="401">AB131/AG131-1</f>
        <v>11.060404886260629</v>
      </c>
      <c r="AM131" s="31">
        <f t="shared" si="401"/>
        <v>9.0160706195764035</v>
      </c>
      <c r="AN131" s="31">
        <f t="shared" si="401"/>
        <v>2.91178591583548</v>
      </c>
      <c r="AO131" s="31">
        <f t="shared" si="401"/>
        <v>1.6097443823656166</v>
      </c>
      <c r="AP131" s="6">
        <f>[16]APE!L34</f>
        <v>4232.5529999999999</v>
      </c>
      <c r="AQ131" s="22">
        <f>[17]APE!L35</f>
        <v>6562.8535000000002</v>
      </c>
      <c r="AR131" s="22">
        <f>[18]APE!L36</f>
        <v>3682.39</v>
      </c>
      <c r="AS131" s="22">
        <f>[19]APE!L36</f>
        <v>3179.59</v>
      </c>
      <c r="AT131" s="22">
        <f>[20]APE!L36</f>
        <v>5280.44</v>
      </c>
      <c r="AU131" s="22">
        <f>[21]APE!L36</f>
        <v>5394.48</v>
      </c>
      <c r="AV131" s="22">
        <f>[22]APE!L36</f>
        <v>4197.3299999999963</v>
      </c>
      <c r="BB131" s="110">
        <f>SUM(AP131:INDEX(AP131:AR131,IF($B$2&lt;3,$B$2,3)))</f>
        <v>14477.7965</v>
      </c>
      <c r="BC131" s="110">
        <f>SUM(AS131:INDEX(AS131:AU131,IF(AND($B$2&gt;3,$B$2&lt;7),$B$2-3,0)))</f>
        <v>13854.509999999998</v>
      </c>
      <c r="BD131" s="110">
        <f>SUM(AV131:INDEX(AV131:AX131,IF(AND($B$2&gt;6,$B$2&lt;10),$B$2-6,0)))</f>
        <v>4197.3299999999963</v>
      </c>
      <c r="BE131" s="110">
        <f>SUM(AY131:INDEX(AY131:BA131,IF($B$2&gt;9,$B$2-9,0)))</f>
        <v>0</v>
      </c>
      <c r="BF131" s="110">
        <f>SUM($AP131:INDEX(AP131:BA131,$B$2))</f>
        <v>32529.636499999993</v>
      </c>
      <c r="BG131" s="125">
        <f>IFERROR(AP131/O131,0)</f>
        <v>1.5302320536668168</v>
      </c>
      <c r="BH131" s="111">
        <f t="shared" ref="BH131:BR139" si="402">IFERROR(AQ131/P131,0)</f>
        <v>2.8729349088206937</v>
      </c>
      <c r="BI131" s="111">
        <f t="shared" si="402"/>
        <v>1.9032824527104819</v>
      </c>
      <c r="BJ131" s="111">
        <f t="shared" si="402"/>
        <v>1.4741176696943292</v>
      </c>
      <c r="BK131" s="111">
        <f t="shared" si="402"/>
        <v>1.5056775280842487</v>
      </c>
      <c r="BL131" s="111">
        <f t="shared" si="402"/>
        <v>1.6849162192644935</v>
      </c>
      <c r="BM131" s="111">
        <f>IFERROR(AV131/U131,0)</f>
        <v>1.1590502223892551</v>
      </c>
      <c r="BN131" s="111">
        <f t="shared" si="402"/>
        <v>0</v>
      </c>
      <c r="BO131" s="111">
        <f t="shared" si="402"/>
        <v>0</v>
      </c>
      <c r="BP131" s="111">
        <f t="shared" si="402"/>
        <v>0</v>
      </c>
      <c r="BQ131" s="111">
        <f t="shared" si="402"/>
        <v>0</v>
      </c>
      <c r="BR131" s="111">
        <f t="shared" si="402"/>
        <v>0</v>
      </c>
      <c r="BS131" s="111">
        <f>IFERROR(BB131/SUM(O131:INDEX(O131:Q131,IF($B$2&lt;3,$B$2,3))),0)</f>
        <v>2.0726729166502631</v>
      </c>
      <c r="BT131" s="111">
        <f>IFERROR(BC131/SUM(R131:INDEX(R131:T131,IF($B$2&lt;7,$B$2-3,3))),0)</f>
        <v>1.56272765322782</v>
      </c>
      <c r="BU131" s="111">
        <f>IFERROR(BD131/SUM(U131:INDEX(U131:W131,IF($C$2&lt;3,$C$2,3))),0)</f>
        <v>1.1590502223892551</v>
      </c>
      <c r="BV131" s="111">
        <f>IFERROR(BE131/SUM(R131:INDEX(R131:T131,IF($B$2&lt;3,$B$2,3))),0)</f>
        <v>0</v>
      </c>
      <c r="BW131" s="111">
        <f>IFERROR(BF131/AA131,0)</f>
        <v>1.6705824708275061</v>
      </c>
    </row>
    <row r="132" spans="1:75" x14ac:dyDescent="0.25">
      <c r="A132" s="20" t="str">
        <f t="shared" ref="A132:A139" si="403">$B$130&amp;"_by_rookie_mdrt:"&amp;B132</f>
        <v>RYP_by_rookie_mdrt:Rookie in month</v>
      </c>
      <c r="B132" t="s">
        <v>5</v>
      </c>
      <c r="C132" s="6">
        <f>[25]Sheet2!L40</f>
        <v>0</v>
      </c>
      <c r="D132" s="6">
        <f>[25]Sheet2!M40</f>
        <v>0</v>
      </c>
      <c r="E132" s="6">
        <f>[25]Sheet2!N40</f>
        <v>0</v>
      </c>
      <c r="F132" s="6">
        <f>[25]Sheet2!O40</f>
        <v>0</v>
      </c>
      <c r="G132" s="6">
        <f>[25]Sheet2!P40</f>
        <v>0</v>
      </c>
      <c r="H132" s="6">
        <f>[25]Sheet2!Q40</f>
        <v>0</v>
      </c>
      <c r="I132" s="6">
        <f>[25]Sheet2!R40</f>
        <v>0</v>
      </c>
      <c r="J132" s="6">
        <f>[25]Sheet2!S40</f>
        <v>0</v>
      </c>
      <c r="K132" s="6">
        <f>[25]Sheet2!T40</f>
        <v>0</v>
      </c>
      <c r="L132" s="6">
        <f>[25]Sheet2!U40</f>
        <v>0</v>
      </c>
      <c r="M132" s="6">
        <f>[25]Sheet2!V40</f>
        <v>0</v>
      </c>
      <c r="N132" s="6">
        <f>[25]Sheet2!W40</f>
        <v>0</v>
      </c>
      <c r="O132" s="6">
        <f>[25]Sheet2!X40</f>
        <v>0</v>
      </c>
      <c r="P132" s="6">
        <f>[25]Sheet2!Y40</f>
        <v>0</v>
      </c>
      <c r="Q132" s="6">
        <f>[25]Sheet2!Z40</f>
        <v>0</v>
      </c>
      <c r="R132" s="6">
        <f>[25]Sheet2!AA40</f>
        <v>0</v>
      </c>
      <c r="S132" s="6">
        <f>[25]Sheet2!AB40</f>
        <v>0</v>
      </c>
      <c r="T132" s="6">
        <f>[25]Sheet2!AC40</f>
        <v>0</v>
      </c>
      <c r="U132" s="6">
        <f>[25]Sheet2!AD40</f>
        <v>0</v>
      </c>
      <c r="V132">
        <f>[25]Sheet2!AE40</f>
        <v>0</v>
      </c>
      <c r="W132">
        <f>[25]Sheet2!AF40</f>
        <v>0</v>
      </c>
      <c r="X132" s="6">
        <f>[25]Sheet2!AG40</f>
        <v>0</v>
      </c>
      <c r="Y132" s="6">
        <f>[25]Sheet2!AH40</f>
        <v>0</v>
      </c>
      <c r="Z132" s="6">
        <f>[15]APE!L35</f>
        <v>0</v>
      </c>
      <c r="AA132" s="22">
        <f>SUM(O132:INDEX(O132:Z132,$B$2))</f>
        <v>0</v>
      </c>
      <c r="AB132" s="22">
        <f t="shared" ref="AB132:AB137" si="404">SUM(O132:Q132)</f>
        <v>0</v>
      </c>
      <c r="AC132" s="22">
        <f t="shared" ref="AC132:AC137" si="405">SUM(R132:T132)</f>
        <v>0</v>
      </c>
      <c r="AD132" s="22">
        <f t="shared" ref="AD132:AD137" si="406">SUM(U132:W132)</f>
        <v>0</v>
      </c>
      <c r="AE132" s="22">
        <f t="shared" ref="AE132:AE137" si="407">SUM(X132:Z132)</f>
        <v>0</v>
      </c>
      <c r="AF132" s="6">
        <f>SUM(C132                                                                                : INDEX(C132:N132,$B$2))</f>
        <v>0</v>
      </c>
      <c r="AG132" s="6">
        <f t="shared" ref="AG132:AG137" si="408">SUM(C132:E132)</f>
        <v>0</v>
      </c>
      <c r="AH132" s="6">
        <f t="shared" ref="AH132:AH137" si="409">SUM(F132:H132)</f>
        <v>0</v>
      </c>
      <c r="AI132" s="6">
        <f t="shared" ref="AI132:AI137" si="410">SUM(I132:K132)</f>
        <v>0</v>
      </c>
      <c r="AJ132" s="6">
        <f t="shared" ref="AJ132:AJ137" si="411">SUM(L132:N132)</f>
        <v>0</v>
      </c>
      <c r="AK132" s="31">
        <f t="shared" ref="AK132" si="412">IFERROR(AA132/AF132-1,0)</f>
        <v>0</v>
      </c>
      <c r="AL132" s="31">
        <f t="shared" ref="AL132:AL135" si="413">IFERROR(AB132/AG132-1,0)</f>
        <v>0</v>
      </c>
      <c r="AM132" s="31">
        <f t="shared" ref="AM132:AO133" si="414">IFERROR(AC132/AH132-1,0)</f>
        <v>0</v>
      </c>
      <c r="AN132" s="31">
        <f t="shared" si="414"/>
        <v>0</v>
      </c>
      <c r="AO132" s="31">
        <f t="shared" si="414"/>
        <v>0</v>
      </c>
      <c r="AP132" s="6">
        <f>[16]APE!L35</f>
        <v>0</v>
      </c>
      <c r="AQ132" s="22">
        <f>[17]APE!L36</f>
        <v>0</v>
      </c>
      <c r="AR132" s="22">
        <f>[18]APE!L37</f>
        <v>0</v>
      </c>
      <c r="AS132" s="22">
        <f>[19]APE!L37</f>
        <v>0</v>
      </c>
      <c r="AT132" s="22">
        <f>[20]APE!L37</f>
        <v>0</v>
      </c>
      <c r="AU132" s="22">
        <f>[21]APE!L37</f>
        <v>0</v>
      </c>
      <c r="AV132" s="22">
        <f>[22]APE!L37</f>
        <v>0</v>
      </c>
      <c r="BB132" s="110">
        <f>SUM(AP132:INDEX(AP132:AR132,IF($B$2&lt;3,$B$2,3)))</f>
        <v>0</v>
      </c>
      <c r="BC132" s="110">
        <f>SUM(AS132:INDEX(AS132:AU132,IF(AND($B$2&gt;3,$B$2&lt;7),$B$2-3,0)))</f>
        <v>0</v>
      </c>
      <c r="BD132" s="110">
        <f>SUM(AV132:INDEX(AV132:AX132,IF(AND($B$2&gt;6,$B$2&lt;10),$B$2-6,0)))</f>
        <v>0</v>
      </c>
      <c r="BE132" s="110">
        <f>SUM(AY132:INDEX(AY132:BA132,IF($B$2&gt;9,$B$2-9,0)))</f>
        <v>0</v>
      </c>
      <c r="BF132" s="110">
        <f>SUM($AP132:INDEX(AP132:BA132,$B$2))</f>
        <v>0</v>
      </c>
      <c r="BG132" s="125">
        <f t="shared" ref="BG132:BG139" si="415">IFERROR(AP132/O132,0)</f>
        <v>0</v>
      </c>
      <c r="BH132" s="111">
        <f t="shared" si="402"/>
        <v>0</v>
      </c>
      <c r="BI132" s="111">
        <f t="shared" si="402"/>
        <v>0</v>
      </c>
      <c r="BJ132" s="111">
        <f t="shared" si="402"/>
        <v>0</v>
      </c>
      <c r="BK132" s="111">
        <f t="shared" si="402"/>
        <v>0</v>
      </c>
      <c r="BL132" s="111">
        <f t="shared" si="402"/>
        <v>0</v>
      </c>
      <c r="BM132" s="111">
        <f t="shared" si="402"/>
        <v>0</v>
      </c>
      <c r="BN132" s="111">
        <f t="shared" si="402"/>
        <v>0</v>
      </c>
      <c r="BO132" s="111">
        <f t="shared" si="402"/>
        <v>0</v>
      </c>
      <c r="BP132" s="111">
        <f t="shared" si="402"/>
        <v>0</v>
      </c>
      <c r="BQ132" s="111">
        <f t="shared" si="402"/>
        <v>0</v>
      </c>
      <c r="BR132" s="111">
        <f t="shared" si="402"/>
        <v>0</v>
      </c>
      <c r="BS132" s="111">
        <f>IFERROR(BB132/SUM(O132:INDEX(O132:Q132,IF($B$2&lt;3,$B$2,3))),0)</f>
        <v>0</v>
      </c>
      <c r="BT132" s="111">
        <f>IFERROR(BC132/SUM(R132:INDEX(R132:T132,IF($B$2&lt;7,$B$2-3,3))),0)</f>
        <v>0</v>
      </c>
      <c r="BU132" s="111">
        <f>IFERROR(BD132/SUM(U132:INDEX(U132:W132,IF($C$2&lt;3,$C$2,3))),0)</f>
        <v>0</v>
      </c>
      <c r="BV132" s="111">
        <f>IFERROR(BE132/SUM(R132:INDEX(R132:T132,IF($B$2&lt;3,$B$2,3))),0)</f>
        <v>0</v>
      </c>
      <c r="BW132" s="111">
        <f t="shared" ref="BW132:BW137" si="416">IFERROR(BF132/AA132,0)</f>
        <v>0</v>
      </c>
    </row>
    <row r="133" spans="1:75" x14ac:dyDescent="0.25">
      <c r="A133" s="20" t="str">
        <f t="shared" si="403"/>
        <v>RYP_by_rookie_mdrt:Rookie last month</v>
      </c>
      <c r="B133" t="s">
        <v>6</v>
      </c>
      <c r="C133" s="6">
        <f>[25]Sheet2!L41</f>
        <v>0</v>
      </c>
      <c r="D133" s="6">
        <f>[25]Sheet2!M41</f>
        <v>0</v>
      </c>
      <c r="E133" s="6">
        <f>[25]Sheet2!N41</f>
        <v>0</v>
      </c>
      <c r="F133" s="6">
        <f>[25]Sheet2!O41</f>
        <v>0</v>
      </c>
      <c r="G133" s="6">
        <f>[25]Sheet2!P41</f>
        <v>0</v>
      </c>
      <c r="H133" s="6">
        <f>[25]Sheet2!Q41</f>
        <v>0</v>
      </c>
      <c r="I133" s="6">
        <f>[25]Sheet2!R41</f>
        <v>0</v>
      </c>
      <c r="J133" s="6">
        <f>[25]Sheet2!S41</f>
        <v>0</v>
      </c>
      <c r="K133" s="6">
        <f>[25]Sheet2!T41</f>
        <v>0</v>
      </c>
      <c r="L133" s="6">
        <f>[25]Sheet2!U41</f>
        <v>0</v>
      </c>
      <c r="M133" s="6">
        <f>[25]Sheet2!V41</f>
        <v>0</v>
      </c>
      <c r="N133" s="6">
        <f>[25]Sheet2!W41</f>
        <v>68.644999999999996</v>
      </c>
      <c r="O133" s="6">
        <f>[25]Sheet2!X41</f>
        <v>0</v>
      </c>
      <c r="P133" s="6">
        <f>[25]Sheet2!Y41</f>
        <v>0</v>
      </c>
      <c r="Q133" s="6">
        <f>[25]Sheet2!Z41</f>
        <v>0</v>
      </c>
      <c r="R133" s="6">
        <f>[25]Sheet2!AA41</f>
        <v>74.311000000000007</v>
      </c>
      <c r="S133" s="6">
        <f>[25]Sheet2!AB41</f>
        <v>0</v>
      </c>
      <c r="T133" s="6">
        <f>[25]Sheet2!AC41</f>
        <v>0</v>
      </c>
      <c r="U133" s="6">
        <f>[25]Sheet2!AD41</f>
        <v>0</v>
      </c>
      <c r="V133">
        <f>[25]Sheet2!AE41</f>
        <v>0</v>
      </c>
      <c r="W133">
        <f>[25]Sheet2!AF41</f>
        <v>105.136</v>
      </c>
      <c r="X133" s="6">
        <f>[25]Sheet2!AG41</f>
        <v>0</v>
      </c>
      <c r="Y133" s="6">
        <f>[25]Sheet2!AH41</f>
        <v>0</v>
      </c>
      <c r="Z133" s="6">
        <f>[15]APE!L36</f>
        <v>0</v>
      </c>
      <c r="AA133" s="22">
        <f>SUM(O133:INDEX(O133:Z133,$B$2))</f>
        <v>74.311000000000007</v>
      </c>
      <c r="AB133" s="22">
        <f t="shared" si="404"/>
        <v>0</v>
      </c>
      <c r="AC133" s="22">
        <f t="shared" si="405"/>
        <v>74.311000000000007</v>
      </c>
      <c r="AD133" s="22">
        <f t="shared" si="406"/>
        <v>105.136</v>
      </c>
      <c r="AE133" s="22">
        <f t="shared" si="407"/>
        <v>0</v>
      </c>
      <c r="AF133" s="6">
        <f>SUM(C133                                                                                : INDEX(C133:N133,$B$2))</f>
        <v>0</v>
      </c>
      <c r="AG133" s="6">
        <f t="shared" si="408"/>
        <v>0</v>
      </c>
      <c r="AH133" s="6">
        <f t="shared" si="409"/>
        <v>0</v>
      </c>
      <c r="AI133" s="6">
        <f t="shared" si="410"/>
        <v>0</v>
      </c>
      <c r="AJ133" s="6">
        <f t="shared" si="411"/>
        <v>68.644999999999996</v>
      </c>
      <c r="AK133" s="31" t="e">
        <f>AA133/AF133-1</f>
        <v>#DIV/0!</v>
      </c>
      <c r="AL133" s="31">
        <f t="shared" si="413"/>
        <v>0</v>
      </c>
      <c r="AM133" s="31">
        <f t="shared" si="414"/>
        <v>0</v>
      </c>
      <c r="AN133" s="31">
        <f t="shared" si="414"/>
        <v>0</v>
      </c>
      <c r="AO133" s="31">
        <f t="shared" si="414"/>
        <v>-1</v>
      </c>
      <c r="AP133" s="6">
        <f>[16]APE!L36</f>
        <v>0</v>
      </c>
      <c r="AQ133" s="22">
        <f>[17]APE!L37</f>
        <v>0</v>
      </c>
      <c r="AR133" s="22">
        <f>[18]APE!L38</f>
        <v>0</v>
      </c>
      <c r="AS133" s="22">
        <f>[19]APE!L38</f>
        <v>0</v>
      </c>
      <c r="AT133" s="22">
        <f>[20]APE!L38</f>
        <v>0</v>
      </c>
      <c r="AU133" s="22">
        <f>[21]APE!L38</f>
        <v>0</v>
      </c>
      <c r="AV133" s="22">
        <f>[22]APE!L38</f>
        <v>0</v>
      </c>
      <c r="BB133" s="110">
        <f>SUM(AP133:INDEX(AP133:AR133,IF($B$2&lt;3,$B$2,3)))</f>
        <v>0</v>
      </c>
      <c r="BC133" s="110">
        <f>SUM(AS133:INDEX(AS133:AU133,IF(AND($B$2&gt;3,$B$2&lt;7),$B$2-3,0)))</f>
        <v>0</v>
      </c>
      <c r="BD133" s="110">
        <f>SUM(AV133:INDEX(AV133:AX133,IF(AND($B$2&gt;6,$B$2&lt;10),$B$2-6,0)))</f>
        <v>0</v>
      </c>
      <c r="BE133" s="110">
        <f>SUM(AY133:INDEX(AY133:BA133,IF($B$2&gt;9,$B$2-9,0)))</f>
        <v>0</v>
      </c>
      <c r="BF133" s="110">
        <f>SUM($AP133:INDEX(AP133:BA133,$B$2))</f>
        <v>0</v>
      </c>
      <c r="BG133" s="125">
        <f t="shared" si="415"/>
        <v>0</v>
      </c>
      <c r="BH133" s="111">
        <f t="shared" si="402"/>
        <v>0</v>
      </c>
      <c r="BI133" s="111">
        <f t="shared" si="402"/>
        <v>0</v>
      </c>
      <c r="BJ133" s="111">
        <f t="shared" si="402"/>
        <v>0</v>
      </c>
      <c r="BK133" s="111">
        <f t="shared" si="402"/>
        <v>0</v>
      </c>
      <c r="BL133" s="111">
        <f t="shared" si="402"/>
        <v>0</v>
      </c>
      <c r="BM133" s="111">
        <f t="shared" si="402"/>
        <v>0</v>
      </c>
      <c r="BN133" s="111">
        <f t="shared" si="402"/>
        <v>0</v>
      </c>
      <c r="BO133" s="111">
        <f t="shared" si="402"/>
        <v>0</v>
      </c>
      <c r="BP133" s="111">
        <f t="shared" si="402"/>
        <v>0</v>
      </c>
      <c r="BQ133" s="111">
        <f t="shared" si="402"/>
        <v>0</v>
      </c>
      <c r="BR133" s="111">
        <f t="shared" si="402"/>
        <v>0</v>
      </c>
      <c r="BS133" s="111">
        <f>IFERROR(BB133/SUM(O133:INDEX(O133:Q133,IF($B$2&lt;3,$B$2,3))),0)</f>
        <v>0</v>
      </c>
      <c r="BT133" s="111">
        <f>IFERROR(BC133/SUM(R133:INDEX(R133:T133,IF($B$2&lt;7,$B$2-3,3))),0)</f>
        <v>0</v>
      </c>
      <c r="BU133" s="111">
        <f>IFERROR(BD133/SUM(U133:INDEX(U133:W133,IF($C$2&lt;3,$C$2,3))),0)</f>
        <v>0</v>
      </c>
      <c r="BV133" s="111">
        <f>IFERROR(BE133/SUM(R133:INDEX(R133:T133,IF($B$2&lt;3,$B$2,3))),0)</f>
        <v>0</v>
      </c>
      <c r="BW133" s="111">
        <f t="shared" si="416"/>
        <v>0</v>
      </c>
    </row>
    <row r="134" spans="1:75" x14ac:dyDescent="0.25">
      <c r="A134" s="20" t="str">
        <f t="shared" si="403"/>
        <v>RYP_by_rookie_mdrt:2-3 months</v>
      </c>
      <c r="B134" t="s">
        <v>7</v>
      </c>
      <c r="C134" s="6">
        <f>[25]Sheet2!L42</f>
        <v>0</v>
      </c>
      <c r="D134" s="6">
        <f>[25]Sheet2!M42</f>
        <v>0</v>
      </c>
      <c r="E134" s="6">
        <f>[25]Sheet2!N42</f>
        <v>0</v>
      </c>
      <c r="F134" s="6">
        <f>[25]Sheet2!O42</f>
        <v>0</v>
      </c>
      <c r="G134" s="6">
        <f>[25]Sheet2!P42</f>
        <v>0</v>
      </c>
      <c r="H134" s="6">
        <f>[25]Sheet2!Q42</f>
        <v>13.249000000000001</v>
      </c>
      <c r="I134" s="6">
        <f>[25]Sheet2!R42</f>
        <v>0</v>
      </c>
      <c r="J134" s="6">
        <f>[25]Sheet2!S42</f>
        <v>0</v>
      </c>
      <c r="K134" s="6">
        <f>[25]Sheet2!T42</f>
        <v>0</v>
      </c>
      <c r="L134" s="6">
        <f>[25]Sheet2!U42</f>
        <v>0</v>
      </c>
      <c r="M134" s="6">
        <f>[25]Sheet2!V42</f>
        <v>0</v>
      </c>
      <c r="N134" s="6">
        <f>[25]Sheet2!W42</f>
        <v>0</v>
      </c>
      <c r="O134" s="6">
        <f>[25]Sheet2!X42</f>
        <v>0</v>
      </c>
      <c r="P134" s="6">
        <f>[25]Sheet2!Y42</f>
        <v>0</v>
      </c>
      <c r="Q134" s="6">
        <f>[25]Sheet2!Z42</f>
        <v>0</v>
      </c>
      <c r="R134" s="6">
        <f>[25]Sheet2!AA42</f>
        <v>34.085999999999999</v>
      </c>
      <c r="S134" s="6">
        <f>[25]Sheet2!AB42</f>
        <v>17.068999999999999</v>
      </c>
      <c r="T134" s="6">
        <f>[25]Sheet2!AC42</f>
        <v>52.228000000000002</v>
      </c>
      <c r="U134" s="6">
        <f>[25]Sheet2!AD42</f>
        <v>0</v>
      </c>
      <c r="V134">
        <f>[25]Sheet2!AE42</f>
        <v>10.196</v>
      </c>
      <c r="W134">
        <f>[25]Sheet2!AF42</f>
        <v>0</v>
      </c>
      <c r="X134" s="6">
        <f>[25]Sheet2!AG42</f>
        <v>44.93</v>
      </c>
      <c r="Y134" s="6">
        <f>[25]Sheet2!AH42</f>
        <v>286.95800000000003</v>
      </c>
      <c r="Z134" s="6">
        <f>[15]APE!L37</f>
        <v>18.036000000000001</v>
      </c>
      <c r="AA134" s="22">
        <f>SUM(O134:INDEX(O134:Z134,$B$2))</f>
        <v>103.38300000000001</v>
      </c>
      <c r="AB134" s="22">
        <f t="shared" si="404"/>
        <v>0</v>
      </c>
      <c r="AC134" s="22">
        <f t="shared" si="405"/>
        <v>103.38300000000001</v>
      </c>
      <c r="AD134" s="22">
        <f t="shared" si="406"/>
        <v>10.196</v>
      </c>
      <c r="AE134" s="22">
        <f t="shared" si="407"/>
        <v>349.92400000000004</v>
      </c>
      <c r="AF134" s="6">
        <f>SUM(C134                                                                                : INDEX(C134:N134,$B$2))</f>
        <v>13.249000000000001</v>
      </c>
      <c r="AG134" s="6">
        <f t="shared" si="408"/>
        <v>0</v>
      </c>
      <c r="AH134" s="6">
        <f t="shared" si="409"/>
        <v>13.249000000000001</v>
      </c>
      <c r="AI134" s="6">
        <f t="shared" si="410"/>
        <v>0</v>
      </c>
      <c r="AJ134" s="6">
        <f t="shared" si="411"/>
        <v>0</v>
      </c>
      <c r="AK134" s="31">
        <f t="shared" ref="AK134:AK139" si="417">AA134/AF134-1</f>
        <v>6.8030794776964303</v>
      </c>
      <c r="AL134" s="31">
        <f t="shared" si="413"/>
        <v>0</v>
      </c>
      <c r="AM134" s="31">
        <f t="shared" si="401"/>
        <v>6.8030794776964303</v>
      </c>
      <c r="AN134" s="31">
        <f t="shared" ref="AN134" si="418">IFERROR(AD134/AI134-1,0)</f>
        <v>0</v>
      </c>
      <c r="AO134" s="31">
        <f t="shared" ref="AO134" si="419">IFERROR(AE134/AJ134-1,0)</f>
        <v>0</v>
      </c>
      <c r="AP134" s="6">
        <f>[16]APE!L37</f>
        <v>6.7889999999999997</v>
      </c>
      <c r="AQ134" s="22">
        <f>[17]APE!L38</f>
        <v>13.279</v>
      </c>
      <c r="AR134" s="22">
        <f>[18]APE!L39</f>
        <v>0</v>
      </c>
      <c r="AS134" s="22">
        <f>[19]APE!L39</f>
        <v>0</v>
      </c>
      <c r="AT134" s="22">
        <f>[20]APE!L39</f>
        <v>0</v>
      </c>
      <c r="AU134" s="22">
        <f>[21]APE!L39</f>
        <v>20.8</v>
      </c>
      <c r="AV134" s="22">
        <f>[22]APE!L39</f>
        <v>0</v>
      </c>
      <c r="BB134" s="110">
        <f>SUM(AP134:INDEX(AP134:AR134,IF($B$2&lt;3,$B$2,3)))</f>
        <v>20.067999999999998</v>
      </c>
      <c r="BC134" s="110">
        <f>SUM(AS134:INDEX(AS134:AU134,IF(AND($B$2&gt;3,$B$2&lt;7),$B$2-3,0)))</f>
        <v>20.8</v>
      </c>
      <c r="BD134" s="110">
        <f>SUM(AV134:INDEX(AV134:AX134,IF(AND($B$2&gt;6,$B$2&lt;10),$B$2-6,0)))</f>
        <v>0</v>
      </c>
      <c r="BE134" s="110">
        <f>SUM(AY134:INDEX(AY134:BA134,IF($B$2&gt;9,$B$2-9,0)))</f>
        <v>0</v>
      </c>
      <c r="BF134" s="110">
        <f>SUM($AP134:INDEX(AP134:BA134,$B$2))</f>
        <v>40.867999999999995</v>
      </c>
      <c r="BG134" s="125">
        <f t="shared" si="415"/>
        <v>0</v>
      </c>
      <c r="BH134" s="111">
        <f t="shared" si="402"/>
        <v>0</v>
      </c>
      <c r="BI134" s="111">
        <f t="shared" si="402"/>
        <v>0</v>
      </c>
      <c r="BJ134" s="111">
        <f t="shared" si="402"/>
        <v>0</v>
      </c>
      <c r="BK134" s="111">
        <f t="shared" si="402"/>
        <v>0</v>
      </c>
      <c r="BL134" s="111">
        <f t="shared" si="402"/>
        <v>0.398253810216742</v>
      </c>
      <c r="BM134" s="111">
        <f t="shared" si="402"/>
        <v>0</v>
      </c>
      <c r="BN134" s="111">
        <f t="shared" si="402"/>
        <v>0</v>
      </c>
      <c r="BO134" s="111">
        <f t="shared" si="402"/>
        <v>0</v>
      </c>
      <c r="BP134" s="111">
        <f t="shared" si="402"/>
        <v>0</v>
      </c>
      <c r="BQ134" s="111">
        <f t="shared" si="402"/>
        <v>0</v>
      </c>
      <c r="BR134" s="111">
        <f t="shared" si="402"/>
        <v>0</v>
      </c>
      <c r="BS134" s="111">
        <f>IFERROR(BB134/SUM(O134:INDEX(O134:Q134,IF($B$2&lt;3,$B$2,3))),0)</f>
        <v>0</v>
      </c>
      <c r="BT134" s="111">
        <f>IFERROR(BC134/SUM(R134:INDEX(R134:T134,IF($B$2&lt;7,$B$2-3,3))),0)</f>
        <v>0.20119361984078618</v>
      </c>
      <c r="BU134" s="111">
        <f>IFERROR(BD134/SUM(U134:INDEX(U134:W134,IF($C$2&lt;3,$C$2,3))),0)</f>
        <v>0</v>
      </c>
      <c r="BV134" s="111">
        <f>IFERROR(BE134/SUM(R134:INDEX(R134:T134,IF($B$2&lt;3,$B$2,3))),0)</f>
        <v>0</v>
      </c>
      <c r="BW134" s="111">
        <f t="shared" si="416"/>
        <v>0.39530677190640617</v>
      </c>
    </row>
    <row r="135" spans="1:75" x14ac:dyDescent="0.25">
      <c r="A135" s="20" t="str">
        <f t="shared" si="403"/>
        <v>RYP_by_rookie_mdrt:4 - 6 mths</v>
      </c>
      <c r="B135" t="s">
        <v>8</v>
      </c>
      <c r="C135" s="6">
        <f>[25]Sheet2!L43</f>
        <v>0</v>
      </c>
      <c r="D135" s="6">
        <f>[25]Sheet2!M43</f>
        <v>0</v>
      </c>
      <c r="E135" s="6">
        <f>[25]Sheet2!N43</f>
        <v>0</v>
      </c>
      <c r="F135" s="6">
        <f>[25]Sheet2!O43</f>
        <v>0</v>
      </c>
      <c r="G135" s="6">
        <f>[25]Sheet2!P43</f>
        <v>0</v>
      </c>
      <c r="H135" s="6">
        <f>[25]Sheet2!Q43</f>
        <v>13.09</v>
      </c>
      <c r="I135" s="6">
        <f>[25]Sheet2!R43</f>
        <v>3.085</v>
      </c>
      <c r="J135" s="6">
        <f>[25]Sheet2!S43</f>
        <v>0</v>
      </c>
      <c r="K135" s="6">
        <f>[25]Sheet2!T43</f>
        <v>16.382000000000001</v>
      </c>
      <c r="L135" s="6">
        <f>[25]Sheet2!U43</f>
        <v>75.619</v>
      </c>
      <c r="M135" s="6">
        <f>[25]Sheet2!V43</f>
        <v>19.744</v>
      </c>
      <c r="N135" s="6">
        <f>[25]Sheet2!W43</f>
        <v>19.341000000000001</v>
      </c>
      <c r="O135" s="6">
        <f>[25]Sheet2!X43</f>
        <v>19.628</v>
      </c>
      <c r="P135" s="6">
        <f>[25]Sheet2!Y43</f>
        <v>0</v>
      </c>
      <c r="Q135" s="6">
        <f>[25]Sheet2!Z43</f>
        <v>0</v>
      </c>
      <c r="R135" s="6">
        <f>[25]Sheet2!AA43</f>
        <v>201.22200000000001</v>
      </c>
      <c r="S135" s="6">
        <f>[25]Sheet2!AB43</f>
        <v>93.013999999999996</v>
      </c>
      <c r="T135" s="6">
        <f>[25]Sheet2!AC43</f>
        <v>22.939</v>
      </c>
      <c r="U135" s="6">
        <f>[25]Sheet2!AD43</f>
        <v>143.98599999999999</v>
      </c>
      <c r="V135">
        <f>[25]Sheet2!AE43</f>
        <v>70.447999999999993</v>
      </c>
      <c r="W135">
        <f>[25]Sheet2!AF43</f>
        <v>60.905000000000001</v>
      </c>
      <c r="X135" s="6">
        <f>[25]Sheet2!AG43</f>
        <v>49.756999999999998</v>
      </c>
      <c r="Y135" s="6">
        <f>[25]Sheet2!AH43</f>
        <v>46.892000000000003</v>
      </c>
      <c r="Z135" s="6">
        <f>[15]APE!L38</f>
        <v>129.99100000000001</v>
      </c>
      <c r="AA135" s="22">
        <f>SUM(O135:INDEX(O135:Z135,$B$2))</f>
        <v>480.78900000000004</v>
      </c>
      <c r="AB135" s="22">
        <f t="shared" si="404"/>
        <v>19.628</v>
      </c>
      <c r="AC135" s="22">
        <f t="shared" si="405"/>
        <v>317.17500000000001</v>
      </c>
      <c r="AD135" s="22">
        <f t="shared" si="406"/>
        <v>275.33899999999994</v>
      </c>
      <c r="AE135" s="22">
        <f t="shared" si="407"/>
        <v>226.64000000000001</v>
      </c>
      <c r="AF135" s="6">
        <f>SUM(C135                                                                                : INDEX(C135:N135,$B$2))</f>
        <v>16.175000000000001</v>
      </c>
      <c r="AG135" s="6">
        <f t="shared" si="408"/>
        <v>0</v>
      </c>
      <c r="AH135" s="6">
        <f t="shared" si="409"/>
        <v>13.09</v>
      </c>
      <c r="AI135" s="6">
        <f t="shared" si="410"/>
        <v>19.467000000000002</v>
      </c>
      <c r="AJ135" s="6">
        <f t="shared" si="411"/>
        <v>114.70400000000001</v>
      </c>
      <c r="AK135" s="31">
        <f t="shared" si="417"/>
        <v>28.724204018547141</v>
      </c>
      <c r="AL135" s="31">
        <f t="shared" si="413"/>
        <v>0</v>
      </c>
      <c r="AM135" s="31">
        <f t="shared" si="401"/>
        <v>23.230328495034378</v>
      </c>
      <c r="AN135" s="31">
        <f t="shared" si="401"/>
        <v>13.143884522525294</v>
      </c>
      <c r="AO135" s="31">
        <f t="shared" si="401"/>
        <v>0.97586832194169348</v>
      </c>
      <c r="AP135" s="6">
        <f>[16]APE!L38</f>
        <v>160.35</v>
      </c>
      <c r="AQ135" s="22">
        <f>[17]APE!L39</f>
        <v>214.23099999999999</v>
      </c>
      <c r="AR135" s="22">
        <f>[18]APE!L40</f>
        <v>39.76</v>
      </c>
      <c r="AS135" s="22">
        <f>[19]APE!L40</f>
        <v>15.46</v>
      </c>
      <c r="AT135" s="22">
        <f>[20]APE!L40</f>
        <v>109.26</v>
      </c>
      <c r="AU135" s="22">
        <f>[21]APE!L40</f>
        <v>0</v>
      </c>
      <c r="AV135" s="22">
        <f>[22]APE!L40</f>
        <v>0</v>
      </c>
      <c r="BB135" s="110">
        <f>SUM(AP135:INDEX(AP135:AR135,IF($B$2&lt;3,$B$2,3)))</f>
        <v>414.34100000000001</v>
      </c>
      <c r="BC135" s="110">
        <f>SUM(AS135:INDEX(AS135:AU135,IF(AND($B$2&gt;3,$B$2&lt;7),$B$2-3,0)))</f>
        <v>124.72</v>
      </c>
      <c r="BD135" s="110">
        <f>SUM(AV135:INDEX(AV135:AX135,IF(AND($B$2&gt;6,$B$2&lt;10),$B$2-6,0)))</f>
        <v>0</v>
      </c>
      <c r="BE135" s="110">
        <f>SUM(AY135:INDEX(AY135:BA135,IF($B$2&gt;9,$B$2-9,0)))</f>
        <v>0</v>
      </c>
      <c r="BF135" s="110">
        <f>SUM($AP135:INDEX(AP135:BA135,$B$2))</f>
        <v>539.06100000000004</v>
      </c>
      <c r="BG135" s="125">
        <f t="shared" si="415"/>
        <v>8.1694518035459538</v>
      </c>
      <c r="BH135" s="111">
        <f t="shared" si="402"/>
        <v>0</v>
      </c>
      <c r="BI135" s="111">
        <f t="shared" si="402"/>
        <v>0</v>
      </c>
      <c r="BJ135" s="111">
        <f t="shared" si="402"/>
        <v>7.6830565246344837E-2</v>
      </c>
      <c r="BK135" s="111">
        <f t="shared" si="402"/>
        <v>1.1746618788569463</v>
      </c>
      <c r="BL135" s="111">
        <f t="shared" si="402"/>
        <v>0</v>
      </c>
      <c r="BM135" s="111">
        <f t="shared" si="402"/>
        <v>0</v>
      </c>
      <c r="BN135" s="111">
        <f t="shared" si="402"/>
        <v>0</v>
      </c>
      <c r="BO135" s="111">
        <f t="shared" si="402"/>
        <v>0</v>
      </c>
      <c r="BP135" s="111">
        <f t="shared" si="402"/>
        <v>0</v>
      </c>
      <c r="BQ135" s="111">
        <f t="shared" si="402"/>
        <v>0</v>
      </c>
      <c r="BR135" s="111">
        <f t="shared" si="402"/>
        <v>0</v>
      </c>
      <c r="BS135" s="111">
        <f>IFERROR(BB135/SUM(O135:INDEX(O135:Q135,IF($B$2&lt;3,$B$2,3))),0)</f>
        <v>21.10969023843489</v>
      </c>
      <c r="BT135" s="111">
        <f>IFERROR(BC135/SUM(R135:INDEX(R135:T135,IF($B$2&lt;7,$B$2-3,3))),0)</f>
        <v>0.39322140774020647</v>
      </c>
      <c r="BU135" s="111">
        <f>IFERROR(BD135/SUM(U135:INDEX(U135:W135,IF($C$2&lt;3,$C$2,3))),0)</f>
        <v>0</v>
      </c>
      <c r="BV135" s="111">
        <f>IFERROR(BE135/SUM(R135:INDEX(R135:T135,IF($B$2&lt;3,$B$2,3))),0)</f>
        <v>0</v>
      </c>
      <c r="BW135" s="111">
        <f>IFERROR(BF135/AA135,0)</f>
        <v>1.1212007762240817</v>
      </c>
    </row>
    <row r="136" spans="1:75" x14ac:dyDescent="0.25">
      <c r="A136" s="20" t="str">
        <f t="shared" si="403"/>
        <v>RYP_by_rookie_mdrt:7-12mth</v>
      </c>
      <c r="B136" t="s">
        <v>1</v>
      </c>
      <c r="C136" s="6">
        <f>[25]Sheet2!L44</f>
        <v>66.138000000000005</v>
      </c>
      <c r="D136" s="6">
        <f>[25]Sheet2!M44</f>
        <v>0</v>
      </c>
      <c r="E136" s="6">
        <f>[25]Sheet2!N44</f>
        <v>16.998999999999999</v>
      </c>
      <c r="F136" s="6">
        <f>[25]Sheet2!O44</f>
        <v>20.236000000000001</v>
      </c>
      <c r="G136" s="6">
        <f>[25]Sheet2!P44</f>
        <v>56.5</v>
      </c>
      <c r="H136" s="6">
        <f>[25]Sheet2!Q44</f>
        <v>283.54899999999998</v>
      </c>
      <c r="I136" s="6">
        <f>[25]Sheet2!R44</f>
        <v>236.65799999999999</v>
      </c>
      <c r="J136" s="6">
        <f>[25]Sheet2!S44</f>
        <v>273.01</v>
      </c>
      <c r="K136" s="6">
        <f>[25]Sheet2!T44</f>
        <v>142.047</v>
      </c>
      <c r="L136" s="6">
        <f>[25]Sheet2!U44</f>
        <v>104.39700000000001</v>
      </c>
      <c r="M136" s="6">
        <f>[25]Sheet2!V44</f>
        <v>318.65499999999997</v>
      </c>
      <c r="N136" s="6">
        <f>[25]Sheet2!W44</f>
        <v>600.63329999999996</v>
      </c>
      <c r="O136" s="6">
        <f>[25]Sheet2!X44</f>
        <v>319.57299999999998</v>
      </c>
      <c r="P136" s="6">
        <f>[25]Sheet2!Y44</f>
        <v>239.946</v>
      </c>
      <c r="Q136" s="6">
        <f>[25]Sheet2!Z44</f>
        <v>237.44</v>
      </c>
      <c r="R136" s="6">
        <f>[25]Sheet2!AA44</f>
        <v>309.08999999999997</v>
      </c>
      <c r="S136" s="6">
        <f>[25]Sheet2!AB44</f>
        <v>296.24700000000001</v>
      </c>
      <c r="T136" s="6">
        <f>[25]Sheet2!AC44</f>
        <v>219.17699999999999</v>
      </c>
      <c r="U136" s="6">
        <f>[25]Sheet2!AD44</f>
        <v>172.31700000000001</v>
      </c>
      <c r="V136">
        <f>[25]Sheet2!AE44</f>
        <v>271.19600000000003</v>
      </c>
      <c r="W136">
        <f>[25]Sheet2!AF44</f>
        <v>367.37799999999999</v>
      </c>
      <c r="X136" s="6">
        <f>[25]Sheet2!AG44</f>
        <v>311.911</v>
      </c>
      <c r="Y136" s="6">
        <f>[25]Sheet2!AH44</f>
        <v>569.92150000000004</v>
      </c>
      <c r="Z136" s="6">
        <f>[15]APE!L39</f>
        <v>1071.393</v>
      </c>
      <c r="AA136" s="22">
        <f>SUM(O136:INDEX(O136:Z136,$B$2))</f>
        <v>1793.79</v>
      </c>
      <c r="AB136" s="22">
        <f t="shared" si="404"/>
        <v>796.95900000000006</v>
      </c>
      <c r="AC136" s="22">
        <f t="shared" si="405"/>
        <v>824.51400000000001</v>
      </c>
      <c r="AD136" s="22">
        <f t="shared" si="406"/>
        <v>810.89100000000008</v>
      </c>
      <c r="AE136" s="22">
        <f t="shared" si="407"/>
        <v>1953.2255</v>
      </c>
      <c r="AF136" s="6">
        <f>SUM(C136                                                                                : INDEX(C136:N136,$B$2))</f>
        <v>680.07999999999993</v>
      </c>
      <c r="AG136" s="6">
        <f t="shared" si="408"/>
        <v>83.137</v>
      </c>
      <c r="AH136" s="6">
        <f t="shared" si="409"/>
        <v>360.28499999999997</v>
      </c>
      <c r="AI136" s="6">
        <f t="shared" si="410"/>
        <v>651.71500000000003</v>
      </c>
      <c r="AJ136" s="6">
        <f t="shared" si="411"/>
        <v>1023.6852999999999</v>
      </c>
      <c r="AK136" s="31">
        <f t="shared" si="417"/>
        <v>1.6376161628043762</v>
      </c>
      <c r="AL136" s="31">
        <f t="shared" si="401"/>
        <v>8.5860928347185972</v>
      </c>
      <c r="AM136" s="31">
        <f t="shared" si="401"/>
        <v>1.288504933594238</v>
      </c>
      <c r="AN136" s="31">
        <f t="shared" si="401"/>
        <v>0.24424173143168426</v>
      </c>
      <c r="AO136" s="31">
        <f t="shared" si="401"/>
        <v>0.90803316214465535</v>
      </c>
      <c r="AP136" s="6">
        <f>[16]APE!L39</f>
        <v>314.14499999999998</v>
      </c>
      <c r="AQ136" s="22">
        <f>[17]APE!L40</f>
        <v>149.48599999999999</v>
      </c>
      <c r="AR136" s="22">
        <f>[18]APE!L41</f>
        <v>347.7</v>
      </c>
      <c r="AS136" s="22">
        <f>[19]APE!L41</f>
        <v>122.89700000000001</v>
      </c>
      <c r="AT136" s="22">
        <f>[20]APE!L41</f>
        <v>178.23</v>
      </c>
      <c r="AU136" s="22">
        <f>[21]APE!L41</f>
        <v>290.92</v>
      </c>
      <c r="AV136" s="22">
        <f>[22]APE!L41</f>
        <v>504.53399999999999</v>
      </c>
      <c r="BB136" s="110">
        <f>SUM(AP136:INDEX(AP136:AR136,IF($B$2&lt;3,$B$2,3)))</f>
        <v>811.3309999999999</v>
      </c>
      <c r="BC136" s="110">
        <f>SUM(AS136:INDEX(AS136:AU136,IF(AND($B$2&gt;3,$B$2&lt;7),$B$2-3,0)))</f>
        <v>592.04700000000003</v>
      </c>
      <c r="BD136" s="110">
        <f>SUM(AV136:INDEX(AV136:AX136,IF(AND($B$2&gt;6,$B$2&lt;10),$B$2-6,0)))</f>
        <v>504.53399999999999</v>
      </c>
      <c r="BE136" s="110">
        <f>SUM(AY136:INDEX(AY136:BA136,IF($B$2&gt;9,$B$2-9,0)))</f>
        <v>0</v>
      </c>
      <c r="BF136" s="110">
        <f>SUM($AP136:INDEX(AP136:BA136,$B$2))</f>
        <v>1907.9119999999998</v>
      </c>
      <c r="BG136" s="125">
        <f t="shared" si="415"/>
        <v>0.98301483542101498</v>
      </c>
      <c r="BH136" s="111">
        <f t="shared" si="402"/>
        <v>0.62299850799763279</v>
      </c>
      <c r="BI136" s="111">
        <f t="shared" si="402"/>
        <v>1.4643699460916442</v>
      </c>
      <c r="BJ136" s="111">
        <f t="shared" si="402"/>
        <v>0.39760911061503129</v>
      </c>
      <c r="BK136" s="111">
        <f t="shared" si="402"/>
        <v>0.60162634558324635</v>
      </c>
      <c r="BL136" s="111">
        <f t="shared" si="402"/>
        <v>1.3273290536872027</v>
      </c>
      <c r="BM136" s="111">
        <f t="shared" si="402"/>
        <v>2.9279409460471109</v>
      </c>
      <c r="BN136" s="111">
        <f t="shared" si="402"/>
        <v>0</v>
      </c>
      <c r="BO136" s="111">
        <f t="shared" si="402"/>
        <v>0</v>
      </c>
      <c r="BP136" s="111">
        <f t="shared" si="402"/>
        <v>0</v>
      </c>
      <c r="BQ136" s="111">
        <f t="shared" si="402"/>
        <v>0</v>
      </c>
      <c r="BR136" s="111">
        <f t="shared" si="402"/>
        <v>0</v>
      </c>
      <c r="BS136" s="111">
        <f>IFERROR(BB136/SUM(O136:INDEX(O136:Q136,IF($B$2&lt;3,$B$2,3))),0)</f>
        <v>1.0180335500320592</v>
      </c>
      <c r="BT136" s="111">
        <f>IFERROR(BC136/SUM(R136:INDEX(R136:T136,IF($B$2&lt;7,$B$2-3,3))),0)</f>
        <v>0.71805572737394396</v>
      </c>
      <c r="BU136" s="111">
        <f>IFERROR(BD136/SUM(U136:INDEX(U136:W136,IF($C$2&lt;3,$C$2,3))),0)</f>
        <v>2.9279409460471109</v>
      </c>
      <c r="BV136" s="111">
        <f>IFERROR(BE136/SUM(R136:INDEX(R136:T136,IF($B$2&lt;3,$B$2,3))),0)</f>
        <v>0</v>
      </c>
      <c r="BW136" s="111">
        <f t="shared" si="416"/>
        <v>1.0636206021886618</v>
      </c>
    </row>
    <row r="137" spans="1:75" x14ac:dyDescent="0.25">
      <c r="A137" s="20" t="str">
        <f t="shared" si="403"/>
        <v>RYP_by_rookie_mdrt:13+mth</v>
      </c>
      <c r="B137" t="s">
        <v>2</v>
      </c>
      <c r="C137" s="6">
        <f>[25]Sheet2!L45</f>
        <v>933.43700000000001</v>
      </c>
      <c r="D137" s="6">
        <f>[25]Sheet2!M45</f>
        <v>600.774</v>
      </c>
      <c r="E137" s="6">
        <f>[25]Sheet2!N45</f>
        <v>740.70799999999997</v>
      </c>
      <c r="F137" s="6">
        <f>[25]Sheet2!O45</f>
        <v>751.96699999999998</v>
      </c>
      <c r="G137" s="6">
        <f>[25]Sheet2!P45</f>
        <v>923.72069999999997</v>
      </c>
      <c r="H137" s="6">
        <f>[25]Sheet2!Q45</f>
        <v>1442.0277000000001</v>
      </c>
      <c r="I137" s="6">
        <f>[25]Sheet2!R45</f>
        <v>1770.9188999999999</v>
      </c>
      <c r="J137" s="6">
        <f>[25]Sheet2!S45</f>
        <v>1984.5477000000001</v>
      </c>
      <c r="K137" s="6">
        <f>[25]Sheet2!T45</f>
        <v>2270.7280000000001</v>
      </c>
      <c r="L137" s="6">
        <f>[25]Sheet2!U45</f>
        <v>2925.8108000000002</v>
      </c>
      <c r="M137" s="6">
        <f>[25]Sheet2!V45</f>
        <v>3325.6662000000001</v>
      </c>
      <c r="N137" s="6">
        <f>[25]Sheet2!W45</f>
        <v>5124.1277</v>
      </c>
      <c r="O137" s="6">
        <f>[25]Sheet2!X45</f>
        <v>5412.3084000000099</v>
      </c>
      <c r="P137" s="6">
        <f>[25]Sheet2!Y45</f>
        <v>4895.1165000000001</v>
      </c>
      <c r="Q137" s="6">
        <f>[25]Sheet2!Z45</f>
        <v>4247.2412999999997</v>
      </c>
      <c r="R137" s="6">
        <f>[25]Sheet2!AA45</f>
        <v>3899.7964999999999</v>
      </c>
      <c r="S137" s="6">
        <f>[25]Sheet2!AB45</f>
        <v>4261.2233999999999</v>
      </c>
      <c r="T137" s="6">
        <f>[25]Sheet2!AC45</f>
        <v>5998.4767000000102</v>
      </c>
      <c r="U137" s="6">
        <f>[25]Sheet2!AD45</f>
        <v>6041.9110000000001</v>
      </c>
      <c r="V137">
        <f>[25]Sheet2!AE45</f>
        <v>6320.8250000000098</v>
      </c>
      <c r="W137">
        <f>[25]Sheet2!AF45</f>
        <v>7855.6057000000101</v>
      </c>
      <c r="X137" s="6">
        <f>[25]Sheet2!AG45</f>
        <v>7879.433</v>
      </c>
      <c r="Y137" s="6">
        <f>[25]Sheet2!AH45</f>
        <v>10146.1155</v>
      </c>
      <c r="Z137" s="6">
        <f>[15]APE!L40</f>
        <v>13221.4799</v>
      </c>
      <c r="AA137" s="186">
        <f>SUM(O137:INDEX(O137:Z137,$B$2))</f>
        <v>34756.073800000013</v>
      </c>
      <c r="AB137" s="22">
        <f t="shared" si="404"/>
        <v>14554.666200000009</v>
      </c>
      <c r="AC137" s="22">
        <f t="shared" si="405"/>
        <v>14159.496600000009</v>
      </c>
      <c r="AD137" s="22">
        <f t="shared" si="406"/>
        <v>20218.341700000019</v>
      </c>
      <c r="AE137" s="22">
        <f t="shared" si="407"/>
        <v>31247.028400000003</v>
      </c>
      <c r="AF137" s="6">
        <f>SUM(C137                                                                                : INDEX(C137:N137,$B$2))</f>
        <v>7163.5532999999996</v>
      </c>
      <c r="AG137" s="6">
        <f t="shared" si="408"/>
        <v>2274.9189999999999</v>
      </c>
      <c r="AH137" s="6">
        <f t="shared" si="409"/>
        <v>3117.7154</v>
      </c>
      <c r="AI137" s="6">
        <f t="shared" si="410"/>
        <v>6026.1945999999998</v>
      </c>
      <c r="AJ137" s="6">
        <f t="shared" si="411"/>
        <v>11375.6047</v>
      </c>
      <c r="AK137" s="31">
        <f t="shared" si="417"/>
        <v>3.851792447750757</v>
      </c>
      <c r="AL137" s="31">
        <f t="shared" si="401"/>
        <v>5.3978832652942854</v>
      </c>
      <c r="AM137" s="31">
        <f t="shared" si="401"/>
        <v>3.5416257686638133</v>
      </c>
      <c r="AN137" s="31">
        <f t="shared" si="401"/>
        <v>2.3550761371031763</v>
      </c>
      <c r="AO137" s="31">
        <f t="shared" si="401"/>
        <v>1.7468454841789645</v>
      </c>
      <c r="AP137" s="6">
        <f>[16]APE!L40</f>
        <v>12042.558000000099</v>
      </c>
      <c r="AQ137" s="22">
        <f>[17]APE!L41</f>
        <v>8075.3524000000198</v>
      </c>
      <c r="AR137" s="22">
        <f>[18]APE!L42</f>
        <v>6124.55</v>
      </c>
      <c r="AS137" s="22">
        <f>[19]APE!L42</f>
        <v>5366.1808000000101</v>
      </c>
      <c r="AT137" s="22">
        <f>[20]APE!L42</f>
        <v>6489.54</v>
      </c>
      <c r="AU137" s="22">
        <f>[21]APE!L42</f>
        <v>7691.96</v>
      </c>
      <c r="AV137" s="22">
        <f>[22]APE!L42</f>
        <v>6945.3060000000178</v>
      </c>
      <c r="BB137" s="110">
        <f>SUM(AP137:INDEX(AP137:AR137,IF($B$2&lt;3,$B$2,3)))</f>
        <v>26242.460400000116</v>
      </c>
      <c r="BC137" s="110">
        <f>SUM(AS137:INDEX(AS137:AU137,IF(AND($B$2&gt;3,$B$2&lt;7),$B$2-3,0)))</f>
        <v>19547.680800000009</v>
      </c>
      <c r="BD137" s="110">
        <f>SUM(AV137:INDEX(AV137:AX137,IF(AND($B$2&gt;6,$B$2&lt;10),$B$2-6,0)))</f>
        <v>6945.3060000000178</v>
      </c>
      <c r="BE137" s="110">
        <f>SUM(AY137:INDEX(AY137:BA137,IF($B$2&gt;9,$B$2-9,0)))</f>
        <v>0</v>
      </c>
      <c r="BF137" s="110">
        <f>SUM($AP137:INDEX(AP137:BA137,$B$2))</f>
        <v>52735.447200000141</v>
      </c>
      <c r="BG137" s="125">
        <f t="shared" si="415"/>
        <v>2.2250317443108152</v>
      </c>
      <c r="BH137" s="111">
        <f t="shared" si="402"/>
        <v>1.649675222234245</v>
      </c>
      <c r="BI137" s="111">
        <f t="shared" si="402"/>
        <v>1.4420066032038257</v>
      </c>
      <c r="BJ137" s="111">
        <f t="shared" si="402"/>
        <v>1.3760155946598778</v>
      </c>
      <c r="BK137" s="111">
        <f t="shared" si="402"/>
        <v>1.5229288377605361</v>
      </c>
      <c r="BL137" s="111">
        <f t="shared" si="402"/>
        <v>1.2823188927282134</v>
      </c>
      <c r="BM137" s="111">
        <f t="shared" si="402"/>
        <v>1.149521401424155</v>
      </c>
      <c r="BN137" s="111">
        <f t="shared" si="402"/>
        <v>0</v>
      </c>
      <c r="BO137" s="111">
        <f t="shared" si="402"/>
        <v>0</v>
      </c>
      <c r="BP137" s="111">
        <f t="shared" si="402"/>
        <v>0</v>
      </c>
      <c r="BQ137" s="111">
        <f t="shared" si="402"/>
        <v>0</v>
      </c>
      <c r="BR137" s="111">
        <f t="shared" si="402"/>
        <v>0</v>
      </c>
      <c r="BS137" s="111">
        <f>IFERROR(BB137/SUM(O137:INDEX(O137:Q137,IF($B$2&lt;3,$B$2,3))),0)</f>
        <v>1.803027293061527</v>
      </c>
      <c r="BT137" s="111">
        <f>IFERROR(BC137/SUM(R137:INDEX(R137:T137,IF($B$2&lt;7,$B$2-3,3))),0)</f>
        <v>1.3805350113929895</v>
      </c>
      <c r="BU137" s="111">
        <f>IFERROR(BD137/SUM(U137:INDEX(U137:W137,IF($C$2&lt;3,$C$2,3))),0)</f>
        <v>1.149521401424155</v>
      </c>
      <c r="BV137" s="111">
        <f>IFERROR(BE137/SUM(R137:INDEX(R137:T137,IF($B$2&lt;3,$B$2,3))),0)</f>
        <v>0</v>
      </c>
      <c r="BW137" s="111">
        <f t="shared" si="416"/>
        <v>1.5173016234071905</v>
      </c>
    </row>
    <row r="138" spans="1:75" x14ac:dyDescent="0.25">
      <c r="A138" s="20" t="str">
        <f>$B$130&amp;"_by_rookie_mdrt:"&amp;B138</f>
        <v>RYP_by_rookie_mdrt:SA</v>
      </c>
      <c r="B138" s="135" t="s">
        <v>136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X138" s="6"/>
      <c r="Y138" s="6"/>
      <c r="Z138" s="6"/>
      <c r="AA138" s="22"/>
      <c r="AB138" s="22"/>
      <c r="AC138" s="22"/>
      <c r="AD138" s="22"/>
      <c r="AE138" s="22"/>
      <c r="AF138" s="6"/>
      <c r="AG138" s="6"/>
      <c r="AH138" s="6"/>
      <c r="AI138" s="6"/>
      <c r="AJ138" s="6"/>
      <c r="AK138" s="31"/>
      <c r="AL138" s="31"/>
      <c r="AM138" s="31"/>
      <c r="AN138" s="31"/>
      <c r="AO138" s="31"/>
      <c r="AP138" s="6"/>
      <c r="AQ138" s="22">
        <f>[17]APE!L42</f>
        <v>3527.4623999999999</v>
      </c>
      <c r="AR138" s="22">
        <f>[18]APE!L43</f>
        <v>3139.57</v>
      </c>
      <c r="AS138" s="22">
        <f>[19]APE!L43</f>
        <v>4080.6550000000002</v>
      </c>
      <c r="AT138" s="22">
        <f>[20]APE!L43</f>
        <v>6196.35</v>
      </c>
      <c r="AU138" s="22">
        <f>[21]APE!L43</f>
        <v>6468.61</v>
      </c>
      <c r="AV138" s="22">
        <f>[22]APE!L43</f>
        <v>7129.9290000000228</v>
      </c>
      <c r="BB138" s="110">
        <f>SUM(AP138:INDEX(AP138:AR138,IF($B$2&lt;3,$B$2,3)))</f>
        <v>6667.0324000000001</v>
      </c>
      <c r="BC138" s="110">
        <f>SUM(AS138:INDEX(AS138:AU138,IF(AND($B$2&gt;3,$B$2&lt;7),$B$2-3,0)))</f>
        <v>16745.615000000002</v>
      </c>
      <c r="BD138" s="110">
        <f>SUM(AV138:INDEX(AV138:AX138,IF(AND($B$2&gt;6,$B$2&lt;10),$B$2-6,0)))</f>
        <v>7129.9290000000228</v>
      </c>
      <c r="BE138" s="110">
        <f>SUM(AY138:INDEX(AY138:BA138,IF($B$2&gt;9,$B$2-9,0)))</f>
        <v>0</v>
      </c>
      <c r="BF138" s="110">
        <f>SUM($AP138:INDEX(AP138:BA138,$B$2))</f>
        <v>30542.576400000024</v>
      </c>
      <c r="BG138" s="125"/>
      <c r="BH138" s="111"/>
      <c r="BI138" s="111"/>
      <c r="BJ138" s="111"/>
      <c r="BK138" s="111"/>
      <c r="BL138" s="111"/>
      <c r="BM138" s="111"/>
      <c r="BN138" s="111"/>
      <c r="BO138" s="111"/>
      <c r="BP138" s="111"/>
      <c r="BQ138" s="111"/>
      <c r="BR138" s="111"/>
      <c r="BS138" s="111"/>
      <c r="BT138" s="111"/>
      <c r="BU138" s="111">
        <f>IFERROR(BD138/SUM(U138:INDEX(U138:W138,IF($C$2&lt;3,$C$2,3))),0)</f>
        <v>0</v>
      </c>
      <c r="BV138" s="111"/>
      <c r="BW138" s="111"/>
    </row>
    <row r="139" spans="1:75" s="17" customFormat="1" x14ac:dyDescent="0.25">
      <c r="A139" s="20" t="str">
        <f t="shared" si="403"/>
        <v>RYP_by_rookie_mdrt:Total</v>
      </c>
      <c r="B139" s="1" t="s">
        <v>186</v>
      </c>
      <c r="C139" s="7">
        <f>SUM(C131:C137)</f>
        <v>1208.5230000000001</v>
      </c>
      <c r="D139" s="7">
        <f t="shared" ref="D139:AE139" si="420">SUM(D131:D137)</f>
        <v>865.48500000000001</v>
      </c>
      <c r="E139" s="7">
        <f t="shared" si="420"/>
        <v>863.22299999999996</v>
      </c>
      <c r="F139" s="7">
        <f t="shared" si="420"/>
        <v>1087.8150000000001</v>
      </c>
      <c r="G139" s="7">
        <f t="shared" si="420"/>
        <v>1220.9326999999998</v>
      </c>
      <c r="H139" s="7">
        <f t="shared" si="420"/>
        <v>2080.7287000000001</v>
      </c>
      <c r="I139" s="7">
        <f t="shared" si="420"/>
        <v>3117.2478999999998</v>
      </c>
      <c r="J139" s="7">
        <f t="shared" si="420"/>
        <v>3599.1496999999999</v>
      </c>
      <c r="K139" s="7">
        <f t="shared" si="420"/>
        <v>4060.085</v>
      </c>
      <c r="L139" s="7">
        <f t="shared" si="420"/>
        <v>5043.0773000000008</v>
      </c>
      <c r="M139" s="7">
        <f t="shared" si="420"/>
        <v>5745.4434000000001</v>
      </c>
      <c r="N139" s="7">
        <f t="shared" si="420"/>
        <v>9358.8194000000003</v>
      </c>
      <c r="O139" s="7">
        <f t="shared" si="420"/>
        <v>8517.4644000000098</v>
      </c>
      <c r="P139" s="7">
        <f t="shared" si="420"/>
        <v>7419.4349999999995</v>
      </c>
      <c r="Q139" s="7">
        <f t="shared" si="420"/>
        <v>6419.4387999999999</v>
      </c>
      <c r="R139" s="7">
        <f t="shared" si="420"/>
        <v>6675.4500000000007</v>
      </c>
      <c r="S139" s="7">
        <f t="shared" si="420"/>
        <v>8174.5725999999995</v>
      </c>
      <c r="T139" s="7">
        <f t="shared" si="420"/>
        <v>9494.4517000000105</v>
      </c>
      <c r="U139" s="7">
        <f t="shared" si="420"/>
        <v>9979.5669999999991</v>
      </c>
      <c r="V139" s="7">
        <f t="shared" si="420"/>
        <v>13975.17240000001</v>
      </c>
      <c r="W139" s="7">
        <f t="shared" si="420"/>
        <v>13421.75370000001</v>
      </c>
      <c r="X139" s="7">
        <f t="shared" si="420"/>
        <v>12499.470300000001</v>
      </c>
      <c r="Y139" s="7">
        <f t="shared" si="420"/>
        <v>18895.627900000007</v>
      </c>
      <c r="Z139" s="7">
        <f t="shared" si="420"/>
        <v>22123.655899999991</v>
      </c>
      <c r="AA139" s="7">
        <f t="shared" si="420"/>
        <v>56680.379500000017</v>
      </c>
      <c r="AB139" s="7">
        <f t="shared" si="420"/>
        <v>22356.338200000006</v>
      </c>
      <c r="AC139" s="7">
        <f t="shared" si="420"/>
        <v>24344.474300000009</v>
      </c>
      <c r="AD139" s="7">
        <f t="shared" si="420"/>
        <v>37376.493100000022</v>
      </c>
      <c r="AE139" s="7">
        <f t="shared" si="420"/>
        <v>53518.754100000006</v>
      </c>
      <c r="AF139" s="7">
        <f>SUM(AF131:AF137)</f>
        <v>10443.9553</v>
      </c>
      <c r="AG139" s="7">
        <f t="shared" ref="AG139:AJ139" si="421">SUM(AG131:AG137)</f>
        <v>2937.2309999999998</v>
      </c>
      <c r="AH139" s="7">
        <f t="shared" si="421"/>
        <v>4389.4763999999996</v>
      </c>
      <c r="AI139" s="7">
        <f t="shared" si="421"/>
        <v>10776.482599999999</v>
      </c>
      <c r="AJ139" s="7">
        <f t="shared" si="421"/>
        <v>20147.340100000001</v>
      </c>
      <c r="AK139" s="31">
        <f t="shared" si="417"/>
        <v>4.427099012957286</v>
      </c>
      <c r="AL139" s="31">
        <f t="shared" si="401"/>
        <v>6.611365330135766</v>
      </c>
      <c r="AM139" s="31">
        <f t="shared" si="401"/>
        <v>4.546099826393875</v>
      </c>
      <c r="AN139" s="31">
        <f t="shared" si="401"/>
        <v>2.4683388344170876</v>
      </c>
      <c r="AO139" s="31">
        <f t="shared" si="401"/>
        <v>1.6563682269899243</v>
      </c>
      <c r="AP139" s="7">
        <f t="shared" ref="AP139" si="422">SUM(AP131:AP137)</f>
        <v>16756.395000000099</v>
      </c>
      <c r="AQ139" s="7">
        <f t="shared" ref="AQ139:AV139" si="423">SUM(AQ131:AQ138)</f>
        <v>18542.664300000019</v>
      </c>
      <c r="AR139" s="7">
        <f t="shared" si="423"/>
        <v>13333.97</v>
      </c>
      <c r="AS139" s="7">
        <f t="shared" si="423"/>
        <v>12764.78280000001</v>
      </c>
      <c r="AT139" s="7">
        <f t="shared" si="423"/>
        <v>18253.82</v>
      </c>
      <c r="AU139" s="7">
        <f t="shared" si="423"/>
        <v>19866.77</v>
      </c>
      <c r="AV139" s="7">
        <f t="shared" si="423"/>
        <v>18777.099000000035</v>
      </c>
      <c r="BB139" s="116">
        <f>SUM(AP139:INDEX(AP139:AR139,IF($B$2&lt;3,$B$2,3)))</f>
        <v>48633.029300000118</v>
      </c>
      <c r="BC139" s="116">
        <f>SUM(AS139:INDEX(AS139:AU139,IF(AND($B$2&gt;3,$B$2&lt;7),$B$2-3,0)))</f>
        <v>50885.372800000012</v>
      </c>
      <c r="BD139" s="116">
        <f>SUM(AV139:INDEX(AV139:AX139,IF(AND($B$2&gt;6,$B$2&lt;10),$B$2-6,0)))</f>
        <v>18777.099000000035</v>
      </c>
      <c r="BE139" s="116">
        <f>SUM(AY139:INDEX(AY139:BA139,IF($B$2&gt;9,$B$2-9,0)))</f>
        <v>0</v>
      </c>
      <c r="BF139" s="116">
        <f>SUM($AP139:INDEX(AP139:BA139,$B$2))</f>
        <v>118295.50110000017</v>
      </c>
      <c r="BG139" s="126">
        <f t="shared" si="415"/>
        <v>1.9672985072881641</v>
      </c>
      <c r="BH139" s="118">
        <f t="shared" si="402"/>
        <v>2.4992016642776735</v>
      </c>
      <c r="BI139" s="118">
        <f t="shared" si="402"/>
        <v>2.0771239379990662</v>
      </c>
      <c r="BJ139" s="118">
        <f t="shared" si="402"/>
        <v>1.9121980990045628</v>
      </c>
      <c r="BK139" s="118">
        <f t="shared" si="402"/>
        <v>2.2329999246688446</v>
      </c>
      <c r="BL139" s="118">
        <f t="shared" si="402"/>
        <v>2.0924610106763697</v>
      </c>
      <c r="BM139" s="118">
        <f t="shared" si="402"/>
        <v>1.8815544802695383</v>
      </c>
      <c r="BN139" s="118">
        <f t="shared" si="402"/>
        <v>0</v>
      </c>
      <c r="BO139" s="118">
        <f t="shared" si="402"/>
        <v>0</v>
      </c>
      <c r="BP139" s="118">
        <f t="shared" si="402"/>
        <v>0</v>
      </c>
      <c r="BQ139" s="118">
        <f t="shared" si="402"/>
        <v>0</v>
      </c>
      <c r="BR139" s="118">
        <f t="shared" si="402"/>
        <v>0</v>
      </c>
      <c r="BS139" s="118">
        <f>IFERROR(BB139/SUM(O139:INDEX(O139:Q139,IF($B$2&lt;3,$B$2,3))),0)</f>
        <v>2.1753575592267653</v>
      </c>
      <c r="BT139" s="118">
        <f>IFERROR(BC139/SUM(R139:INDEX(R139:T139,IF($B$2&lt;7,$B$2-3,3))),0)</f>
        <v>2.0902226999413989</v>
      </c>
      <c r="BU139" s="118">
        <f>IFERROR(BD139/SUM(U139:INDEX(U139:W139,IF($C$2&lt;3,$C$2,3))),0)</f>
        <v>1.8815544802695383</v>
      </c>
      <c r="BV139" s="118">
        <f>IFERROR(BE139/SUM(R139:INDEX(R139:T139,IF($B$2&lt;3,$B$2,3))),0)</f>
        <v>0</v>
      </c>
      <c r="BW139" s="118">
        <f>IFERROR(BF139/AA139,0)</f>
        <v>2.0870626157328416</v>
      </c>
    </row>
    <row r="140" spans="1:75" x14ac:dyDescent="0.25">
      <c r="B140" s="135" t="s">
        <v>139</v>
      </c>
    </row>
    <row r="141" spans="1:75" x14ac:dyDescent="0.25">
      <c r="B141" s="1" t="s">
        <v>140</v>
      </c>
    </row>
    <row r="142" spans="1:75" x14ac:dyDescent="0.25">
      <c r="B142" t="s">
        <v>187</v>
      </c>
    </row>
    <row r="143" spans="1:75" x14ac:dyDescent="0.25">
      <c r="B143" t="s">
        <v>187</v>
      </c>
    </row>
  </sheetData>
  <mergeCells count="2">
    <mergeCell ref="AK2:AO2"/>
    <mergeCell ref="BB2:BF2"/>
  </mergeCells>
  <conditionalFormatting sqref="AO4:AO12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30:AO39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O54:AO62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P62:BA62">
    <cfRule type="expression" dxfId="114" priority="16">
      <formula>$B$2=COLUMNS($O62:AP62)</formula>
    </cfRule>
  </conditionalFormatting>
  <conditionalFormatting sqref="AP86">
    <cfRule type="expression" dxfId="113" priority="15">
      <formula>$B$2=COLUMNS($O86:AP86)</formula>
    </cfRule>
  </conditionalFormatting>
  <conditionalFormatting sqref="BB86:BF86">
    <cfRule type="expression" dxfId="112" priority="14">
      <formula>$B$2=COLUMNS($O86:BB86)</formula>
    </cfRule>
  </conditionalFormatting>
  <conditionalFormatting sqref="BB116:BC116 BE116:BF116">
    <cfRule type="expression" dxfId="111" priority="13">
      <formula>$B$2=COLUMNS($O116:BB116)</formula>
    </cfRule>
  </conditionalFormatting>
  <conditionalFormatting sqref="O50:Z50">
    <cfRule type="expression" dxfId="110" priority="12">
      <formula>$B$2=COLUMNS($O50:O50)</formula>
    </cfRule>
  </conditionalFormatting>
  <conditionalFormatting sqref="AP50">
    <cfRule type="expression" dxfId="109" priority="11">
      <formula>$B$2=COLUMNS($O50:AP50)</formula>
    </cfRule>
  </conditionalFormatting>
  <conditionalFormatting sqref="AQ50">
    <cfRule type="expression" dxfId="108" priority="10">
      <formula>$B$2=COLUMNS($O50:AQ50)</formula>
    </cfRule>
  </conditionalFormatting>
  <conditionalFormatting sqref="AQ86">
    <cfRule type="expression" dxfId="107" priority="9">
      <formula>$B$2=COLUMNS($O86:AQ86)</formula>
    </cfRule>
  </conditionalFormatting>
  <conditionalFormatting sqref="AR50">
    <cfRule type="expression" dxfId="106" priority="8">
      <formula>$B$2=COLUMNS($O50:AR50)</formula>
    </cfRule>
  </conditionalFormatting>
  <conditionalFormatting sqref="AR86">
    <cfRule type="expression" dxfId="105" priority="7">
      <formula>$B$2=COLUMNS($O86:AR86)</formula>
    </cfRule>
  </conditionalFormatting>
  <conditionalFormatting sqref="AS50">
    <cfRule type="expression" dxfId="104" priority="6">
      <formula>$B$2=COLUMNS($O50:AS50)</formula>
    </cfRule>
  </conditionalFormatting>
  <conditionalFormatting sqref="AS86">
    <cfRule type="expression" dxfId="103" priority="5">
      <formula>$B$2=COLUMNS($O86:AS86)</formula>
    </cfRule>
  </conditionalFormatting>
  <conditionalFormatting sqref="AT50">
    <cfRule type="expression" dxfId="102" priority="4">
      <formula>$B$2=COLUMNS($O50:AT50)</formula>
    </cfRule>
  </conditionalFormatting>
  <conditionalFormatting sqref="AT86">
    <cfRule type="expression" dxfId="101" priority="3">
      <formula>$B$2=COLUMNS($O86:AT86)</formula>
    </cfRule>
  </conditionalFormatting>
  <conditionalFormatting sqref="AU50:AV50">
    <cfRule type="expression" dxfId="100" priority="2">
      <formula>$B$2=COLUMNS($O50:AU50)</formula>
    </cfRule>
  </conditionalFormatting>
  <conditionalFormatting sqref="AU86">
    <cfRule type="expression" dxfId="99" priority="1">
      <formula>$B$2=COLUMNS($O86:AU86)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B90"/>
  <sheetViews>
    <sheetView showGridLines="0" topLeftCell="V7" zoomScale="80" zoomScaleNormal="80" workbookViewId="0">
      <selection activeCell="AX9" sqref="AX9"/>
    </sheetView>
  </sheetViews>
  <sheetFormatPr defaultRowHeight="15" x14ac:dyDescent="0.25"/>
  <cols>
    <col min="1" max="1" width="18.875" customWidth="1"/>
    <col min="14" max="14" width="10.625" bestFit="1" customWidth="1"/>
    <col min="19" max="19" width="18.25" bestFit="1" customWidth="1"/>
    <col min="34" max="34" width="26.75" bestFit="1" customWidth="1"/>
    <col min="35" max="37" width="19.625" customWidth="1"/>
  </cols>
  <sheetData>
    <row r="1" spans="1:37" x14ac:dyDescent="0.25">
      <c r="A1">
        <f>'Full Agency'!A2</f>
        <v>7</v>
      </c>
    </row>
    <row r="2" spans="1:37" x14ac:dyDescent="0.25">
      <c r="A2" t="s">
        <v>56</v>
      </c>
      <c r="S2" t="s">
        <v>57</v>
      </c>
    </row>
    <row r="3" spans="1:37" ht="31.5" customHeight="1" thickBot="1" x14ac:dyDescent="0.3">
      <c r="A3" s="2" t="s">
        <v>0</v>
      </c>
      <c r="B3" s="3">
        <f>'Agency North'!AP3</f>
        <v>42736</v>
      </c>
      <c r="C3" s="3">
        <f>'Agency North'!AQ3</f>
        <v>42767</v>
      </c>
      <c r="D3" s="3">
        <f>'Agency North'!AR3</f>
        <v>42795</v>
      </c>
      <c r="E3" s="3">
        <f>'Agency North'!AS3</f>
        <v>42826</v>
      </c>
      <c r="F3" s="3">
        <f>'Agency North'!AT3</f>
        <v>42856</v>
      </c>
      <c r="G3" s="3">
        <f>'Agency North'!AU3</f>
        <v>42887</v>
      </c>
      <c r="H3" s="3">
        <f>'Agency North'!AV3</f>
        <v>42917</v>
      </c>
      <c r="I3" s="3">
        <f>'Agency North'!AW3</f>
        <v>42948</v>
      </c>
      <c r="J3" s="3">
        <f>'Agency North'!AX3</f>
        <v>42979</v>
      </c>
      <c r="K3" s="3">
        <f>'Agency North'!AY3</f>
        <v>43009</v>
      </c>
      <c r="L3" s="3">
        <f>'Agency North'!AZ3</f>
        <v>43040</v>
      </c>
      <c r="M3" s="3">
        <f>'Agency North'!BA3</f>
        <v>43070</v>
      </c>
      <c r="S3" s="2" t="s">
        <v>0</v>
      </c>
      <c r="T3" s="3">
        <f>'Agency South'!AP3</f>
        <v>42736</v>
      </c>
      <c r="U3" s="3">
        <f>'Agency South'!AQ3</f>
        <v>42767</v>
      </c>
      <c r="V3" s="3">
        <f>'Agency South'!AR3</f>
        <v>42795</v>
      </c>
      <c r="W3" s="3">
        <f>'Agency South'!AS3</f>
        <v>42826</v>
      </c>
      <c r="X3" s="3">
        <f>'Agency South'!AT3</f>
        <v>42856</v>
      </c>
      <c r="Y3" s="3">
        <f>'Agency South'!AU3</f>
        <v>42887</v>
      </c>
      <c r="Z3" s="3">
        <f>'Agency South'!AV3</f>
        <v>42917</v>
      </c>
      <c r="AA3" s="3">
        <f>'Agency South'!AW3</f>
        <v>42948</v>
      </c>
      <c r="AB3" s="3">
        <f>'Agency South'!AX3</f>
        <v>42979</v>
      </c>
      <c r="AC3" s="3">
        <f>'Agency South'!AY3</f>
        <v>43009</v>
      </c>
      <c r="AD3" s="3">
        <f>'Agency South'!AZ3</f>
        <v>43040</v>
      </c>
      <c r="AE3" s="3">
        <f>'Agency South'!BA3</f>
        <v>43070</v>
      </c>
      <c r="AH3" s="147"/>
      <c r="AI3" s="148" t="s">
        <v>151</v>
      </c>
      <c r="AJ3" s="148" t="s">
        <v>152</v>
      </c>
      <c r="AK3" s="148" t="s">
        <v>61</v>
      </c>
    </row>
    <row r="4" spans="1:37" ht="31.5" customHeight="1" x14ac:dyDescent="0.25">
      <c r="A4" t="s">
        <v>4</v>
      </c>
      <c r="B4" s="66">
        <f>'Agency North'!AP4</f>
        <v>1097.587</v>
      </c>
      <c r="C4" s="66">
        <f>'Agency North'!AQ4</f>
        <v>2116.5275000000001</v>
      </c>
      <c r="D4" s="66">
        <f>'Agency North'!AR4</f>
        <v>2115.21</v>
      </c>
      <c r="E4" s="66">
        <f>'Agency North'!AS4</f>
        <v>2215.6280000000002</v>
      </c>
      <c r="F4" s="65">
        <f>'Agency North'!AT4</f>
        <v>2226.8000000000002</v>
      </c>
      <c r="G4" s="65">
        <f>'Agency North'!AU4</f>
        <v>1857.83</v>
      </c>
      <c r="H4" s="65">
        <f>'Agency North'!AV4</f>
        <v>1859.4570000000001</v>
      </c>
      <c r="I4" s="65">
        <f>'Agency North'!AW4</f>
        <v>0</v>
      </c>
      <c r="J4" s="65">
        <f>'Agency North'!AX4</f>
        <v>0</v>
      </c>
      <c r="K4" s="65">
        <f>'Agency North'!AY4</f>
        <v>0</v>
      </c>
      <c r="L4" s="65">
        <f>'Agency North'!AZ4</f>
        <v>0</v>
      </c>
      <c r="M4" s="65">
        <f>'Agency North'!BA4</f>
        <v>0</v>
      </c>
      <c r="S4" t="s">
        <v>4</v>
      </c>
      <c r="T4" s="6">
        <f>'Agency South'!AP4</f>
        <v>3933.4949999999999</v>
      </c>
      <c r="U4" s="6">
        <f>'Agency South'!AQ4</f>
        <v>7272.9260000000104</v>
      </c>
      <c r="V4" s="6">
        <f>'Agency South'!AR4</f>
        <v>7970.6</v>
      </c>
      <c r="W4" s="6">
        <f>'Agency South'!AS4</f>
        <v>6517.6860000000197</v>
      </c>
      <c r="X4" s="65">
        <f>'Agency South'!AT4</f>
        <v>6100.44</v>
      </c>
      <c r="Y4" s="65">
        <f>'Agency South'!AU4</f>
        <v>7621.49</v>
      </c>
      <c r="Z4" s="65">
        <f>'Agency South'!AV4</f>
        <v>5435.6190000000161</v>
      </c>
      <c r="AA4" s="65">
        <f>'Agency South'!AW4</f>
        <v>0</v>
      </c>
      <c r="AB4" s="65">
        <f>'Agency South'!AX4</f>
        <v>0</v>
      </c>
      <c r="AC4" s="65">
        <f>'Agency South'!AY4</f>
        <v>0</v>
      </c>
      <c r="AD4" s="65">
        <f>'Agency South'!AZ4</f>
        <v>0</v>
      </c>
      <c r="AE4" s="65">
        <f>'Agency South'!BA4</f>
        <v>0</v>
      </c>
      <c r="AH4" s="152" t="s">
        <v>0</v>
      </c>
      <c r="AI4" s="163">
        <f>'Agency North'!$BF$14</f>
        <v>164845.3144400001</v>
      </c>
      <c r="AJ4" s="153">
        <f>'Agency South'!$BF$14</f>
        <v>173278.55816000004</v>
      </c>
      <c r="AK4" s="154">
        <f>SUM(AI4:AJ4)</f>
        <v>338123.87260000012</v>
      </c>
    </row>
    <row r="5" spans="1:37" ht="31.5" customHeight="1" x14ac:dyDescent="0.25">
      <c r="A5" t="s">
        <v>5</v>
      </c>
      <c r="B5" s="66">
        <f>'Agency North'!AP5</f>
        <v>2756.6320000000001</v>
      </c>
      <c r="C5" s="66">
        <f>'Agency North'!AQ5</f>
        <v>3733.1240000000098</v>
      </c>
      <c r="D5" s="66">
        <f>'Agency North'!AR5</f>
        <v>10037.33</v>
      </c>
      <c r="E5" s="66">
        <f>'Agency North'!AS5</f>
        <v>6735.6140000000196</v>
      </c>
      <c r="F5" s="65">
        <f>'Agency North'!AT5</f>
        <v>6413.6</v>
      </c>
      <c r="G5" s="65">
        <f>'Agency North'!AU5</f>
        <v>14161.59</v>
      </c>
      <c r="H5" s="65">
        <f>'Agency North'!AV5</f>
        <v>7721.5930000000726</v>
      </c>
      <c r="I5" s="65">
        <f>'Agency North'!AW5</f>
        <v>0</v>
      </c>
      <c r="J5" s="65">
        <f>'Agency North'!AX5</f>
        <v>0</v>
      </c>
      <c r="K5" s="65">
        <f>'Agency North'!AY5</f>
        <v>0</v>
      </c>
      <c r="L5" s="65">
        <f>'Agency North'!AZ5</f>
        <v>0</v>
      </c>
      <c r="M5" s="65">
        <f>'Agency North'!BA5</f>
        <v>0</v>
      </c>
      <c r="S5" t="s">
        <v>5</v>
      </c>
      <c r="T5" s="6">
        <f>'Agency South'!AP5</f>
        <v>1264.491</v>
      </c>
      <c r="U5" s="6">
        <f>'Agency South'!AQ5</f>
        <v>2129.3139999999999</v>
      </c>
      <c r="V5" s="6">
        <f>'Agency South'!AR5</f>
        <v>4333.7</v>
      </c>
      <c r="W5" s="6">
        <f>'Agency South'!AS5</f>
        <v>3917.5839999999998</v>
      </c>
      <c r="X5" s="65">
        <f>'Agency South'!AT5</f>
        <v>3298.59</v>
      </c>
      <c r="Y5" s="65">
        <f>'Agency South'!AU5</f>
        <v>5003.32</v>
      </c>
      <c r="Z5" s="65">
        <f>'Agency South'!AV5</f>
        <v>3396.4389999999967</v>
      </c>
      <c r="AA5" s="65">
        <f>'Agency South'!AW5</f>
        <v>0</v>
      </c>
      <c r="AB5" s="65">
        <f>'Agency South'!AX5</f>
        <v>0</v>
      </c>
      <c r="AC5" s="65">
        <f>'Agency South'!AY5</f>
        <v>0</v>
      </c>
      <c r="AD5" s="65">
        <f>'Agency South'!AZ5</f>
        <v>0</v>
      </c>
      <c r="AE5" s="65">
        <f>'Agency South'!BA5</f>
        <v>0</v>
      </c>
      <c r="AH5" s="155" t="s">
        <v>153</v>
      </c>
      <c r="AI5" s="164">
        <f>'Agency North'!$BW$14-1</f>
        <v>0.64989200531848601</v>
      </c>
      <c r="AJ5" s="149">
        <f>'Agency South'!$BW$14-1</f>
        <v>0.81917699434898861</v>
      </c>
      <c r="AK5" s="150">
        <f>'Full Agency'!$BV$14-1</f>
        <v>0.73251271404012508</v>
      </c>
    </row>
    <row r="6" spans="1:37" ht="31.5" customHeight="1" x14ac:dyDescent="0.25">
      <c r="A6" t="s">
        <v>6</v>
      </c>
      <c r="B6" s="66">
        <f>'Agency North'!AP6</f>
        <v>2279.9690000000001</v>
      </c>
      <c r="C6" s="66">
        <f>'Agency North'!AQ6</f>
        <v>1583.258</v>
      </c>
      <c r="D6" s="66">
        <f>'Agency North'!AR6</f>
        <v>3757.04</v>
      </c>
      <c r="E6" s="66">
        <f>'Agency North'!AS6</f>
        <v>4106.826</v>
      </c>
      <c r="F6" s="65">
        <f>'Agency North'!AT6</f>
        <v>2595.56</v>
      </c>
      <c r="G6" s="65">
        <f>'Agency North'!AU6</f>
        <v>2120.2800000000002</v>
      </c>
      <c r="H6" s="65">
        <f>'Agency North'!AV6</f>
        <v>3228.5269999999973</v>
      </c>
      <c r="I6" s="65">
        <f>'Agency North'!AW6</f>
        <v>0</v>
      </c>
      <c r="J6" s="65">
        <f>'Agency North'!AX6</f>
        <v>0</v>
      </c>
      <c r="K6" s="65">
        <f>'Agency North'!AY6</f>
        <v>0</v>
      </c>
      <c r="L6" s="65">
        <f>'Agency North'!AZ6</f>
        <v>0</v>
      </c>
      <c r="M6" s="65">
        <f>'Agency North'!BA6</f>
        <v>0</v>
      </c>
      <c r="S6" t="s">
        <v>6</v>
      </c>
      <c r="T6" s="6">
        <f>'Agency South'!AP6</f>
        <v>1266.1579999999999</v>
      </c>
      <c r="U6" s="6">
        <f>'Agency South'!AQ6</f>
        <v>1064.2650000000001</v>
      </c>
      <c r="V6" s="6">
        <f>'Agency South'!AR6</f>
        <v>3299.38</v>
      </c>
      <c r="W6" s="6">
        <f>'Agency South'!AS6</f>
        <v>2142.2919999999999</v>
      </c>
      <c r="X6" s="65">
        <f>'Agency South'!AT6</f>
        <v>3248.4</v>
      </c>
      <c r="Y6" s="65">
        <f>'Agency South'!AU6</f>
        <v>2156.14</v>
      </c>
      <c r="Z6" s="65">
        <f>'Agency South'!AV6</f>
        <v>2176.9739999999993</v>
      </c>
      <c r="AA6" s="65">
        <f>'Agency South'!AW6</f>
        <v>0</v>
      </c>
      <c r="AB6" s="65">
        <f>'Agency South'!AX6</f>
        <v>0</v>
      </c>
      <c r="AC6" s="65">
        <f>'Agency South'!AY6</f>
        <v>0</v>
      </c>
      <c r="AD6" s="65">
        <f>'Agency South'!AZ6</f>
        <v>0</v>
      </c>
      <c r="AE6" s="65">
        <f>'Agency South'!BA6</f>
        <v>0</v>
      </c>
      <c r="AH6" s="155" t="s">
        <v>47</v>
      </c>
      <c r="AI6" s="162">
        <f>+AI4/AK4</f>
        <v>0.48752935772450406</v>
      </c>
      <c r="AJ6" s="149">
        <f>AJ4/AK4</f>
        <v>0.51247064227549599</v>
      </c>
      <c r="AK6" s="151"/>
    </row>
    <row r="7" spans="1:37" ht="31.5" customHeight="1" x14ac:dyDescent="0.25">
      <c r="A7" t="s">
        <v>7</v>
      </c>
      <c r="B7" s="66">
        <f>'Agency North'!AP7</f>
        <v>3159.2165</v>
      </c>
      <c r="C7" s="66">
        <f>'Agency North'!AQ7</f>
        <v>5424.7270000000099</v>
      </c>
      <c r="D7" s="66">
        <f>'Agency North'!AR7</f>
        <v>4308.79</v>
      </c>
      <c r="E7" s="66">
        <f>'Agency North'!AS7</f>
        <v>3187.0610000000001</v>
      </c>
      <c r="F7" s="65">
        <f>'Agency North'!AT7</f>
        <v>3396.29</v>
      </c>
      <c r="G7" s="65">
        <f>'Agency North'!AU7</f>
        <v>2783</v>
      </c>
      <c r="H7" s="65">
        <f>'Agency North'!AV7</f>
        <v>3132.0924999999957</v>
      </c>
      <c r="I7" s="65">
        <f>'Agency North'!AW7</f>
        <v>0</v>
      </c>
      <c r="J7" s="65">
        <f>'Agency North'!AX7</f>
        <v>0</v>
      </c>
      <c r="K7" s="65">
        <f>'Agency North'!AY7</f>
        <v>0</v>
      </c>
      <c r="L7" s="65">
        <f>'Agency North'!AZ7</f>
        <v>0</v>
      </c>
      <c r="M7" s="65">
        <f>'Agency North'!BA7</f>
        <v>0</v>
      </c>
      <c r="S7" t="s">
        <v>7</v>
      </c>
      <c r="T7" s="6">
        <f>'Agency South'!AP7</f>
        <v>3012.2404999999999</v>
      </c>
      <c r="U7" s="6">
        <f>'Agency South'!AQ7</f>
        <v>4534.0839999999998</v>
      </c>
      <c r="V7" s="6">
        <f>'Agency South'!AR7</f>
        <v>2333.62</v>
      </c>
      <c r="W7" s="6">
        <f>'Agency South'!AS7</f>
        <v>2244.482</v>
      </c>
      <c r="X7" s="65">
        <f>'Agency South'!AT7</f>
        <v>3765.87</v>
      </c>
      <c r="Y7" s="65">
        <f>'Agency South'!AU7</f>
        <v>4488.4799999999996</v>
      </c>
      <c r="Z7" s="65">
        <f>'Agency South'!AV7</f>
        <v>2950.922999999997</v>
      </c>
      <c r="AA7" s="65">
        <f>'Agency South'!AW7</f>
        <v>0</v>
      </c>
      <c r="AB7" s="65">
        <f>'Agency South'!AX7</f>
        <v>0</v>
      </c>
      <c r="AC7" s="65">
        <f>'Agency South'!AY7</f>
        <v>0</v>
      </c>
      <c r="AD7" s="65">
        <f>'Agency South'!AZ7</f>
        <v>0</v>
      </c>
      <c r="AE7" s="65">
        <f>'Agency South'!BA7</f>
        <v>0</v>
      </c>
      <c r="AH7" s="155" t="s">
        <v>154</v>
      </c>
      <c r="AI7" s="156">
        <f>'Agency North'!$BF$26</f>
        <v>5453</v>
      </c>
      <c r="AJ7" s="157">
        <f>'Agency South'!$BF$26</f>
        <v>2410</v>
      </c>
      <c r="AK7" s="157">
        <f>SUM(AI7:AJ7)</f>
        <v>7863</v>
      </c>
    </row>
    <row r="8" spans="1:37" ht="31.5" customHeight="1" x14ac:dyDescent="0.25">
      <c r="A8" t="s">
        <v>8</v>
      </c>
      <c r="B8" s="66">
        <f>'Agency North'!AP8</f>
        <v>1720.3544999999999</v>
      </c>
      <c r="C8" s="66">
        <f>'Agency North'!AQ8</f>
        <v>3040.5129999999999</v>
      </c>
      <c r="D8" s="66">
        <f>'Agency North'!AR8</f>
        <v>4865.8</v>
      </c>
      <c r="E8" s="66">
        <f>'Agency North'!AS8</f>
        <v>4200.0630000000001</v>
      </c>
      <c r="F8" s="65">
        <f>'Agency North'!AT8</f>
        <v>3037.75</v>
      </c>
      <c r="G8" s="65">
        <f>'Agency North'!AU8</f>
        <v>1939.3</v>
      </c>
      <c r="H8" s="65">
        <f>'Agency North'!AV8</f>
        <v>2044.4809999999984</v>
      </c>
      <c r="I8" s="65">
        <f>'Agency North'!AW8</f>
        <v>0</v>
      </c>
      <c r="J8" s="65">
        <f>'Agency North'!AX8</f>
        <v>0</v>
      </c>
      <c r="K8" s="65">
        <f>'Agency North'!AY8</f>
        <v>0</v>
      </c>
      <c r="L8" s="65">
        <f>'Agency North'!AZ8</f>
        <v>0</v>
      </c>
      <c r="M8" s="65">
        <f>'Agency North'!BA8</f>
        <v>0</v>
      </c>
      <c r="S8" t="s">
        <v>8</v>
      </c>
      <c r="T8" s="6">
        <f>'Agency South'!AP8</f>
        <v>1240.9359999999999</v>
      </c>
      <c r="U8" s="6">
        <f>'Agency South'!AQ8</f>
        <v>3796.6129999999998</v>
      </c>
      <c r="V8" s="6">
        <f>'Agency South'!AR8</f>
        <v>5473.45</v>
      </c>
      <c r="W8" s="6">
        <f>'Agency South'!AS8</f>
        <v>3947.5065</v>
      </c>
      <c r="X8" s="65">
        <f>'Agency South'!AT8</f>
        <v>2270.69</v>
      </c>
      <c r="Y8" s="65">
        <f>'Agency South'!AU8</f>
        <v>4405.57</v>
      </c>
      <c r="Z8" s="65">
        <f>'Agency South'!AV8</f>
        <v>2452.579999999999</v>
      </c>
      <c r="AA8" s="65">
        <f>'Agency South'!AW8</f>
        <v>0</v>
      </c>
      <c r="AB8" s="65">
        <f>'Agency South'!AX8</f>
        <v>0</v>
      </c>
      <c r="AC8" s="65">
        <f>'Agency South'!AY8</f>
        <v>0</v>
      </c>
      <c r="AD8" s="65">
        <f>'Agency South'!AZ8</f>
        <v>0</v>
      </c>
      <c r="AE8" s="65">
        <f>'Agency South'!BA8</f>
        <v>0</v>
      </c>
      <c r="AH8" s="155" t="s">
        <v>155</v>
      </c>
      <c r="AI8" s="156">
        <f>'Agency North'!$BF$92</f>
        <v>5274</v>
      </c>
      <c r="AJ8" s="157">
        <f>'Agency South'!$BF$92</f>
        <v>2314</v>
      </c>
      <c r="AK8" s="157">
        <f>SUM(AI8:AJ8)</f>
        <v>7588</v>
      </c>
    </row>
    <row r="9" spans="1:37" ht="31.5" customHeight="1" x14ac:dyDescent="0.25">
      <c r="A9" t="s">
        <v>1</v>
      </c>
      <c r="B9" s="66">
        <f>'Agency North'!AP9</f>
        <v>506.363</v>
      </c>
      <c r="C9" s="66">
        <f>'Agency North'!AQ9</f>
        <v>1163.989</v>
      </c>
      <c r="D9" s="66">
        <f>'Agency North'!AR9</f>
        <v>2121.54</v>
      </c>
      <c r="E9" s="66">
        <f>'Agency North'!AS9</f>
        <v>2228.7310000000002</v>
      </c>
      <c r="F9" s="65">
        <f>'Agency North'!AT9</f>
        <v>1652.74</v>
      </c>
      <c r="G9" s="65">
        <f>'Agency North'!AU9</f>
        <v>1644.53</v>
      </c>
      <c r="H9" s="65">
        <f>'Agency North'!AV9</f>
        <v>1880.2609999999984</v>
      </c>
      <c r="I9" s="65">
        <f>'Agency North'!AW9</f>
        <v>0</v>
      </c>
      <c r="J9" s="65">
        <f>'Agency North'!AX9</f>
        <v>0</v>
      </c>
      <c r="K9" s="65">
        <f>'Agency North'!AY9</f>
        <v>0</v>
      </c>
      <c r="L9" s="65">
        <f>'Agency North'!AZ9</f>
        <v>0</v>
      </c>
      <c r="M9" s="65">
        <f>'Agency North'!BA9</f>
        <v>0</v>
      </c>
      <c r="S9" t="s">
        <v>1</v>
      </c>
      <c r="T9" s="6">
        <f>'Agency South'!AP9</f>
        <v>485.90499999999997</v>
      </c>
      <c r="U9" s="6">
        <f>'Agency South'!AQ9</f>
        <v>536.13</v>
      </c>
      <c r="V9" s="6">
        <f>'Agency South'!AR9</f>
        <v>1310.55</v>
      </c>
      <c r="W9" s="6">
        <f>'Agency South'!AS9</f>
        <v>2670.3989999999999</v>
      </c>
      <c r="X9" s="65">
        <f>'Agency South'!AT9</f>
        <v>9797.42</v>
      </c>
      <c r="Y9" s="65">
        <f>'Agency South'!AU9</f>
        <v>4937.8599999999997</v>
      </c>
      <c r="Z9" s="65">
        <f>'Agency South'!AV9</f>
        <v>3897.3770000000027</v>
      </c>
      <c r="AA9" s="65">
        <f>'Agency South'!AW9</f>
        <v>0</v>
      </c>
      <c r="AB9" s="65">
        <f>'Agency South'!AX9</f>
        <v>0</v>
      </c>
      <c r="AC9" s="65">
        <f>'Agency South'!AY9</f>
        <v>0</v>
      </c>
      <c r="AD9" s="65">
        <f>'Agency South'!AZ9</f>
        <v>0</v>
      </c>
      <c r="AE9" s="65">
        <f>'Agency South'!BA9</f>
        <v>0</v>
      </c>
      <c r="AH9" s="155" t="s">
        <v>11</v>
      </c>
      <c r="AI9" s="150">
        <f>'Agency North'!$BF$50</f>
        <v>0.17267158394799351</v>
      </c>
      <c r="AJ9" s="158">
        <f>'Agency South'!$BF$50</f>
        <v>0.21478009700801134</v>
      </c>
      <c r="AK9" s="150">
        <f>'Full Agency'!$BE$49</f>
        <v>0.1910053003222455</v>
      </c>
    </row>
    <row r="10" spans="1:37" ht="31.5" customHeight="1" x14ac:dyDescent="0.25">
      <c r="A10" t="s">
        <v>2</v>
      </c>
      <c r="B10" s="66">
        <f>'Agency North'!AP10</f>
        <v>1340.424</v>
      </c>
      <c r="C10" s="66">
        <f>'Agency North'!AQ10</f>
        <v>1857.0685000000001</v>
      </c>
      <c r="D10" s="66">
        <f>'Agency North'!AR10</f>
        <v>1777.13</v>
      </c>
      <c r="E10" s="66">
        <f>'Agency North'!AS10</f>
        <v>1888.9760000000001</v>
      </c>
      <c r="F10" s="65">
        <f>'Agency North'!AT10</f>
        <v>1737.08</v>
      </c>
      <c r="G10" s="65">
        <f>'Agency North'!AU10</f>
        <v>2199.79</v>
      </c>
      <c r="H10" s="65">
        <f>'Agency North'!AV10</f>
        <v>1632.2584999999992</v>
      </c>
      <c r="I10" s="65">
        <f>'Agency North'!AW10</f>
        <v>0</v>
      </c>
      <c r="J10" s="65">
        <f>'Agency North'!AX10</f>
        <v>0</v>
      </c>
      <c r="K10" s="65">
        <f>'Agency North'!AY10</f>
        <v>0</v>
      </c>
      <c r="L10" s="65">
        <f>'Agency North'!AZ10</f>
        <v>0</v>
      </c>
      <c r="M10" s="65">
        <f>'Agency North'!BA10</f>
        <v>0</v>
      </c>
      <c r="S10" t="s">
        <v>2</v>
      </c>
      <c r="T10" s="6">
        <f>'Agency South'!AP10</f>
        <v>1566.4295</v>
      </c>
      <c r="U10" s="6">
        <f>'Agency South'!AQ10</f>
        <v>1094.9259999999999</v>
      </c>
      <c r="V10" s="6">
        <f>'Agency South'!AR10</f>
        <v>2230.5300000000002</v>
      </c>
      <c r="W10" s="6">
        <f>'Agency South'!AS10</f>
        <v>2192.64</v>
      </c>
      <c r="X10" s="65">
        <f>'Agency South'!AT10</f>
        <v>2223.58</v>
      </c>
      <c r="Y10" s="65">
        <f>'Agency South'!AU10</f>
        <v>1895.13</v>
      </c>
      <c r="Z10" s="65">
        <f>'Agency South'!AV10</f>
        <v>2526.3639999999982</v>
      </c>
      <c r="AA10" s="65">
        <f>'Agency South'!AW10</f>
        <v>0</v>
      </c>
      <c r="AB10" s="65">
        <f>'Agency South'!AX10</f>
        <v>0</v>
      </c>
      <c r="AC10" s="65">
        <f>'Agency South'!AY10</f>
        <v>0</v>
      </c>
      <c r="AD10" s="65">
        <f>'Agency South'!AZ10</f>
        <v>0</v>
      </c>
      <c r="AE10" s="65">
        <f>'Agency South'!BA10</f>
        <v>0</v>
      </c>
      <c r="AH10" s="155" t="s">
        <v>14</v>
      </c>
      <c r="AI10" s="159">
        <f>'Agency North'!$BF$86</f>
        <v>14.401173049391563</v>
      </c>
      <c r="AJ10" s="160">
        <f>'Agency South'!$BF$86</f>
        <v>18.978168868657718</v>
      </c>
      <c r="AK10" s="159">
        <f>'Full Agency'!$BE$86</f>
        <v>16.626615750713896</v>
      </c>
    </row>
    <row r="11" spans="1:37" ht="31.5" customHeight="1" x14ac:dyDescent="0.25">
      <c r="B11" s="66">
        <f>'Agency North'!AP11</f>
        <v>0</v>
      </c>
      <c r="C11" s="66">
        <f>'Agency North'!AQ11</f>
        <v>1074.5830000000001</v>
      </c>
      <c r="D11" s="66">
        <f>'Agency North'!AR11</f>
        <v>800.98</v>
      </c>
      <c r="E11" s="66">
        <f>'Agency North'!AS11</f>
        <v>2179.6849999999999</v>
      </c>
      <c r="F11" s="65">
        <f>'Agency North'!AT11</f>
        <v>894.63</v>
      </c>
      <c r="G11" s="65">
        <f>'Agency North'!AU11</f>
        <v>654.79999999999995</v>
      </c>
      <c r="H11" s="65">
        <f>'Agency North'!AV11</f>
        <v>752.52999999999975</v>
      </c>
      <c r="I11" s="65">
        <f>'Agency North'!AW11</f>
        <v>0</v>
      </c>
      <c r="J11" s="65">
        <f>'Agency North'!AX11</f>
        <v>0</v>
      </c>
      <c r="K11" s="65">
        <f>'Agency North'!AY11</f>
        <v>0</v>
      </c>
      <c r="L11" s="65">
        <f>'Agency North'!AZ11</f>
        <v>0</v>
      </c>
      <c r="M11" s="65">
        <f>'Agency North'!BA11</f>
        <v>0</v>
      </c>
      <c r="T11" s="65">
        <f>'Agency South'!AP11</f>
        <v>0</v>
      </c>
      <c r="U11" s="65">
        <f>'Agency South'!AQ11</f>
        <v>541.452</v>
      </c>
      <c r="V11" s="65">
        <f>'Agency South'!AR11</f>
        <v>608.25</v>
      </c>
      <c r="W11" s="65">
        <f>'Agency South'!AS11</f>
        <v>830.04849999999999</v>
      </c>
      <c r="X11" s="65">
        <f>'Agency South'!AT11</f>
        <v>482.97</v>
      </c>
      <c r="Y11" s="65">
        <f>'Agency South'!AU11</f>
        <v>254.37</v>
      </c>
      <c r="Z11" s="65">
        <f>'Agency South'!AV11</f>
        <v>387.68799999999999</v>
      </c>
      <c r="AA11" s="65">
        <f>'Agency South'!AW11</f>
        <v>0</v>
      </c>
      <c r="AB11" s="65">
        <f>'Agency South'!AX11</f>
        <v>0</v>
      </c>
      <c r="AC11" s="65">
        <f>'Agency South'!AY11</f>
        <v>0</v>
      </c>
      <c r="AD11" s="65">
        <f>'Agency South'!AZ11</f>
        <v>0</v>
      </c>
      <c r="AE11" s="65">
        <f>'Agency South'!BA11</f>
        <v>0</v>
      </c>
      <c r="AH11" s="155" t="s">
        <v>156</v>
      </c>
      <c r="AI11" s="159">
        <f>'Agency North'!$BF$74</f>
        <v>1.6183029249927599</v>
      </c>
      <c r="AJ11" s="160">
        <f>'Agency South'!$BF$74</f>
        <v>2.2854605430093886</v>
      </c>
      <c r="AK11" s="159">
        <f>'Full Agency'!$BE$74</f>
        <v>1.840232322301097</v>
      </c>
    </row>
    <row r="12" spans="1:37" ht="31.5" customHeight="1" x14ac:dyDescent="0.25">
      <c r="B12" s="6">
        <f>SUM(B4:B11)</f>
        <v>12860.545999999998</v>
      </c>
      <c r="C12" s="6">
        <f t="shared" ref="C12:M12" si="0">SUM(C4:C11)</f>
        <v>19993.790000000019</v>
      </c>
      <c r="D12" s="6">
        <f t="shared" si="0"/>
        <v>29783.820000000003</v>
      </c>
      <c r="E12" s="6">
        <f t="shared" si="0"/>
        <v>26742.584000000021</v>
      </c>
      <c r="F12" s="65">
        <f t="shared" si="0"/>
        <v>21954.45</v>
      </c>
      <c r="G12" s="65">
        <f t="shared" si="0"/>
        <v>27361.119999999999</v>
      </c>
      <c r="H12" s="65">
        <f t="shared" si="0"/>
        <v>22251.200000000063</v>
      </c>
      <c r="I12" s="65">
        <f t="shared" si="0"/>
        <v>0</v>
      </c>
      <c r="J12" s="65">
        <f t="shared" si="0"/>
        <v>0</v>
      </c>
      <c r="K12" s="65">
        <f t="shared" si="0"/>
        <v>0</v>
      </c>
      <c r="L12" s="65">
        <f t="shared" si="0"/>
        <v>0</v>
      </c>
      <c r="M12" s="65">
        <f t="shared" si="0"/>
        <v>0</v>
      </c>
      <c r="T12" s="65">
        <f>SUM(T4:T11)</f>
        <v>12769.655000000001</v>
      </c>
      <c r="U12" s="65">
        <f t="shared" ref="U12:AE12" si="1">SUM(U4:U11)</f>
        <v>20969.710000000014</v>
      </c>
      <c r="V12" s="65">
        <f t="shared" si="1"/>
        <v>27560.079999999998</v>
      </c>
      <c r="W12" s="65">
        <f t="shared" si="1"/>
        <v>24462.638000000021</v>
      </c>
      <c r="X12" s="65">
        <f t="shared" si="1"/>
        <v>31187.96</v>
      </c>
      <c r="Y12" s="65">
        <f t="shared" si="1"/>
        <v>30762.36</v>
      </c>
      <c r="Z12" s="65">
        <f t="shared" si="1"/>
        <v>23223.964000000007</v>
      </c>
      <c r="AA12" s="65">
        <f t="shared" si="1"/>
        <v>0</v>
      </c>
      <c r="AB12" s="65">
        <f t="shared" si="1"/>
        <v>0</v>
      </c>
      <c r="AC12" s="65">
        <f t="shared" si="1"/>
        <v>0</v>
      </c>
      <c r="AD12" s="65">
        <f t="shared" si="1"/>
        <v>0</v>
      </c>
      <c r="AE12" s="65">
        <f t="shared" si="1"/>
        <v>0</v>
      </c>
      <c r="AH12" s="155" t="s">
        <v>87</v>
      </c>
      <c r="AI12" s="159">
        <f>AI4/SUM(B43:M43)</f>
        <v>4.186973011607531</v>
      </c>
      <c r="AJ12" s="160">
        <f>AJ4/SUM(B44:E44)</f>
        <v>16.277929371535937</v>
      </c>
      <c r="AK12" s="159">
        <f>AK4/SUM(B45:M45)</f>
        <v>5.8954871166286003</v>
      </c>
    </row>
    <row r="14" spans="1:37" x14ac:dyDescent="0.25">
      <c r="A14" t="s">
        <v>0</v>
      </c>
    </row>
    <row r="15" spans="1:37" x14ac:dyDescent="0.25">
      <c r="A15" t="s">
        <v>48</v>
      </c>
      <c r="B15" s="65">
        <f>SUM(B8:B10)</f>
        <v>3567.1414999999997</v>
      </c>
      <c r="C15" s="65">
        <f t="shared" ref="C15:J15" si="2">SUM(C8:C10)</f>
        <v>6061.5705000000007</v>
      </c>
      <c r="D15" s="65">
        <f t="shared" si="2"/>
        <v>8764.4700000000012</v>
      </c>
      <c r="E15" s="65">
        <f t="shared" si="2"/>
        <v>8317.77</v>
      </c>
      <c r="F15" s="65">
        <f t="shared" si="2"/>
        <v>6427.57</v>
      </c>
      <c r="G15" s="65">
        <f t="shared" si="2"/>
        <v>5783.62</v>
      </c>
      <c r="H15" s="65">
        <f t="shared" si="2"/>
        <v>5557.0004999999956</v>
      </c>
      <c r="I15" s="65">
        <f t="shared" si="2"/>
        <v>0</v>
      </c>
      <c r="J15" s="65">
        <f t="shared" si="2"/>
        <v>0</v>
      </c>
      <c r="K15" s="65">
        <f t="shared" ref="K15:L15" si="3">SUM(K8:K10)</f>
        <v>0</v>
      </c>
      <c r="L15" s="65">
        <f t="shared" si="3"/>
        <v>0</v>
      </c>
      <c r="M15" s="65">
        <f t="shared" ref="M15" si="4">SUM(M8:M10)</f>
        <v>0</v>
      </c>
      <c r="T15" s="65">
        <f t="shared" ref="T15:AB15" si="5">SUM(T8:T10)</f>
        <v>3293.2704999999996</v>
      </c>
      <c r="U15" s="65">
        <f t="shared" si="5"/>
        <v>5427.6689999999999</v>
      </c>
      <c r="V15" s="65">
        <f t="shared" si="5"/>
        <v>9014.5300000000007</v>
      </c>
      <c r="W15" s="65">
        <f t="shared" si="5"/>
        <v>8810.5455000000002</v>
      </c>
      <c r="X15" s="65">
        <f t="shared" si="5"/>
        <v>14291.69</v>
      </c>
      <c r="Y15" s="65">
        <f t="shared" si="5"/>
        <v>11238.560000000001</v>
      </c>
      <c r="Z15" s="65">
        <f t="shared" si="5"/>
        <v>8876.3209999999999</v>
      </c>
      <c r="AA15" s="65">
        <f t="shared" si="5"/>
        <v>0</v>
      </c>
      <c r="AB15" s="65">
        <f t="shared" si="5"/>
        <v>0</v>
      </c>
      <c r="AC15" s="65">
        <f t="shared" ref="AC15:AD15" si="6">SUM(AC8:AC10)</f>
        <v>0</v>
      </c>
      <c r="AD15" s="65">
        <f t="shared" si="6"/>
        <v>0</v>
      </c>
      <c r="AE15" s="65">
        <f t="shared" ref="AE15" si="7">SUM(AE8:AE10)</f>
        <v>0</v>
      </c>
    </row>
    <row r="16" spans="1:37" x14ac:dyDescent="0.25">
      <c r="A16" t="s">
        <v>49</v>
      </c>
      <c r="B16" s="65">
        <f>SUM(B5:B7)</f>
        <v>8195.817500000001</v>
      </c>
      <c r="C16" s="65">
        <f t="shared" ref="C16:J16" si="8">SUM(C5:C7)</f>
        <v>10741.109000000019</v>
      </c>
      <c r="D16" s="65">
        <f t="shared" si="8"/>
        <v>18103.16</v>
      </c>
      <c r="E16" s="65">
        <f t="shared" si="8"/>
        <v>14029.50100000002</v>
      </c>
      <c r="F16" s="65">
        <f t="shared" si="8"/>
        <v>12405.45</v>
      </c>
      <c r="G16" s="65">
        <f t="shared" si="8"/>
        <v>19064.870000000003</v>
      </c>
      <c r="H16" s="65">
        <f t="shared" si="8"/>
        <v>14082.212500000065</v>
      </c>
      <c r="I16" s="65">
        <f t="shared" si="8"/>
        <v>0</v>
      </c>
      <c r="J16" s="65">
        <f t="shared" si="8"/>
        <v>0</v>
      </c>
      <c r="K16" s="65">
        <f t="shared" ref="K16:L16" si="9">SUM(K5:K7)</f>
        <v>0</v>
      </c>
      <c r="L16" s="65">
        <f t="shared" si="9"/>
        <v>0</v>
      </c>
      <c r="M16" s="65">
        <f t="shared" ref="M16" si="10">SUM(M5:M7)</f>
        <v>0</v>
      </c>
      <c r="T16" s="65">
        <f t="shared" ref="T16:AB16" si="11">SUM(T5:T7)</f>
        <v>5542.8894999999993</v>
      </c>
      <c r="U16" s="65">
        <f t="shared" si="11"/>
        <v>7727.6629999999996</v>
      </c>
      <c r="V16" s="65">
        <f t="shared" si="11"/>
        <v>9966.7000000000007</v>
      </c>
      <c r="W16" s="65">
        <f t="shared" si="11"/>
        <v>8304.3580000000002</v>
      </c>
      <c r="X16" s="65">
        <f t="shared" si="11"/>
        <v>10312.86</v>
      </c>
      <c r="Y16" s="65">
        <f t="shared" si="11"/>
        <v>11647.939999999999</v>
      </c>
      <c r="Z16" s="65">
        <f t="shared" si="11"/>
        <v>8524.3359999999921</v>
      </c>
      <c r="AA16" s="65">
        <f t="shared" si="11"/>
        <v>0</v>
      </c>
      <c r="AB16" s="65">
        <f t="shared" si="11"/>
        <v>0</v>
      </c>
      <c r="AC16" s="65">
        <f t="shared" ref="AC16:AD16" si="12">SUM(AC5:AC7)</f>
        <v>0</v>
      </c>
      <c r="AD16" s="65">
        <f t="shared" si="12"/>
        <v>0</v>
      </c>
      <c r="AE16" s="65">
        <f t="shared" ref="AE16" si="13">SUM(AE5:AE7)</f>
        <v>0</v>
      </c>
    </row>
    <row r="17" spans="1:31" x14ac:dyDescent="0.25">
      <c r="A17" t="s">
        <v>4</v>
      </c>
      <c r="B17" s="65">
        <f>B4</f>
        <v>1097.587</v>
      </c>
      <c r="C17" s="65">
        <f t="shared" ref="C17:J17" si="14">C4</f>
        <v>2116.5275000000001</v>
      </c>
      <c r="D17" s="65">
        <f t="shared" si="14"/>
        <v>2115.21</v>
      </c>
      <c r="E17" s="65">
        <f t="shared" si="14"/>
        <v>2215.6280000000002</v>
      </c>
      <c r="F17" s="65">
        <f t="shared" si="14"/>
        <v>2226.8000000000002</v>
      </c>
      <c r="G17" s="65">
        <f t="shared" si="14"/>
        <v>1857.83</v>
      </c>
      <c r="H17" s="65">
        <f t="shared" si="14"/>
        <v>1859.4570000000001</v>
      </c>
      <c r="I17" s="65">
        <f t="shared" si="14"/>
        <v>0</v>
      </c>
      <c r="J17" s="65">
        <f t="shared" si="14"/>
        <v>0</v>
      </c>
      <c r="K17" s="65">
        <f t="shared" ref="K17:L17" si="15">K4</f>
        <v>0</v>
      </c>
      <c r="L17" s="65">
        <f t="shared" si="15"/>
        <v>0</v>
      </c>
      <c r="M17" s="65">
        <f t="shared" ref="M17" si="16">M4</f>
        <v>0</v>
      </c>
      <c r="T17" s="65">
        <f t="shared" ref="T17:AB17" si="17">T4</f>
        <v>3933.4949999999999</v>
      </c>
      <c r="U17" s="65">
        <f t="shared" si="17"/>
        <v>7272.9260000000104</v>
      </c>
      <c r="V17" s="65">
        <f t="shared" si="17"/>
        <v>7970.6</v>
      </c>
      <c r="W17" s="65">
        <f t="shared" si="17"/>
        <v>6517.6860000000197</v>
      </c>
      <c r="X17" s="65">
        <f t="shared" si="17"/>
        <v>6100.44</v>
      </c>
      <c r="Y17" s="65">
        <f t="shared" si="17"/>
        <v>7621.49</v>
      </c>
      <c r="Z17" s="65">
        <f t="shared" si="17"/>
        <v>5435.6190000000161</v>
      </c>
      <c r="AA17" s="65">
        <f t="shared" si="17"/>
        <v>0</v>
      </c>
      <c r="AB17" s="65">
        <f t="shared" si="17"/>
        <v>0</v>
      </c>
      <c r="AC17" s="65">
        <f t="shared" ref="AC17:AD17" si="18">AC4</f>
        <v>0</v>
      </c>
      <c r="AD17" s="65">
        <f t="shared" si="18"/>
        <v>0</v>
      </c>
      <c r="AE17" s="65">
        <f t="shared" ref="AE17" si="19">AE4</f>
        <v>0</v>
      </c>
    </row>
    <row r="18" spans="1:31" x14ac:dyDescent="0.25">
      <c r="B18" s="65"/>
      <c r="C18" s="65"/>
      <c r="D18" s="65"/>
      <c r="E18" s="65"/>
      <c r="F18" s="65"/>
      <c r="G18" s="65"/>
      <c r="H18" s="65"/>
      <c r="I18" s="65"/>
      <c r="J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</row>
    <row r="19" spans="1:31" x14ac:dyDescent="0.25">
      <c r="A19" t="s">
        <v>58</v>
      </c>
      <c r="S19" t="s">
        <v>58</v>
      </c>
    </row>
    <row r="20" spans="1:31" x14ac:dyDescent="0.25">
      <c r="A20" t="s">
        <v>48</v>
      </c>
      <c r="B20" s="8">
        <f>B15/B$12</f>
        <v>0.27737092188776435</v>
      </c>
      <c r="C20" s="8">
        <f t="shared" ref="C20:J20" si="20">C15/C$12</f>
        <v>0.30317266011096422</v>
      </c>
      <c r="D20" s="8">
        <f t="shared" si="20"/>
        <v>0.2942695060606732</v>
      </c>
      <c r="E20" s="8">
        <f t="shared" si="20"/>
        <v>0.3110309011275797</v>
      </c>
      <c r="F20" s="8">
        <f t="shared" si="20"/>
        <v>0.29276843646732209</v>
      </c>
      <c r="G20" s="8">
        <f t="shared" si="20"/>
        <v>0.21138096686100569</v>
      </c>
      <c r="H20" s="8">
        <f t="shared" si="20"/>
        <v>0.24973936237146671</v>
      </c>
      <c r="I20" s="8" t="e">
        <f t="shared" si="20"/>
        <v>#DIV/0!</v>
      </c>
      <c r="J20" s="8" t="e">
        <f t="shared" si="20"/>
        <v>#DIV/0!</v>
      </c>
      <c r="K20" s="8" t="e">
        <f t="shared" ref="K20:L20" si="21">K15/K$12</f>
        <v>#DIV/0!</v>
      </c>
      <c r="L20" s="8" t="e">
        <f t="shared" si="21"/>
        <v>#DIV/0!</v>
      </c>
      <c r="M20" s="8" t="e">
        <f t="shared" ref="M20" si="22">M15/M$12</f>
        <v>#DIV/0!</v>
      </c>
      <c r="S20" t="s">
        <v>48</v>
      </c>
      <c r="T20" s="8">
        <f t="shared" ref="T20:AB20" si="23">T15/T$12</f>
        <v>0.25789815778108333</v>
      </c>
      <c r="U20" s="8">
        <f t="shared" si="23"/>
        <v>0.25883376546456754</v>
      </c>
      <c r="V20" s="8">
        <f t="shared" si="23"/>
        <v>0.32708649612047574</v>
      </c>
      <c r="W20" s="8">
        <f t="shared" si="23"/>
        <v>0.36016334378982318</v>
      </c>
      <c r="X20" s="8">
        <f t="shared" si="23"/>
        <v>0.4582438222955269</v>
      </c>
      <c r="Y20" s="8">
        <f t="shared" si="23"/>
        <v>0.36533477925620794</v>
      </c>
      <c r="Z20" s="8">
        <f t="shared" si="23"/>
        <v>0.38220525143769585</v>
      </c>
      <c r="AA20" s="8" t="e">
        <f t="shared" si="23"/>
        <v>#DIV/0!</v>
      </c>
      <c r="AB20" s="8" t="e">
        <f t="shared" si="23"/>
        <v>#DIV/0!</v>
      </c>
      <c r="AC20" s="8" t="e">
        <f t="shared" ref="AC20:AD20" si="24">AC15/AC$12</f>
        <v>#DIV/0!</v>
      </c>
      <c r="AD20" s="8" t="e">
        <f t="shared" si="24"/>
        <v>#DIV/0!</v>
      </c>
      <c r="AE20" s="8" t="e">
        <f t="shared" ref="AE20" si="25">AE15/AE$12</f>
        <v>#DIV/0!</v>
      </c>
    </row>
    <row r="21" spans="1:31" x14ac:dyDescent="0.25">
      <c r="A21" t="s">
        <v>49</v>
      </c>
      <c r="B21" s="8">
        <f t="shared" ref="B21:J21" si="26">B16/B$12</f>
        <v>0.63728379028386528</v>
      </c>
      <c r="C21" s="8">
        <f t="shared" si="26"/>
        <v>0.53722225751095753</v>
      </c>
      <c r="D21" s="8">
        <f t="shared" si="26"/>
        <v>0.60781860755269124</v>
      </c>
      <c r="E21" s="8">
        <f t="shared" si="26"/>
        <v>0.52461276741245388</v>
      </c>
      <c r="F21" s="8">
        <f t="shared" si="26"/>
        <v>0.56505400955159435</v>
      </c>
      <c r="G21" s="8">
        <f t="shared" si="26"/>
        <v>0.69678690053623549</v>
      </c>
      <c r="H21" s="8">
        <f t="shared" si="26"/>
        <v>0.63287429442007737</v>
      </c>
      <c r="I21" s="8" t="e">
        <f t="shared" si="26"/>
        <v>#DIV/0!</v>
      </c>
      <c r="J21" s="8" t="e">
        <f t="shared" si="26"/>
        <v>#DIV/0!</v>
      </c>
      <c r="K21" s="8" t="e">
        <f t="shared" ref="K21:L21" si="27">K16/K$12</f>
        <v>#DIV/0!</v>
      </c>
      <c r="L21" s="8" t="e">
        <f t="shared" si="27"/>
        <v>#DIV/0!</v>
      </c>
      <c r="M21" s="8" t="e">
        <f t="shared" ref="M21" si="28">M16/M$12</f>
        <v>#DIV/0!</v>
      </c>
      <c r="S21" t="s">
        <v>49</v>
      </c>
      <c r="T21" s="8">
        <f t="shared" ref="T21:AB21" si="29">T16/T$12</f>
        <v>0.43406728686092139</v>
      </c>
      <c r="U21" s="8">
        <f t="shared" si="29"/>
        <v>0.36851549210742518</v>
      </c>
      <c r="V21" s="8">
        <f t="shared" si="29"/>
        <v>0.36163537986827327</v>
      </c>
      <c r="W21" s="8">
        <f t="shared" si="29"/>
        <v>0.33947107421529898</v>
      </c>
      <c r="X21" s="8">
        <f t="shared" si="29"/>
        <v>0.33066798854429724</v>
      </c>
      <c r="Y21" s="8">
        <f t="shared" si="29"/>
        <v>0.37864260089277929</v>
      </c>
      <c r="Z21" s="8">
        <f t="shared" si="29"/>
        <v>0.36704913941478678</v>
      </c>
      <c r="AA21" s="8" t="e">
        <f t="shared" si="29"/>
        <v>#DIV/0!</v>
      </c>
      <c r="AB21" s="8" t="e">
        <f t="shared" si="29"/>
        <v>#DIV/0!</v>
      </c>
      <c r="AC21" s="8" t="e">
        <f t="shared" ref="AC21:AD21" si="30">AC16/AC$12</f>
        <v>#DIV/0!</v>
      </c>
      <c r="AD21" s="8" t="e">
        <f t="shared" si="30"/>
        <v>#DIV/0!</v>
      </c>
      <c r="AE21" s="8" t="e">
        <f t="shared" ref="AE21" si="31">AE16/AE$12</f>
        <v>#DIV/0!</v>
      </c>
    </row>
    <row r="22" spans="1:31" x14ac:dyDescent="0.25">
      <c r="A22" t="s">
        <v>4</v>
      </c>
      <c r="B22" s="8">
        <f t="shared" ref="B22:J22" si="32">B17/B$12</f>
        <v>8.53452878283706E-2</v>
      </c>
      <c r="C22" s="8">
        <f t="shared" si="32"/>
        <v>0.10585924429535361</v>
      </c>
      <c r="D22" s="8">
        <f t="shared" si="32"/>
        <v>7.1018761193157892E-2</v>
      </c>
      <c r="E22" s="8">
        <f t="shared" si="32"/>
        <v>8.285018381170639E-2</v>
      </c>
      <c r="F22" s="8">
        <f t="shared" si="32"/>
        <v>0.10142818426332703</v>
      </c>
      <c r="G22" s="8">
        <f t="shared" si="32"/>
        <v>6.7900363727800617E-2</v>
      </c>
      <c r="H22" s="8">
        <f t="shared" si="32"/>
        <v>8.356659416121355E-2</v>
      </c>
      <c r="I22" s="8" t="e">
        <f t="shared" si="32"/>
        <v>#DIV/0!</v>
      </c>
      <c r="J22" s="8" t="e">
        <f t="shared" si="32"/>
        <v>#DIV/0!</v>
      </c>
      <c r="K22" s="8" t="e">
        <f t="shared" ref="K22:L22" si="33">K17/K$12</f>
        <v>#DIV/0!</v>
      </c>
      <c r="L22" s="8" t="e">
        <f t="shared" si="33"/>
        <v>#DIV/0!</v>
      </c>
      <c r="M22" s="8" t="e">
        <f t="shared" ref="M22" si="34">M17/M$12</f>
        <v>#DIV/0!</v>
      </c>
      <c r="S22" t="s">
        <v>4</v>
      </c>
      <c r="T22" s="8">
        <f t="shared" ref="T22:AB22" si="35">T17/T$12</f>
        <v>0.30803455535799518</v>
      </c>
      <c r="U22" s="8">
        <f t="shared" si="35"/>
        <v>0.34683007061137255</v>
      </c>
      <c r="V22" s="8">
        <f t="shared" si="35"/>
        <v>0.28920815904743385</v>
      </c>
      <c r="W22" s="8">
        <f t="shared" si="35"/>
        <v>0.26643430688055858</v>
      </c>
      <c r="X22" s="8">
        <f t="shared" si="35"/>
        <v>0.19560240554367775</v>
      </c>
      <c r="Y22" s="8">
        <f t="shared" si="35"/>
        <v>0.24775374841202039</v>
      </c>
      <c r="Z22" s="8">
        <f t="shared" si="35"/>
        <v>0.23405216267128276</v>
      </c>
      <c r="AA22" s="8" t="e">
        <f t="shared" si="35"/>
        <v>#DIV/0!</v>
      </c>
      <c r="AB22" s="8" t="e">
        <f t="shared" si="35"/>
        <v>#DIV/0!</v>
      </c>
      <c r="AC22" s="8" t="e">
        <f t="shared" ref="AC22:AD22" si="36">AC17/AC$12</f>
        <v>#DIV/0!</v>
      </c>
      <c r="AD22" s="8" t="e">
        <f t="shared" si="36"/>
        <v>#DIV/0!</v>
      </c>
      <c r="AE22" s="8" t="e">
        <f t="shared" ref="AE22" si="37">AE17/AE$12</f>
        <v>#DIV/0!</v>
      </c>
    </row>
    <row r="42" spans="1:80" x14ac:dyDescent="0.25">
      <c r="A42" s="2" t="s">
        <v>59</v>
      </c>
      <c r="B42" s="3">
        <f>'Agency South'!AP17</f>
        <v>42736</v>
      </c>
      <c r="C42" s="3">
        <f>'Agency South'!AQ17</f>
        <v>42767</v>
      </c>
      <c r="D42" s="3">
        <f>'Agency South'!AR17</f>
        <v>42795</v>
      </c>
      <c r="E42" s="3">
        <f>'Agency South'!AS17</f>
        <v>42826</v>
      </c>
      <c r="F42" s="3">
        <f>'Agency South'!AT17</f>
        <v>42856</v>
      </c>
      <c r="G42" s="3">
        <f>'Agency South'!AU17</f>
        <v>42887</v>
      </c>
      <c r="H42" s="3">
        <f>'Agency South'!AV17</f>
        <v>42917</v>
      </c>
      <c r="I42" s="3">
        <f>'Agency South'!AW17</f>
        <v>42948</v>
      </c>
      <c r="J42" s="3">
        <f>'Agency South'!AX17</f>
        <v>42979</v>
      </c>
      <c r="K42" s="3">
        <f>'Agency South'!AY17</f>
        <v>43009</v>
      </c>
      <c r="L42" s="3">
        <f>'Agency South'!AZ17</f>
        <v>43040</v>
      </c>
      <c r="M42" s="3">
        <f>'Agency South'!BA17</f>
        <v>43070</v>
      </c>
    </row>
    <row r="43" spans="1:80" x14ac:dyDescent="0.25">
      <c r="A43" t="s">
        <v>56</v>
      </c>
      <c r="B43" s="7">
        <f>'Agency North'!AP26</f>
        <v>6810</v>
      </c>
      <c r="C43" s="7">
        <f>'Agency North'!AQ26</f>
        <v>6667</v>
      </c>
      <c r="D43" s="7">
        <f>'Agency North'!AR26</f>
        <v>5243</v>
      </c>
      <c r="E43" s="7">
        <f>'Agency North'!AS26</f>
        <v>4730</v>
      </c>
      <c r="F43" s="65">
        <f>'Agency North'!AT26</f>
        <v>4944</v>
      </c>
      <c r="G43" s="65">
        <f>'Agency North'!AU26</f>
        <v>5524</v>
      </c>
      <c r="H43" s="65">
        <f>'Agency North'!AV26</f>
        <v>5453</v>
      </c>
      <c r="I43" s="65">
        <f>'Agency North'!AW26</f>
        <v>0</v>
      </c>
      <c r="J43" s="65">
        <f>'Agency North'!AX26</f>
        <v>0</v>
      </c>
      <c r="K43" s="65">
        <f>'Agency North'!AY26</f>
        <v>0</v>
      </c>
      <c r="L43" s="65">
        <f>'Agency North'!AZ26</f>
        <v>0</v>
      </c>
      <c r="M43" s="65">
        <f>'Agency North'!BA26</f>
        <v>0</v>
      </c>
    </row>
    <row r="44" spans="1:80" x14ac:dyDescent="0.25">
      <c r="A44" t="s">
        <v>57</v>
      </c>
      <c r="B44" s="7">
        <f>'Agency South'!AP26</f>
        <v>3220</v>
      </c>
      <c r="C44" s="7">
        <f>'Agency South'!AQ26</f>
        <v>2564</v>
      </c>
      <c r="D44" s="7">
        <f>'Agency South'!AR26</f>
        <v>2534</v>
      </c>
      <c r="E44" s="7">
        <f>'Agency South'!AS26</f>
        <v>2327</v>
      </c>
      <c r="F44" s="65">
        <f>'Agency South'!AT26</f>
        <v>2436</v>
      </c>
      <c r="G44" s="65">
        <f>'Agency South'!AU26</f>
        <v>2491</v>
      </c>
      <c r="H44" s="65">
        <f>'Agency South'!AV26</f>
        <v>2410</v>
      </c>
      <c r="I44" s="65">
        <f>'Agency South'!AW26</f>
        <v>0</v>
      </c>
      <c r="J44" s="65">
        <f>'Agency South'!AX26</f>
        <v>0</v>
      </c>
      <c r="K44" s="65">
        <f>'Agency South'!AY26</f>
        <v>0</v>
      </c>
      <c r="L44" s="65">
        <f>'Agency South'!AZ26</f>
        <v>0</v>
      </c>
      <c r="M44" s="65">
        <f>'Agency South'!BA26</f>
        <v>0</v>
      </c>
    </row>
    <row r="45" spans="1:80" x14ac:dyDescent="0.25">
      <c r="B45" s="6">
        <f>SUM(B43:B44)</f>
        <v>10030</v>
      </c>
      <c r="C45" s="6">
        <f t="shared" ref="C45:L45" si="38">SUM(C43:C44)</f>
        <v>9231</v>
      </c>
      <c r="D45" s="6">
        <f t="shared" si="38"/>
        <v>7777</v>
      </c>
      <c r="E45" s="6">
        <f t="shared" si="38"/>
        <v>7057</v>
      </c>
      <c r="F45" s="65">
        <f t="shared" si="38"/>
        <v>7380</v>
      </c>
      <c r="G45" s="65">
        <f t="shared" si="38"/>
        <v>8015</v>
      </c>
      <c r="H45" s="65">
        <f t="shared" si="38"/>
        <v>7863</v>
      </c>
      <c r="I45" s="65">
        <f t="shared" si="38"/>
        <v>0</v>
      </c>
      <c r="J45" s="65">
        <f t="shared" si="38"/>
        <v>0</v>
      </c>
      <c r="K45" s="65">
        <f t="shared" si="38"/>
        <v>0</v>
      </c>
      <c r="L45" s="65">
        <f t="shared" si="38"/>
        <v>0</v>
      </c>
      <c r="M45" s="65">
        <f t="shared" ref="M45" si="39">SUM(M43:M44)</f>
        <v>0</v>
      </c>
    </row>
    <row r="47" spans="1:80" x14ac:dyDescent="0.25">
      <c r="AG47" s="2" t="s">
        <v>11</v>
      </c>
      <c r="AH47" s="3">
        <v>42370</v>
      </c>
      <c r="AI47" s="3">
        <v>42401</v>
      </c>
      <c r="AJ47" s="3">
        <v>42430</v>
      </c>
      <c r="AK47" s="3">
        <v>42461</v>
      </c>
      <c r="AL47" s="3">
        <v>42491</v>
      </c>
      <c r="AM47" s="3">
        <v>42522</v>
      </c>
      <c r="AN47" s="3">
        <v>42552</v>
      </c>
      <c r="AO47" s="3">
        <v>42583</v>
      </c>
      <c r="AP47" s="3">
        <v>42614</v>
      </c>
      <c r="AQ47" s="3">
        <v>42644</v>
      </c>
      <c r="AR47" s="3">
        <v>42675</v>
      </c>
      <c r="AS47" s="3">
        <v>42705</v>
      </c>
      <c r="AT47" s="108">
        <v>42736</v>
      </c>
      <c r="AU47" s="108">
        <v>42767</v>
      </c>
      <c r="AV47" s="108">
        <v>42795</v>
      </c>
      <c r="AW47" s="108">
        <v>42826</v>
      </c>
      <c r="AX47" s="108">
        <v>42856</v>
      </c>
      <c r="AY47" s="108">
        <v>42887</v>
      </c>
      <c r="AZ47" s="108">
        <v>42917</v>
      </c>
      <c r="CB47" s="108">
        <v>42948</v>
      </c>
    </row>
    <row r="48" spans="1:80" x14ac:dyDescent="0.25">
      <c r="AG48" t="s">
        <v>4</v>
      </c>
      <c r="AH48" s="8">
        <v>0.46632124352331605</v>
      </c>
      <c r="AI48" s="8">
        <v>0.35193133047210301</v>
      </c>
      <c r="AJ48" s="8">
        <v>0.55555555555555558</v>
      </c>
      <c r="AK48" s="8">
        <v>0.43404255319148938</v>
      </c>
      <c r="AL48" s="8">
        <v>0.4366812227074236</v>
      </c>
      <c r="AM48" s="8">
        <v>0.58447488584474883</v>
      </c>
      <c r="AN48" s="8">
        <v>0.44660194174757284</v>
      </c>
      <c r="AO48" s="8">
        <v>0.48205128205128206</v>
      </c>
      <c r="AP48" s="8">
        <v>0.5368421052631579</v>
      </c>
      <c r="AQ48" s="8">
        <v>0.44919786096256686</v>
      </c>
      <c r="AR48" s="8">
        <v>0.45901639344262296</v>
      </c>
      <c r="AS48" s="8">
        <v>0.58959537572254339</v>
      </c>
      <c r="AT48" s="8">
        <v>0.71052631578947367</v>
      </c>
      <c r="AU48" s="8">
        <v>0.69444444444444442</v>
      </c>
      <c r="AV48" s="8">
        <v>0.74125874125874125</v>
      </c>
      <c r="AW48" s="8">
        <v>0.71684587813620071</v>
      </c>
      <c r="AX48" s="8">
        <v>0.68913857677902624</v>
      </c>
      <c r="AY48" s="8">
        <v>0.73359073359073357</v>
      </c>
      <c r="AZ48" s="8">
        <v>0.63745019920318724</v>
      </c>
      <c r="CB48" s="8">
        <v>0</v>
      </c>
    </row>
    <row r="49" spans="1:80" x14ac:dyDescent="0.25">
      <c r="AG49" t="s">
        <v>5</v>
      </c>
      <c r="AH49" s="8">
        <v>0.14805520702634881</v>
      </c>
      <c r="AI49" s="8">
        <v>0.31421446384039903</v>
      </c>
      <c r="AJ49" s="8">
        <v>0.68486916951080778</v>
      </c>
      <c r="AK49" s="8">
        <v>0.3973941368078176</v>
      </c>
      <c r="AL49" s="8">
        <v>0.46249033255993816</v>
      </c>
      <c r="AM49" s="8">
        <v>0.5625</v>
      </c>
      <c r="AN49" s="8">
        <v>0.3225516621743037</v>
      </c>
      <c r="AO49" s="8">
        <v>0.41354903943377147</v>
      </c>
      <c r="AP49" s="8">
        <v>0.47779215178956447</v>
      </c>
      <c r="AQ49" s="8">
        <v>0.35385242560130453</v>
      </c>
      <c r="AR49" s="8">
        <v>0.32586068855084066</v>
      </c>
      <c r="AS49" s="8">
        <v>0.55108579565681737</v>
      </c>
      <c r="AT49" s="8">
        <v>0.15952143569292124</v>
      </c>
      <c r="AU49" s="8">
        <v>0.41827541827541825</v>
      </c>
      <c r="AV49" s="8">
        <v>0.52626892252894031</v>
      </c>
      <c r="AW49" s="8">
        <v>0.42990654205607476</v>
      </c>
      <c r="AX49" s="8">
        <v>0.4580886278697277</v>
      </c>
      <c r="AY49" s="8">
        <v>0.68955111278762726</v>
      </c>
      <c r="AZ49" s="8">
        <v>0.3576388888888889</v>
      </c>
      <c r="CB49" s="8">
        <v>0</v>
      </c>
    </row>
    <row r="50" spans="1:80" x14ac:dyDescent="0.25">
      <c r="AG50" t="s">
        <v>6</v>
      </c>
      <c r="AH50" s="8">
        <v>0.15260454878943508</v>
      </c>
      <c r="AI50" s="8">
        <v>0.14088050314465408</v>
      </c>
      <c r="AJ50" s="8">
        <v>0.24685138539042822</v>
      </c>
      <c r="AK50" s="8">
        <v>0.38940092165898615</v>
      </c>
      <c r="AL50" s="8">
        <v>0.26557377049180325</v>
      </c>
      <c r="AM50" s="8">
        <v>0.36221701795472289</v>
      </c>
      <c r="AN50" s="8">
        <v>0.29600394671928959</v>
      </c>
      <c r="AO50" s="8">
        <v>0.20689655172413793</v>
      </c>
      <c r="AP50" s="8">
        <v>0.31697341513292432</v>
      </c>
      <c r="AQ50" s="8">
        <v>0.26117136659436008</v>
      </c>
      <c r="AR50" s="8">
        <v>0.2565573770491803</v>
      </c>
      <c r="AS50" s="8">
        <v>0.30551053484602919</v>
      </c>
      <c r="AT50" s="8">
        <v>0.15649676956209618</v>
      </c>
      <c r="AU50" s="8">
        <v>0.11682476285571643</v>
      </c>
      <c r="AV50" s="8">
        <v>0.35400516795865633</v>
      </c>
      <c r="AW50" s="8">
        <v>0.25382538253825382</v>
      </c>
      <c r="AX50" s="8">
        <v>0.20113314447592068</v>
      </c>
      <c r="AY50" s="8">
        <v>0.21503017004936917</v>
      </c>
      <c r="AZ50" s="8">
        <v>0.1875</v>
      </c>
      <c r="CB50" s="8">
        <v>0</v>
      </c>
    </row>
    <row r="51" spans="1:80" x14ac:dyDescent="0.25">
      <c r="AG51" t="s">
        <v>7</v>
      </c>
      <c r="AH51" s="8">
        <v>0.15241057542768274</v>
      </c>
      <c r="AI51" s="8">
        <v>0.15180102915951973</v>
      </c>
      <c r="AJ51" s="8">
        <v>0.1540041067761807</v>
      </c>
      <c r="AK51" s="8">
        <v>0.11513463324048283</v>
      </c>
      <c r="AL51" s="8">
        <v>0.25380710659898476</v>
      </c>
      <c r="AM51" s="8">
        <v>0.25799793601651189</v>
      </c>
      <c r="AN51" s="8">
        <v>0.17298679164891351</v>
      </c>
      <c r="AO51" s="8">
        <v>0.19660582772974705</v>
      </c>
      <c r="AP51" s="8">
        <v>0.17437722419928825</v>
      </c>
      <c r="AQ51" s="8">
        <v>0.12512873326467558</v>
      </c>
      <c r="AR51" s="8">
        <v>0.16029776674937965</v>
      </c>
      <c r="AS51" s="8">
        <v>0.2209796466114963</v>
      </c>
      <c r="AT51" s="8">
        <v>0.10175288584865327</v>
      </c>
      <c r="AU51" s="8">
        <v>0.16510538641686182</v>
      </c>
      <c r="AV51" s="8">
        <v>0.12029109589041095</v>
      </c>
      <c r="AW51" s="8">
        <v>0.1321144205249189</v>
      </c>
      <c r="AX51" s="8">
        <v>0.14446580609722603</v>
      </c>
      <c r="AY51" s="8">
        <v>0.11068883610451306</v>
      </c>
      <c r="AZ51" s="8">
        <v>0.10388219544846052</v>
      </c>
      <c r="CB51" s="8">
        <v>0</v>
      </c>
    </row>
    <row r="52" spans="1:80" x14ac:dyDescent="0.25">
      <c r="AG52" t="s">
        <v>8</v>
      </c>
      <c r="AH52" s="8">
        <v>0.15224063842848373</v>
      </c>
      <c r="AI52" s="8">
        <v>0.13496932515337423</v>
      </c>
      <c r="AJ52" s="8">
        <v>0.25184456468273486</v>
      </c>
      <c r="AK52" s="8">
        <v>0.16524472384373598</v>
      </c>
      <c r="AL52" s="8">
        <v>0.12979351032448377</v>
      </c>
      <c r="AM52" s="8">
        <v>0.15099337748344371</v>
      </c>
      <c r="AN52" s="8">
        <v>0.17397998460354119</v>
      </c>
      <c r="AO52" s="8">
        <v>0.18213866039952997</v>
      </c>
      <c r="AP52" s="8">
        <v>0.16511318242343542</v>
      </c>
      <c r="AQ52" s="8">
        <v>0.11564407324124638</v>
      </c>
      <c r="AR52" s="8">
        <v>8.2213438735177863E-2</v>
      </c>
      <c r="AS52" s="8">
        <v>0.15712187958883994</v>
      </c>
      <c r="AT52" s="8">
        <v>6.5412186379928322E-2</v>
      </c>
      <c r="AU52" s="8">
        <v>0.13403416557161629</v>
      </c>
      <c r="AV52" s="8">
        <v>0.23483619850794679</v>
      </c>
      <c r="AW52" s="8">
        <v>0.19096443447612946</v>
      </c>
      <c r="AX52" s="8">
        <v>0.13465952563121653</v>
      </c>
      <c r="AY52" s="8">
        <v>0.14401525989508823</v>
      </c>
      <c r="AZ52" s="8">
        <v>0.15106732348111659</v>
      </c>
      <c r="CB52" s="8">
        <v>0</v>
      </c>
    </row>
    <row r="53" spans="1:80" x14ac:dyDescent="0.25">
      <c r="AG53" t="s">
        <v>1</v>
      </c>
      <c r="AH53" s="8">
        <v>0.13077939233817701</v>
      </c>
      <c r="AI53" s="8">
        <v>0.13165769000598443</v>
      </c>
      <c r="AJ53" s="8">
        <v>0.20792079207920791</v>
      </c>
      <c r="AK53" s="8">
        <v>0.18163869693978282</v>
      </c>
      <c r="AL53" s="8">
        <v>0.17621980104216012</v>
      </c>
      <c r="AM53" s="8">
        <v>0.21156432093231733</v>
      </c>
      <c r="AN53" s="8">
        <v>0.13830227743271223</v>
      </c>
      <c r="AO53" s="8">
        <v>0.11882046834345186</v>
      </c>
      <c r="AP53" s="8">
        <v>0.13398058252427184</v>
      </c>
      <c r="AQ53" s="8">
        <v>0.11239337681886603</v>
      </c>
      <c r="AR53" s="8">
        <v>0.13240740740740742</v>
      </c>
      <c r="AS53" s="8">
        <v>0.21205643437366395</v>
      </c>
      <c r="AT53" s="8">
        <v>5.1013277428371771E-2</v>
      </c>
      <c r="AU53" s="8">
        <v>8.2529888160431927E-2</v>
      </c>
      <c r="AV53" s="8">
        <v>0.16767676767676767</v>
      </c>
      <c r="AW53" s="8">
        <v>0.17007125890736341</v>
      </c>
      <c r="AX53" s="8">
        <v>0.14401363442692799</v>
      </c>
      <c r="AY53" s="8">
        <v>0.13333333333333333</v>
      </c>
      <c r="AZ53" s="8">
        <v>0.10559886605244508</v>
      </c>
      <c r="CB53" s="8">
        <v>0</v>
      </c>
    </row>
    <row r="54" spans="1:80" x14ac:dyDescent="0.25">
      <c r="AG54" t="s">
        <v>2</v>
      </c>
      <c r="AH54" s="8">
        <v>0.13443396226415094</v>
      </c>
      <c r="AI54" s="8">
        <v>0.10420841683366733</v>
      </c>
      <c r="AJ54" s="8">
        <v>0.19557195571955718</v>
      </c>
      <c r="AK54" s="8">
        <v>0.14529914529914531</v>
      </c>
      <c r="AL54" s="8">
        <v>0.1595900439238653</v>
      </c>
      <c r="AM54" s="8">
        <v>0.22996057818659657</v>
      </c>
      <c r="AN54" s="8">
        <v>0.14932680538555693</v>
      </c>
      <c r="AO54" s="8">
        <v>0.15247634947134112</v>
      </c>
      <c r="AP54" s="8">
        <v>0.15478615071283094</v>
      </c>
      <c r="AQ54" s="8">
        <v>0.14134924277191371</v>
      </c>
      <c r="AR54" s="8">
        <v>0.1317467063323417</v>
      </c>
      <c r="AS54" s="8">
        <v>0.2</v>
      </c>
      <c r="AT54" s="8">
        <v>7.3658365485794464E-2</v>
      </c>
      <c r="AU54" s="8">
        <v>9.8332620778110308E-2</v>
      </c>
      <c r="AV54" s="8">
        <v>0.16483516483516483</v>
      </c>
      <c r="AW54" s="8">
        <v>0.17766497461928935</v>
      </c>
      <c r="AX54" s="8">
        <v>0.15852885225110971</v>
      </c>
      <c r="AY54" s="8">
        <v>0.14390243902439023</v>
      </c>
      <c r="AZ54" s="8">
        <v>0.12648221343873517</v>
      </c>
      <c r="CB54" s="8">
        <v>0</v>
      </c>
    </row>
    <row r="55" spans="1:80" x14ac:dyDescent="0.25">
      <c r="A55" s="2" t="s">
        <v>60</v>
      </c>
      <c r="B55" s="67">
        <v>42005</v>
      </c>
      <c r="C55" s="67">
        <v>42036</v>
      </c>
      <c r="D55" s="67">
        <v>42064</v>
      </c>
      <c r="E55" s="67">
        <v>42095</v>
      </c>
      <c r="F55" s="67">
        <v>42125</v>
      </c>
      <c r="G55" s="67">
        <v>42156</v>
      </c>
      <c r="H55" s="67">
        <v>42186</v>
      </c>
      <c r="I55" s="67">
        <v>42217</v>
      </c>
      <c r="J55" s="67">
        <v>42248</v>
      </c>
      <c r="K55" s="67">
        <v>42278</v>
      </c>
      <c r="L55" s="67">
        <v>42309</v>
      </c>
      <c r="M55" s="67">
        <v>42339</v>
      </c>
      <c r="N55" s="36" t="s">
        <v>18</v>
      </c>
      <c r="O55" s="36"/>
      <c r="P55" s="36"/>
      <c r="Q55" s="36"/>
    </row>
    <row r="56" spans="1:80" x14ac:dyDescent="0.25">
      <c r="A56" s="1" t="s">
        <v>56</v>
      </c>
      <c r="B56" s="15">
        <f>'Agency North'!O14</f>
        <v>7314.6919999999991</v>
      </c>
      <c r="C56" s="15">
        <f>'Agency North'!P14</f>
        <v>7046.1557999999995</v>
      </c>
      <c r="D56" s="15">
        <f>'Agency North'!Q14</f>
        <v>16416.163</v>
      </c>
      <c r="E56" s="15">
        <f>'Agency North'!R14</f>
        <v>12573.556000000011</v>
      </c>
      <c r="F56" s="15">
        <f>'Agency North'!S14</f>
        <v>15243.324000000001</v>
      </c>
      <c r="G56" s="15">
        <f>'Agency North'!T14</f>
        <v>25036.574900000065</v>
      </c>
      <c r="H56" s="15">
        <f>'Agency North'!U14</f>
        <v>16282.324900000011</v>
      </c>
      <c r="I56" s="15">
        <f>'Agency North'!V14</f>
        <v>18211.759800000029</v>
      </c>
      <c r="J56" s="15">
        <f>'Agency North'!W14</f>
        <v>29046.328700000071</v>
      </c>
      <c r="K56" s="15">
        <f>'Agency North'!X14</f>
        <v>22151.736600000018</v>
      </c>
      <c r="L56" s="15">
        <f>'Agency North'!Y14</f>
        <v>24700.202600000055</v>
      </c>
      <c r="M56" s="15">
        <f>'Agency North'!Z14</f>
        <v>51760.349470000212</v>
      </c>
      <c r="N56" s="106">
        <f>SUM(B56:INDEX(B56:M56,$A$1))</f>
        <v>99912.790600000095</v>
      </c>
      <c r="O56" s="15"/>
      <c r="P56" s="15"/>
      <c r="Q56" s="15"/>
    </row>
    <row r="57" spans="1:80" x14ac:dyDescent="0.25">
      <c r="A57" s="1" t="s">
        <v>57</v>
      </c>
      <c r="B57" s="7">
        <f>'Agency South'!O14</f>
        <v>6107.5723999999991</v>
      </c>
      <c r="C57" s="7">
        <f>'Agency South'!P14</f>
        <v>6937.6219999999694</v>
      </c>
      <c r="D57" s="7">
        <f>'Agency South'!Q14</f>
        <v>17947.367299999991</v>
      </c>
      <c r="E57" s="7">
        <f>'Agency South'!R14</f>
        <v>18456.183199999999</v>
      </c>
      <c r="F57" s="7">
        <f>'Agency South'!S14</f>
        <v>13855.127900000003</v>
      </c>
      <c r="G57" s="7">
        <f>'Agency South'!T14</f>
        <v>17580.338640000002</v>
      </c>
      <c r="H57" s="7">
        <f>'Agency South'!U14</f>
        <v>14366.86017</v>
      </c>
      <c r="I57" s="7">
        <f>'Agency South'!V14</f>
        <v>14149.385</v>
      </c>
      <c r="J57" s="7">
        <f>'Agency South'!W14</f>
        <v>20517.665099999998</v>
      </c>
      <c r="K57" s="6">
        <f>'Agency South'!X14</f>
        <v>18767.984049999999</v>
      </c>
      <c r="L57" s="6">
        <f>'Agency South'!Y14</f>
        <v>28166.729560000036</v>
      </c>
      <c r="M57" s="6">
        <f>'Agency South'!Z14</f>
        <v>45261.850670000116</v>
      </c>
      <c r="N57" s="65">
        <f>SUM(B57:INDEX(B57:M57,$A$1))</f>
        <v>95251.07160999997</v>
      </c>
      <c r="O57" s="65"/>
      <c r="P57" s="65"/>
      <c r="Q57" s="65"/>
    </row>
    <row r="58" spans="1:80" x14ac:dyDescent="0.25">
      <c r="B58" s="65">
        <f>SUM(B56:B57)</f>
        <v>13422.264399999998</v>
      </c>
      <c r="C58" s="65">
        <f t="shared" ref="C58:M58" si="40">SUM(C56:C57)</f>
        <v>13983.777799999969</v>
      </c>
      <c r="D58" s="65">
        <f t="shared" si="40"/>
        <v>34363.530299999991</v>
      </c>
      <c r="E58" s="65">
        <f t="shared" si="40"/>
        <v>31029.739200000011</v>
      </c>
      <c r="F58" s="65">
        <f t="shared" si="40"/>
        <v>29098.451900000004</v>
      </c>
      <c r="G58" s="65">
        <f t="shared" si="40"/>
        <v>42616.913540000067</v>
      </c>
      <c r="H58" s="65">
        <f t="shared" si="40"/>
        <v>30649.18507000001</v>
      </c>
      <c r="I58" s="65">
        <f t="shared" si="40"/>
        <v>32361.144800000031</v>
      </c>
      <c r="J58" s="65">
        <f t="shared" si="40"/>
        <v>49563.993800000069</v>
      </c>
      <c r="K58" s="65">
        <f t="shared" si="40"/>
        <v>40919.720650000017</v>
      </c>
      <c r="L58" s="65">
        <f t="shared" si="40"/>
        <v>52866.932160000091</v>
      </c>
      <c r="M58" s="65">
        <f t="shared" si="40"/>
        <v>97022.200140000321</v>
      </c>
      <c r="N58" s="65">
        <f>SUM(B58:INDEX(B58:M58,$A$1))</f>
        <v>195163.86221000005</v>
      </c>
      <c r="O58" s="65"/>
      <c r="P58" s="65"/>
      <c r="Q58" s="65"/>
    </row>
    <row r="59" spans="1:80" x14ac:dyDescent="0.25">
      <c r="A59" s="2" t="s">
        <v>144</v>
      </c>
    </row>
    <row r="60" spans="1:80" x14ac:dyDescent="0.25">
      <c r="A60" s="1" t="s">
        <v>56</v>
      </c>
      <c r="B60" s="6">
        <f>'Agency North'!AP14</f>
        <v>13431.969839999998</v>
      </c>
      <c r="C60" s="6">
        <f>'Agency North'!AQ14</f>
        <v>20257.13140000002</v>
      </c>
      <c r="D60" s="6">
        <f>'Agency North'!AR14</f>
        <v>30613.277000000002</v>
      </c>
      <c r="E60" s="6">
        <f>'Agency North'!AS14</f>
        <v>26920.538300000022</v>
      </c>
      <c r="F60" s="6">
        <f>'Agency North'!AT14</f>
        <v>22956.976999999999</v>
      </c>
      <c r="G60" s="6">
        <f>'Agency North'!AU14</f>
        <v>28200.368999999999</v>
      </c>
      <c r="H60" s="6">
        <f>'Agency North'!AV14</f>
        <v>22465.051900000064</v>
      </c>
      <c r="I60" s="6">
        <f>'Agency North'!AW14</f>
        <v>0</v>
      </c>
      <c r="J60" s="6">
        <f>'Agency North'!AX14</f>
        <v>0</v>
      </c>
      <c r="K60" s="6">
        <f>'Agency North'!AY14</f>
        <v>0</v>
      </c>
      <c r="L60" s="6">
        <f>'Agency North'!AZ14</f>
        <v>0</v>
      </c>
      <c r="M60" s="6">
        <f>'Agency North'!BA14</f>
        <v>0</v>
      </c>
      <c r="N60" s="65">
        <f>SUM(B60:M60)</f>
        <v>164845.3144400001</v>
      </c>
      <c r="O60" s="65"/>
      <c r="P60" s="65"/>
      <c r="Q60" s="65"/>
    </row>
    <row r="61" spans="1:80" x14ac:dyDescent="0.25">
      <c r="A61" s="1" t="s">
        <v>57</v>
      </c>
      <c r="B61" s="6">
        <f>'Agency South'!AP14</f>
        <v>13255.832900000001</v>
      </c>
      <c r="C61" s="6">
        <f>'Agency South'!AQ14</f>
        <v>21455.887900000012</v>
      </c>
      <c r="D61" s="6">
        <f>'Agency South'!AR14</f>
        <v>27891.589999999997</v>
      </c>
      <c r="E61" s="6">
        <f>'Agency South'!AS14</f>
        <v>24537.054000000022</v>
      </c>
      <c r="F61" s="6">
        <f>'Agency South'!AT14</f>
        <v>31455.850999999999</v>
      </c>
      <c r="G61" s="6">
        <f>'Agency South'!AU14</f>
        <v>31246.205000000002</v>
      </c>
      <c r="H61" s="6">
        <f>'Agency South'!AV14</f>
        <v>23436.137360000008</v>
      </c>
      <c r="I61" s="6">
        <f>'Agency South'!AW14</f>
        <v>0</v>
      </c>
      <c r="J61" s="6">
        <f>'Agency South'!AX14</f>
        <v>0</v>
      </c>
      <c r="K61" s="6">
        <f>'Agency South'!AY14</f>
        <v>0</v>
      </c>
      <c r="L61" s="6">
        <f>'Agency South'!AZ14</f>
        <v>0</v>
      </c>
      <c r="M61" s="6">
        <f>'Agency South'!BA14</f>
        <v>0</v>
      </c>
      <c r="N61" s="65">
        <f t="shared" ref="N61:N62" si="41">SUM(B61:M61)</f>
        <v>173278.55816000002</v>
      </c>
      <c r="O61" s="65"/>
      <c r="P61" s="65"/>
      <c r="Q61" s="65"/>
    </row>
    <row r="62" spans="1:80" x14ac:dyDescent="0.25">
      <c r="B62" s="6">
        <f>SUM(B60:B61)</f>
        <v>26687.802739999999</v>
      </c>
      <c r="C62" s="6">
        <f t="shared" ref="C62:L62" si="42">SUM(C60:C61)</f>
        <v>41713.019300000029</v>
      </c>
      <c r="D62" s="6">
        <f t="shared" si="42"/>
        <v>58504.866999999998</v>
      </c>
      <c r="E62" s="6">
        <f t="shared" si="42"/>
        <v>51457.592300000048</v>
      </c>
      <c r="F62" s="6">
        <f t="shared" si="42"/>
        <v>54412.827999999994</v>
      </c>
      <c r="G62" s="6">
        <f t="shared" si="42"/>
        <v>59446.574000000001</v>
      </c>
      <c r="H62" s="6">
        <f t="shared" si="42"/>
        <v>45901.189260000072</v>
      </c>
      <c r="I62" s="6">
        <f t="shared" si="42"/>
        <v>0</v>
      </c>
      <c r="J62" s="6">
        <f t="shared" si="42"/>
        <v>0</v>
      </c>
      <c r="K62" s="6">
        <f t="shared" si="42"/>
        <v>0</v>
      </c>
      <c r="L62" s="6">
        <f t="shared" si="42"/>
        <v>0</v>
      </c>
      <c r="M62" s="6">
        <f t="shared" ref="M62" si="43">SUM(M60:M61)</f>
        <v>0</v>
      </c>
      <c r="N62" s="65">
        <f t="shared" si="41"/>
        <v>338123.87260000018</v>
      </c>
      <c r="O62" s="65"/>
      <c r="P62" s="65"/>
      <c r="Q62" s="65"/>
    </row>
    <row r="64" spans="1:80" x14ac:dyDescent="0.25">
      <c r="A64" s="36" t="s">
        <v>145</v>
      </c>
    </row>
    <row r="65" spans="1:17" x14ac:dyDescent="0.25">
      <c r="A65" s="1" t="s">
        <v>146</v>
      </c>
      <c r="B65" s="8">
        <f>B60/B56-1</f>
        <v>0.83630012582894797</v>
      </c>
      <c r="C65" s="8">
        <f t="shared" ref="C65:J65" si="44">C60/C56-1</f>
        <v>1.8749195980026472</v>
      </c>
      <c r="D65" s="8">
        <f t="shared" si="44"/>
        <v>0.86482535535252669</v>
      </c>
      <c r="E65" s="8">
        <f t="shared" si="44"/>
        <v>1.1410441326224654</v>
      </c>
      <c r="F65" s="8">
        <f t="shared" si="44"/>
        <v>0.5060348385955713</v>
      </c>
      <c r="G65" s="8">
        <f t="shared" si="44"/>
        <v>0.1263668897457666</v>
      </c>
      <c r="H65" s="8">
        <f t="shared" si="44"/>
        <v>0.37972015900506007</v>
      </c>
      <c r="I65" s="8">
        <f t="shared" si="44"/>
        <v>-1</v>
      </c>
      <c r="J65" s="8">
        <f t="shared" si="44"/>
        <v>-1</v>
      </c>
      <c r="K65" s="8">
        <f t="shared" ref="K65:L65" si="45">K60/K56-1</f>
        <v>-1</v>
      </c>
      <c r="L65" s="8">
        <f t="shared" si="45"/>
        <v>-1</v>
      </c>
      <c r="M65" s="8">
        <f t="shared" ref="M65" si="46">M60/M56-1</f>
        <v>-1</v>
      </c>
      <c r="N65" s="8">
        <f t="shared" ref="N65" si="47">N60/N56-1</f>
        <v>0.64989200531848579</v>
      </c>
      <c r="O65" s="8"/>
      <c r="P65" s="8"/>
      <c r="Q65" s="8"/>
    </row>
    <row r="66" spans="1:17" x14ac:dyDescent="0.25">
      <c r="A66" s="1" t="s">
        <v>147</v>
      </c>
      <c r="B66" s="8">
        <f t="shared" ref="B66:J66" si="48">B61/B57-1</f>
        <v>1.1703930844929489</v>
      </c>
      <c r="C66" s="8">
        <f t="shared" si="48"/>
        <v>2.0926862115001521</v>
      </c>
      <c r="D66" s="8">
        <f t="shared" si="48"/>
        <v>0.55407695924293088</v>
      </c>
      <c r="E66" s="8">
        <f t="shared" si="48"/>
        <v>0.32947607498824683</v>
      </c>
      <c r="F66" s="8">
        <f t="shared" si="48"/>
        <v>1.2703399944795883</v>
      </c>
      <c r="G66" s="8">
        <f t="shared" si="48"/>
        <v>0.7773380615607981</v>
      </c>
      <c r="H66" s="8">
        <f t="shared" si="48"/>
        <v>0.63126369176599351</v>
      </c>
      <c r="I66" s="8">
        <f t="shared" si="48"/>
        <v>-1</v>
      </c>
      <c r="J66" s="8">
        <f t="shared" si="48"/>
        <v>-1</v>
      </c>
      <c r="K66" s="8">
        <f t="shared" ref="K66:L66" si="49">K61/K57-1</f>
        <v>-1</v>
      </c>
      <c r="L66" s="8">
        <f t="shared" si="49"/>
        <v>-1</v>
      </c>
      <c r="M66" s="8">
        <f t="shared" ref="M66" si="50">M61/M57-1</f>
        <v>-1</v>
      </c>
      <c r="N66" s="8">
        <f t="shared" ref="N66" si="51">N61/N57-1</f>
        <v>0.81917699434898861</v>
      </c>
      <c r="O66" s="8"/>
      <c r="P66" s="8"/>
      <c r="Q66" s="8"/>
    </row>
    <row r="67" spans="1:17" x14ac:dyDescent="0.25">
      <c r="A67" s="36" t="s">
        <v>148</v>
      </c>
      <c r="B67" s="8">
        <f t="shared" ref="B67:J67" si="52">B62/B58-1</f>
        <v>0.98832342626181635</v>
      </c>
      <c r="C67" s="8">
        <f t="shared" si="52"/>
        <v>1.982957817021386</v>
      </c>
      <c r="D67" s="8">
        <f t="shared" si="52"/>
        <v>0.70252783952177378</v>
      </c>
      <c r="E67" s="8">
        <f t="shared" si="52"/>
        <v>0.6583314467560859</v>
      </c>
      <c r="F67" s="8">
        <f t="shared" si="52"/>
        <v>0.86995611268240647</v>
      </c>
      <c r="G67" s="8">
        <f t="shared" si="52"/>
        <v>0.39490566214288791</v>
      </c>
      <c r="H67" s="8">
        <f t="shared" si="52"/>
        <v>0.49763163866072913</v>
      </c>
      <c r="I67" s="8">
        <f t="shared" si="52"/>
        <v>-1</v>
      </c>
      <c r="J67" s="8">
        <f t="shared" si="52"/>
        <v>-1</v>
      </c>
      <c r="K67" s="8">
        <f t="shared" ref="K67:L67" si="53">K62/K58-1</f>
        <v>-1</v>
      </c>
      <c r="L67" s="8">
        <f t="shared" si="53"/>
        <v>-1</v>
      </c>
      <c r="M67" s="8">
        <f t="shared" ref="M67" si="54">M62/M58-1</f>
        <v>-1</v>
      </c>
      <c r="N67" s="8">
        <f t="shared" ref="N67" si="55">N62/N58-1</f>
        <v>0.73251271404012508</v>
      </c>
      <c r="O67" s="8"/>
      <c r="P67" s="8"/>
      <c r="Q67" s="8"/>
    </row>
    <row r="69" spans="1:17" x14ac:dyDescent="0.25">
      <c r="A69" t="s">
        <v>62</v>
      </c>
    </row>
    <row r="70" spans="1:17" x14ac:dyDescent="0.25">
      <c r="A70" t="s">
        <v>56</v>
      </c>
      <c r="B70" s="8">
        <f>B60/B$62</f>
        <v>0.50329995207391132</v>
      </c>
      <c r="C70" s="8">
        <f t="shared" ref="C70:J70" si="56">C60/C$62</f>
        <v>0.48563090708708317</v>
      </c>
      <c r="D70" s="8">
        <f t="shared" si="56"/>
        <v>0.52326034686994505</v>
      </c>
      <c r="E70" s="8">
        <f t="shared" si="56"/>
        <v>0.52315969513404526</v>
      </c>
      <c r="F70" s="8">
        <f t="shared" si="56"/>
        <v>0.42190376504599247</v>
      </c>
      <c r="G70" s="8">
        <f t="shared" si="56"/>
        <v>0.47438173644792381</v>
      </c>
      <c r="H70" s="8">
        <f t="shared" si="56"/>
        <v>0.48942200108912881</v>
      </c>
      <c r="I70" s="8" t="e">
        <f t="shared" si="56"/>
        <v>#DIV/0!</v>
      </c>
      <c r="J70" s="8" t="e">
        <f t="shared" si="56"/>
        <v>#DIV/0!</v>
      </c>
      <c r="K70" s="8" t="e">
        <f t="shared" ref="K70:L70" si="57">K60/K$62</f>
        <v>#DIV/0!</v>
      </c>
      <c r="L70" s="8" t="e">
        <f t="shared" si="57"/>
        <v>#DIV/0!</v>
      </c>
      <c r="M70" s="8" t="e">
        <f t="shared" ref="M70" si="58">M60/M$62</f>
        <v>#DIV/0!</v>
      </c>
      <c r="N70" s="8">
        <f>N60/N$62</f>
        <v>0.48752935772450401</v>
      </c>
      <c r="O70" s="8"/>
      <c r="P70" s="8"/>
      <c r="Q70" s="8"/>
    </row>
    <row r="71" spans="1:17" x14ac:dyDescent="0.25">
      <c r="A71" t="s">
        <v>57</v>
      </c>
      <c r="B71" s="8">
        <f t="shared" ref="B71:J71" si="59">B61/B$62</f>
        <v>0.49670004792608874</v>
      </c>
      <c r="C71" s="8">
        <f t="shared" si="59"/>
        <v>0.51436909291291699</v>
      </c>
      <c r="D71" s="8">
        <f t="shared" si="59"/>
        <v>0.47673965313005495</v>
      </c>
      <c r="E71" s="8">
        <f t="shared" si="59"/>
        <v>0.47684030486595463</v>
      </c>
      <c r="F71" s="8">
        <f t="shared" si="59"/>
        <v>0.57809623495400753</v>
      </c>
      <c r="G71" s="8">
        <f t="shared" si="59"/>
        <v>0.52561826355207619</v>
      </c>
      <c r="H71" s="8">
        <f t="shared" si="59"/>
        <v>0.51057799891087119</v>
      </c>
      <c r="I71" s="8" t="e">
        <f t="shared" si="59"/>
        <v>#DIV/0!</v>
      </c>
      <c r="J71" s="8" t="e">
        <f t="shared" si="59"/>
        <v>#DIV/0!</v>
      </c>
      <c r="K71" s="8" t="e">
        <f t="shared" ref="K71:L71" si="60">K61/K$62</f>
        <v>#DIV/0!</v>
      </c>
      <c r="L71" s="8" t="e">
        <f t="shared" si="60"/>
        <v>#DIV/0!</v>
      </c>
      <c r="M71" s="8" t="e">
        <f t="shared" ref="M71" si="61">M61/M$62</f>
        <v>#DIV/0!</v>
      </c>
      <c r="N71" s="8">
        <f>N61/N$62</f>
        <v>0.51247064227549588</v>
      </c>
      <c r="O71" s="8"/>
      <c r="P71" s="8"/>
      <c r="Q71" s="8"/>
    </row>
    <row r="87" spans="1:13" x14ac:dyDescent="0.25">
      <c r="A87" t="s">
        <v>79</v>
      </c>
      <c r="B87" s="144">
        <v>42370</v>
      </c>
      <c r="C87" s="144">
        <v>42401</v>
      </c>
      <c r="D87" s="144">
        <v>42430</v>
      </c>
      <c r="E87" s="144">
        <v>42461</v>
      </c>
      <c r="F87" s="144">
        <v>42491</v>
      </c>
      <c r="G87" s="144">
        <v>42522</v>
      </c>
      <c r="H87" s="144">
        <v>42552</v>
      </c>
      <c r="I87" s="144">
        <v>42583</v>
      </c>
      <c r="J87" s="144">
        <v>42614</v>
      </c>
      <c r="K87" s="144">
        <v>42644</v>
      </c>
      <c r="L87" s="144">
        <v>42675</v>
      </c>
      <c r="M87" s="144">
        <v>42705</v>
      </c>
    </row>
    <row r="88" spans="1:13" x14ac:dyDescent="0.25">
      <c r="A88" t="s">
        <v>100</v>
      </c>
      <c r="B88" s="146">
        <f>'Full Agency'!N24</f>
        <v>4156</v>
      </c>
      <c r="C88" s="146">
        <f>'Full Agency'!O24</f>
        <v>4067</v>
      </c>
      <c r="D88" s="146">
        <f>'Full Agency'!P24</f>
        <v>4326</v>
      </c>
      <c r="E88" s="146">
        <f>'Full Agency'!Q24</f>
        <v>4505</v>
      </c>
      <c r="F88" s="146">
        <f>'Full Agency'!R24</f>
        <v>4930</v>
      </c>
      <c r="G88" s="146">
        <f>'Full Agency'!S24</f>
        <v>5819</v>
      </c>
      <c r="H88" s="146">
        <f>'Full Agency'!T24</f>
        <v>6335</v>
      </c>
      <c r="I88" s="146">
        <f>'Full Agency'!U24</f>
        <v>6970</v>
      </c>
      <c r="J88" s="146">
        <f>'Full Agency'!V24</f>
        <v>7706</v>
      </c>
      <c r="K88" s="146">
        <f>'Full Agency'!W24</f>
        <v>8408</v>
      </c>
      <c r="L88" s="146">
        <f>'Full Agency'!X24</f>
        <v>9051</v>
      </c>
      <c r="M88" s="146">
        <f>'Full Agency'!Y24</f>
        <v>9845</v>
      </c>
    </row>
    <row r="89" spans="1:13" x14ac:dyDescent="0.25">
      <c r="A89" t="s">
        <v>149</v>
      </c>
      <c r="B89" s="145" t="e">
        <f>#REF!</f>
        <v>#REF!</v>
      </c>
      <c r="C89" s="145" t="e">
        <f>#REF!</f>
        <v>#REF!</v>
      </c>
      <c r="D89" s="145" t="e">
        <f>#REF!</f>
        <v>#REF!</v>
      </c>
      <c r="E89" s="145" t="e">
        <f>#REF!</f>
        <v>#REF!</v>
      </c>
      <c r="F89" s="145" t="e">
        <f>#REF!</f>
        <v>#REF!</v>
      </c>
      <c r="G89" s="145" t="e">
        <f>#REF!</f>
        <v>#REF!</v>
      </c>
      <c r="H89" s="145" t="e">
        <f>#REF!</f>
        <v>#REF!</v>
      </c>
      <c r="I89" s="145" t="e">
        <f>#REF!</f>
        <v>#REF!</v>
      </c>
      <c r="J89" s="145" t="e">
        <f>#REF!</f>
        <v>#REF!</v>
      </c>
      <c r="K89" s="145" t="e">
        <f>#REF!</f>
        <v>#REF!</v>
      </c>
      <c r="L89" s="145" t="e">
        <f>#REF!</f>
        <v>#REF!</v>
      </c>
      <c r="M89" s="145" t="e">
        <f>#REF!</f>
        <v>#REF!</v>
      </c>
    </row>
    <row r="90" spans="1:13" x14ac:dyDescent="0.25">
      <c r="A90" t="s">
        <v>150</v>
      </c>
      <c r="B90" s="146">
        <f>'Full Agency'!AO24</f>
        <v>10030</v>
      </c>
      <c r="C90" s="146">
        <f>'Full Agency'!AP24</f>
        <v>7676</v>
      </c>
      <c r="D90" s="146">
        <f>'Full Agency'!AQ24</f>
        <v>7777</v>
      </c>
      <c r="E90" s="146">
        <f>'Full Agency'!AR24</f>
        <v>7057</v>
      </c>
      <c r="F90" s="146">
        <f>'Full Agency'!AS24</f>
        <v>7380</v>
      </c>
      <c r="G90" s="146">
        <f>'Full Agency'!AT24</f>
        <v>8015</v>
      </c>
      <c r="H90" s="146">
        <f>'Full Agency'!AU24</f>
        <v>7863</v>
      </c>
      <c r="I90" s="146">
        <f>'Full Agency'!AV24</f>
        <v>0</v>
      </c>
      <c r="J90" s="146">
        <f>'Full Agency'!AW24</f>
        <v>0</v>
      </c>
      <c r="K90" s="146">
        <f>'Full Agency'!AX24</f>
        <v>0</v>
      </c>
      <c r="L90" s="146">
        <f>'Full Agency'!AY24</f>
        <v>0</v>
      </c>
      <c r="M90" s="146">
        <f>'Full Agency'!AZ24</f>
        <v>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Y166"/>
  <sheetViews>
    <sheetView showGridLines="0" zoomScale="80" zoomScaleNormal="80" zoomScaleSheetLayoutView="100" workbookViewId="0">
      <pane xSplit="12" ySplit="3" topLeftCell="M4" activePane="bottomRight" state="frozen"/>
      <selection pane="topRight" activeCell="M1" sqref="M1"/>
      <selection pane="bottomLeft" activeCell="A4" sqref="A4"/>
      <selection pane="bottomRight" activeCell="AT14" sqref="AT14"/>
    </sheetView>
  </sheetViews>
  <sheetFormatPr defaultColWidth="9.125" defaultRowHeight="15" outlineLevelRow="1" outlineLevelCol="1" x14ac:dyDescent="0.25"/>
  <cols>
    <col min="1" max="1" width="28.625" customWidth="1"/>
    <col min="2" max="12" width="9.125" hidden="1" customWidth="1" outlineLevel="1"/>
    <col min="13" max="13" width="13.375" hidden="1" customWidth="1" outlineLevel="1"/>
    <col min="14" max="24" width="9.125" hidden="1" customWidth="1" outlineLevel="1"/>
    <col min="25" max="25" width="12.25" hidden="1" customWidth="1" outlineLevel="1"/>
    <col min="26" max="26" width="0" style="18" hidden="1" customWidth="1" outlineLevel="1"/>
    <col min="27" max="27" width="10.25" style="18" hidden="1" customWidth="1" outlineLevel="1"/>
    <col min="28" max="28" width="8.25" style="18" hidden="1" customWidth="1" outlineLevel="1"/>
    <col min="29" max="29" width="9.125" style="18" hidden="1" customWidth="1" outlineLevel="1"/>
    <col min="30" max="30" width="10.875" style="18" hidden="1" customWidth="1" outlineLevel="1"/>
    <col min="31" max="31" width="11" style="18" hidden="1" customWidth="1" outlineLevel="1"/>
    <col min="32" max="40" width="9.125" style="18" hidden="1" customWidth="1" outlineLevel="1"/>
    <col min="41" max="41" width="9.125" style="18" collapsed="1"/>
    <col min="42" max="43" width="9.125" style="18"/>
    <col min="44" max="47" width="9.125" style="18" customWidth="1"/>
    <col min="48" max="52" width="9.125" style="18" customWidth="1" outlineLevel="1"/>
    <col min="53" max="53" width="10.625" style="18" customWidth="1"/>
    <col min="54" max="57" width="9.125" style="18"/>
    <col min="58" max="60" width="0" style="18" hidden="1" customWidth="1" outlineLevel="1"/>
    <col min="61" max="68" width="9.125" style="18" hidden="1" customWidth="1" outlineLevel="1"/>
    <col min="69" max="74" width="0" style="18" hidden="1" customWidth="1" outlineLevel="1"/>
    <col min="75" max="75" width="9.125" style="18" collapsed="1"/>
    <col min="76" max="16384" width="9.125" style="18"/>
  </cols>
  <sheetData>
    <row r="1" spans="1:74" x14ac:dyDescent="0.25">
      <c r="L1" s="6"/>
      <c r="M1" s="6"/>
      <c r="AD1" s="38"/>
      <c r="AH1" s="39" t="s">
        <v>39</v>
      </c>
      <c r="AM1" s="18" t="s">
        <v>39</v>
      </c>
    </row>
    <row r="2" spans="1:74" x14ac:dyDescent="0.25">
      <c r="A2" s="62">
        <v>7</v>
      </c>
      <c r="B2">
        <f>IF(A2&lt;4,A2,IF(A2&lt;7,A2-3,IF(A2&lt;10,A2-6,A2-9)))</f>
        <v>1</v>
      </c>
      <c r="Z2" s="322">
        <v>2016</v>
      </c>
      <c r="AA2" s="322"/>
      <c r="AB2" s="322"/>
      <c r="AC2" s="322"/>
      <c r="AD2" s="322"/>
      <c r="AE2" s="323">
        <v>2015</v>
      </c>
      <c r="AF2" s="323"/>
      <c r="AG2" s="323"/>
      <c r="AH2" s="323"/>
      <c r="AI2" s="323"/>
      <c r="AJ2" s="321" t="s">
        <v>28</v>
      </c>
      <c r="AK2" s="321"/>
      <c r="AL2" s="321"/>
      <c r="AM2" s="321"/>
      <c r="AN2" s="321"/>
      <c r="AO2" s="131" t="s">
        <v>135</v>
      </c>
      <c r="AP2" s="132"/>
      <c r="AQ2" s="132"/>
      <c r="AR2" s="132"/>
      <c r="AS2" s="132"/>
      <c r="AT2" s="132"/>
      <c r="AU2" s="132"/>
      <c r="AV2" s="132"/>
      <c r="AW2" s="132"/>
      <c r="AX2" s="132"/>
      <c r="AY2" s="132"/>
      <c r="AZ2" s="132"/>
      <c r="BA2" s="322" t="s">
        <v>134</v>
      </c>
      <c r="BB2" s="324"/>
      <c r="BC2" s="324"/>
      <c r="BD2" s="324"/>
      <c r="BE2" s="324"/>
      <c r="BF2" s="127" t="s">
        <v>132</v>
      </c>
      <c r="BG2" s="128"/>
      <c r="BH2" s="128"/>
      <c r="BI2" s="133"/>
      <c r="BJ2" s="133"/>
      <c r="BK2" s="133"/>
      <c r="BL2" s="133"/>
      <c r="BM2" s="133"/>
      <c r="BN2" s="133"/>
      <c r="BO2" s="133"/>
      <c r="BP2" s="133"/>
      <c r="BQ2" s="133"/>
      <c r="BR2" s="129" t="s">
        <v>133</v>
      </c>
      <c r="BS2" s="130"/>
      <c r="BT2" s="130"/>
      <c r="BU2" s="130"/>
      <c r="BV2" s="120" t="s">
        <v>130</v>
      </c>
    </row>
    <row r="3" spans="1:74" s="17" customFormat="1" x14ac:dyDescent="0.25">
      <c r="A3" s="2" t="s">
        <v>0</v>
      </c>
      <c r="B3" s="3">
        <v>42005</v>
      </c>
      <c r="C3" s="3">
        <v>42036</v>
      </c>
      <c r="D3" s="3">
        <v>42064</v>
      </c>
      <c r="E3" s="3">
        <v>42095</v>
      </c>
      <c r="F3" s="3">
        <v>42125</v>
      </c>
      <c r="G3" s="3">
        <v>42156</v>
      </c>
      <c r="H3" s="3">
        <v>42186</v>
      </c>
      <c r="I3" s="3">
        <v>42217</v>
      </c>
      <c r="J3" s="3">
        <v>42248</v>
      </c>
      <c r="K3" s="3">
        <v>42278</v>
      </c>
      <c r="L3" s="3">
        <v>42309</v>
      </c>
      <c r="M3" s="3">
        <v>42339</v>
      </c>
      <c r="N3" s="3">
        <v>42370</v>
      </c>
      <c r="O3" s="3">
        <v>42401</v>
      </c>
      <c r="P3" s="3">
        <v>42430</v>
      </c>
      <c r="Q3" s="3">
        <v>42461</v>
      </c>
      <c r="R3" s="3">
        <v>42491</v>
      </c>
      <c r="S3" s="3">
        <v>42522</v>
      </c>
      <c r="T3" s="3">
        <v>42552</v>
      </c>
      <c r="U3" s="3">
        <v>42583</v>
      </c>
      <c r="V3" s="3">
        <v>42614</v>
      </c>
      <c r="W3" s="3">
        <v>42644</v>
      </c>
      <c r="X3" s="3">
        <v>42675</v>
      </c>
      <c r="Y3" s="3">
        <v>42705</v>
      </c>
      <c r="Z3" s="29" t="str">
        <f>"YTD " &amp; A2 &amp;"/16"</f>
        <v>YTD 7/16</v>
      </c>
      <c r="AA3" s="29" t="s">
        <v>19</v>
      </c>
      <c r="AB3" s="29" t="s">
        <v>20</v>
      </c>
      <c r="AC3" s="29" t="s">
        <v>21</v>
      </c>
      <c r="AD3" s="29" t="s">
        <v>22</v>
      </c>
      <c r="AE3" s="26" t="str">
        <f>"YTD " &amp; A2 &amp;"/15"</f>
        <v>YTD 7/15</v>
      </c>
      <c r="AF3" s="26" t="s">
        <v>23</v>
      </c>
      <c r="AG3" s="26" t="s">
        <v>24</v>
      </c>
      <c r="AH3" s="26" t="s">
        <v>25</v>
      </c>
      <c r="AI3" s="26" t="s">
        <v>26</v>
      </c>
      <c r="AJ3" s="30" t="s">
        <v>27</v>
      </c>
      <c r="AK3" s="30" t="s">
        <v>29</v>
      </c>
      <c r="AL3" s="30" t="s">
        <v>30</v>
      </c>
      <c r="AM3" s="30" t="s">
        <v>31</v>
      </c>
      <c r="AN3" s="30" t="s">
        <v>32</v>
      </c>
      <c r="AO3" s="108">
        <v>42736</v>
      </c>
      <c r="AP3" s="108">
        <v>42767</v>
      </c>
      <c r="AQ3" s="108">
        <v>42795</v>
      </c>
      <c r="AR3" s="108">
        <v>42826</v>
      </c>
      <c r="AS3" s="108">
        <v>42856</v>
      </c>
      <c r="AT3" s="108">
        <v>42887</v>
      </c>
      <c r="AU3" s="108">
        <v>42917</v>
      </c>
      <c r="AV3" s="108">
        <v>42948</v>
      </c>
      <c r="AW3" s="108">
        <v>42979</v>
      </c>
      <c r="AX3" s="108">
        <v>43009</v>
      </c>
      <c r="AY3" s="108">
        <v>43040</v>
      </c>
      <c r="AZ3" s="108">
        <v>43070</v>
      </c>
      <c r="BA3" s="29" t="s">
        <v>123</v>
      </c>
      <c r="BB3" s="29" t="s">
        <v>124</v>
      </c>
      <c r="BC3" s="29" t="s">
        <v>125</v>
      </c>
      <c r="BD3" s="29" t="s">
        <v>126</v>
      </c>
      <c r="BE3" s="29" t="str">
        <f>"YTD " &amp; A2 &amp;"/17"</f>
        <v>YTD 7/17</v>
      </c>
      <c r="BF3" s="121">
        <v>42736</v>
      </c>
      <c r="BG3" s="108">
        <v>42767</v>
      </c>
      <c r="BH3" s="108">
        <v>42795</v>
      </c>
      <c r="BI3" s="108">
        <v>42826</v>
      </c>
      <c r="BJ3" s="108">
        <v>42856</v>
      </c>
      <c r="BK3" s="108">
        <v>42887</v>
      </c>
      <c r="BL3" s="108">
        <v>42917</v>
      </c>
      <c r="BM3" s="108">
        <v>42948</v>
      </c>
      <c r="BN3" s="108">
        <v>42979</v>
      </c>
      <c r="BO3" s="108">
        <v>43009</v>
      </c>
      <c r="BP3" s="108">
        <v>43040</v>
      </c>
      <c r="BQ3" s="108">
        <v>43070</v>
      </c>
      <c r="BR3" s="29" t="s">
        <v>127</v>
      </c>
      <c r="BS3" s="29" t="s">
        <v>128</v>
      </c>
      <c r="BT3" s="29" t="s">
        <v>96</v>
      </c>
      <c r="BU3" s="29" t="s">
        <v>129</v>
      </c>
      <c r="BV3" s="112"/>
    </row>
    <row r="4" spans="1:74" outlineLevel="1" x14ac:dyDescent="0.25">
      <c r="A4" t="s">
        <v>157</v>
      </c>
      <c r="B4" s="6">
        <f>'Agency North'!C4+'Agency South'!C4</f>
        <v>2052.6610000000001</v>
      </c>
      <c r="C4" s="6">
        <f>'Agency North'!D4+'Agency South'!D4</f>
        <v>1303.846</v>
      </c>
      <c r="D4" s="6">
        <f>'Agency North'!E4+'Agency South'!E4</f>
        <v>5214.3959999999997</v>
      </c>
      <c r="E4" s="6">
        <f>'Agency North'!F4+'Agency South'!F4</f>
        <v>5640.4014999999999</v>
      </c>
      <c r="F4" s="6">
        <f>'Agency North'!G4+'Agency South'!G4</f>
        <v>3233.2915000000003</v>
      </c>
      <c r="G4" s="6">
        <f>'Agency North'!H4+'Agency South'!H4</f>
        <v>4748.5650000000005</v>
      </c>
      <c r="H4" s="6">
        <f>'Agency North'!I4+'Agency South'!I4</f>
        <v>7546.5334999999995</v>
      </c>
      <c r="I4" s="6">
        <f>'Agency North'!J4+'Agency South'!J4</f>
        <v>2405.0050000000001</v>
      </c>
      <c r="J4" s="6">
        <f>'Agency North'!K4+'Agency South'!K4</f>
        <v>6777.5324999999993</v>
      </c>
      <c r="K4" s="6">
        <f>'Agency North'!L4+'Agency South'!L4</f>
        <v>4765.0289999999895</v>
      </c>
      <c r="L4" s="6">
        <f>'Agency North'!M4+'Agency South'!M4</f>
        <v>4839.5445</v>
      </c>
      <c r="M4" s="6">
        <f>'Agency North'!N4+'Agency South'!N4</f>
        <v>9263.463999999989</v>
      </c>
      <c r="N4" s="6">
        <f>'Agency North'!O4+'Agency South'!O4</f>
        <v>2249.5889999999999</v>
      </c>
      <c r="O4" s="6">
        <f>'Agency North'!P4+'Agency South'!P4</f>
        <v>2135.14499999997</v>
      </c>
      <c r="P4" s="6">
        <f>'Agency North'!Q4+'Agency South'!Q4</f>
        <v>4415.7199999999903</v>
      </c>
      <c r="Q4" s="6">
        <f>'Agency North'!R4+'Agency South'!R4</f>
        <v>6653.8460000000005</v>
      </c>
      <c r="R4" s="6">
        <f>'Agency North'!S4+'Agency South'!S4</f>
        <v>3561.0540000000001</v>
      </c>
      <c r="S4" s="6">
        <f>'Agency North'!T4+'Agency South'!T4</f>
        <v>3725.2085000000002</v>
      </c>
      <c r="T4" s="6">
        <f>'Agency North'!U4+'Agency South'!U4</f>
        <v>3438.3620000000001</v>
      </c>
      <c r="U4" s="6">
        <f>'Agency North'!V4+'Agency South'!V4</f>
        <v>2684.6194999999998</v>
      </c>
      <c r="V4" s="6">
        <f>'Agency North'!W4+'Agency South'!W4</f>
        <v>3703.7440000000001</v>
      </c>
      <c r="W4" s="6">
        <f>'Agency North'!X4+'Agency South'!X4</f>
        <v>3162.1419999999998</v>
      </c>
      <c r="X4" s="6">
        <f>'Agency North'!Y4+'Agency South'!Y4</f>
        <v>3886.2655</v>
      </c>
      <c r="Y4" s="6">
        <f>'Agency North'!Z4+'Agency South'!Z4</f>
        <v>6935.8164999999999</v>
      </c>
      <c r="Z4" s="22">
        <f>SUM(N4:INDEX(N4:Y4,$A$2))</f>
        <v>26178.924499999961</v>
      </c>
      <c r="AA4" s="22">
        <f>SUM(N4:P4)</f>
        <v>8800.4539999999597</v>
      </c>
      <c r="AB4" s="22">
        <f>SUM(Q4:S4)</f>
        <v>13940.108500000002</v>
      </c>
      <c r="AC4" s="22">
        <f>SUM(T4:V4)</f>
        <v>9826.7255000000005</v>
      </c>
      <c r="AD4" s="22">
        <f>SUM(W4:Y4)</f>
        <v>13984.223999999998</v>
      </c>
      <c r="AE4" s="22">
        <f>SUM(B4                                                                                : INDEX(B4:M4,$A$2))</f>
        <v>29739.694499999998</v>
      </c>
      <c r="AF4" s="22">
        <f>SUM(B4:D4)</f>
        <v>8570.9030000000002</v>
      </c>
      <c r="AG4" s="22">
        <f>SUM(E4:G4)</f>
        <v>13622.258</v>
      </c>
      <c r="AH4" s="22">
        <f>SUM(H4:J4)</f>
        <v>16729.070999999996</v>
      </c>
      <c r="AI4" s="22">
        <f>SUM(K4:M4)</f>
        <v>18868.037499999977</v>
      </c>
      <c r="AJ4" s="31">
        <f>Z4/AE4-1</f>
        <v>-0.11973122319733431</v>
      </c>
      <c r="AK4" s="31">
        <f t="shared" ref="AK4:AM13" si="0">AA4/AF4-1</f>
        <v>2.6782592219274814E-2</v>
      </c>
      <c r="AL4" s="31">
        <f t="shared" si="0"/>
        <v>2.3333172811732306E-2</v>
      </c>
      <c r="AM4" s="31">
        <f t="shared" si="0"/>
        <v>-0.41259586381096702</v>
      </c>
      <c r="AN4" s="31">
        <f>AD4/SUM(K4:INDEX(K4:M4,MOD($A$2,3)))-1</f>
        <v>1.9347615722800491</v>
      </c>
      <c r="AO4" s="166">
        <f>'GEN Lion NORTH'!AP5+'GEN Lion SOUTH'!AP5</f>
        <v>5031.0820000000003</v>
      </c>
      <c r="AP4" s="166">
        <f>'GEN Lion NORTH'!AQ5+'GEN Lion SOUTH'!AQ5</f>
        <v>9389.4535000000105</v>
      </c>
      <c r="AQ4" s="166">
        <f>'GEN Lion NORTH'!AR5+'GEN Lion SOUTH'!AR5</f>
        <v>10085.810000000001</v>
      </c>
      <c r="AR4" s="165">
        <f>'GEN Lion NORTH'!AS5+'GEN Lion SOUTH'!AS5</f>
        <v>15694.68</v>
      </c>
      <c r="AS4" s="165">
        <f>'GEN Lion NORTH'!AT5+'GEN Lion SOUTH'!AT5</f>
        <v>14764.74</v>
      </c>
      <c r="AT4" s="165">
        <f>'GEN Lion NORTH'!AU5+'GEN Lion SOUTH'!AU5</f>
        <v>17314.75</v>
      </c>
      <c r="AU4" s="165">
        <f>'GEN Lion NORTH'!AV5+'GEN Lion SOUTH'!AV5</f>
        <v>11147.51</v>
      </c>
      <c r="BA4" s="110">
        <f>SUM(AO4:INDEX(AO4:AQ4,IF($A$2&lt;3,$A$2,3)))</f>
        <v>24506.34550000001</v>
      </c>
      <c r="BB4" s="110">
        <f>SUM(AR4:INDEX(AR4:AT4,IF(AND($A$2&gt;3,A2&lt;7),$A$2-3,0)))</f>
        <v>47774.17</v>
      </c>
      <c r="BC4" s="110">
        <f>SUM(AU4:INDEX(AU4:AW4,IF(AND($A$2&gt;6,$A$2&lt;10),$A$2-6,0)))</f>
        <v>11147.51</v>
      </c>
      <c r="BD4" s="110">
        <f>SUM(AX4:INDEX(AX4:AZ4,IF($A$2&gt;9,$A$2-9,0)))</f>
        <v>0</v>
      </c>
      <c r="BE4" s="110">
        <f>SUM($AO4:INDEX(AO4:AZ4,$A$2))</f>
        <v>83428.025500000003</v>
      </c>
      <c r="BF4" s="122">
        <f>AO4/N4</f>
        <v>2.2364449683920045</v>
      </c>
      <c r="BG4" s="111">
        <f t="shared" ref="BG4:BQ14" si="1">AP4/O4</f>
        <v>4.3975718276745335</v>
      </c>
      <c r="BH4" s="111">
        <f t="shared" si="1"/>
        <v>2.2840691891696085</v>
      </c>
      <c r="BI4" s="111">
        <f t="shared" si="1"/>
        <v>2.3587380892193779</v>
      </c>
      <c r="BJ4" s="111">
        <f t="shared" si="1"/>
        <v>4.1461713301735941</v>
      </c>
      <c r="BK4" s="111">
        <f t="shared" si="1"/>
        <v>4.6479948706226777</v>
      </c>
      <c r="BL4" s="111">
        <f t="shared" si="1"/>
        <v>3.2420989994654432</v>
      </c>
      <c r="BM4" s="111">
        <f t="shared" si="1"/>
        <v>0</v>
      </c>
      <c r="BN4" s="111">
        <f t="shared" si="1"/>
        <v>0</v>
      </c>
      <c r="BO4" s="111">
        <f t="shared" si="1"/>
        <v>0</v>
      </c>
      <c r="BP4" s="111">
        <f t="shared" si="1"/>
        <v>0</v>
      </c>
      <c r="BQ4" s="111">
        <f t="shared" si="1"/>
        <v>0</v>
      </c>
      <c r="BR4" s="111">
        <f>BA4/SUM(N4:INDEX(N4:P4,IF($A$2&lt;3,$A$2,3)))</f>
        <v>2.784668325065971</v>
      </c>
      <c r="BS4" s="111">
        <f>BB4/SUM(Q4:INDEX(Q4:S4,IF($A$2&lt;7,$A$2-3,3)))</f>
        <v>3.4271017331034397</v>
      </c>
      <c r="BT4" s="111">
        <f t="shared" ref="BT4:BU13" si="2">BC4/AC4</f>
        <v>1.1344073872827729</v>
      </c>
      <c r="BU4" s="111">
        <f t="shared" si="2"/>
        <v>0</v>
      </c>
      <c r="BV4" s="111">
        <f>BE4/Z4</f>
        <v>3.1868393027375945</v>
      </c>
    </row>
    <row r="5" spans="1:74" outlineLevel="1" x14ac:dyDescent="0.25">
      <c r="A5" t="s">
        <v>5</v>
      </c>
      <c r="B5" s="6">
        <f>'Agency North'!C5+'Agency South'!C5</f>
        <v>2215.0100000000002</v>
      </c>
      <c r="C5" s="6">
        <f>'Agency North'!D5+'Agency South'!D5</f>
        <v>1135.6510000000001</v>
      </c>
      <c r="D5" s="6">
        <f>'Agency North'!E5+'Agency South'!E5</f>
        <v>2898.5385000000001</v>
      </c>
      <c r="E5" s="6">
        <f>'Agency North'!F5+'Agency South'!F5</f>
        <v>4939.4570000000003</v>
      </c>
      <c r="F5" s="6">
        <f>'Agency North'!G5+'Agency South'!G5</f>
        <v>3233.6025</v>
      </c>
      <c r="G5" s="6">
        <f>'Agency North'!H5+'Agency South'!H5</f>
        <v>3949.9409999999998</v>
      </c>
      <c r="H5" s="6">
        <f>'Agency North'!I5+'Agency South'!I5</f>
        <v>4551.5889999999999</v>
      </c>
      <c r="I5" s="6">
        <f>'Agency North'!J5+'Agency South'!J5</f>
        <v>2968.5990000000002</v>
      </c>
      <c r="J5" s="6">
        <f>'Agency North'!K5+'Agency South'!K5</f>
        <v>6420.1669999999995</v>
      </c>
      <c r="K5" s="6">
        <f>'Agency North'!L5+'Agency South'!L5</f>
        <v>3850.6580000000004</v>
      </c>
      <c r="L5" s="6">
        <f>'Agency North'!M5+'Agency South'!M5</f>
        <v>9004.2370000000301</v>
      </c>
      <c r="M5" s="6">
        <f>'Agency North'!N5+'Agency South'!N5</f>
        <v>8940.5859999999993</v>
      </c>
      <c r="N5" s="6">
        <f>'Agency North'!O5+'Agency South'!O5</f>
        <v>1368.249</v>
      </c>
      <c r="O5" s="6">
        <f>'Agency North'!P5+'Agency South'!P5</f>
        <v>1100.796</v>
      </c>
      <c r="P5" s="6">
        <f>'Agency North'!Q5+'Agency South'!Q5</f>
        <v>9133.3290000000015</v>
      </c>
      <c r="Q5" s="6">
        <f>'Agency North'!R5+'Agency South'!R5</f>
        <v>7448.6030000000101</v>
      </c>
      <c r="R5" s="6">
        <f>'Agency North'!S5+'Agency South'!S5</f>
        <v>6115.0020000000004</v>
      </c>
      <c r="S5" s="6">
        <f>'Agency North'!T5+'Agency South'!T5</f>
        <v>12667.78900000007</v>
      </c>
      <c r="T5" s="6">
        <f>'Agency North'!U5+'Agency South'!U5</f>
        <v>6581.7240000000102</v>
      </c>
      <c r="U5" s="6">
        <f>'Agency North'!V5+'Agency South'!V5</f>
        <v>7981.6760000000195</v>
      </c>
      <c r="V5" s="6">
        <f>'Agency North'!W5+'Agency South'!W5</f>
        <v>13617.750500000049</v>
      </c>
      <c r="W5" s="6">
        <f>'Agency North'!X5+'Agency South'!X5</f>
        <v>8497.1710000000203</v>
      </c>
      <c r="X5" s="6">
        <f>'Agency North'!Y5+'Agency South'!Y5</f>
        <v>11235.910000000051</v>
      </c>
      <c r="Y5" s="6">
        <f>'Agency North'!Z5+'Agency South'!Z5</f>
        <v>20535.086000000112</v>
      </c>
      <c r="Z5" s="22">
        <f>SUM(N5:INDEX(N5:Y5,$A$2))</f>
        <v>44415.492000000093</v>
      </c>
      <c r="AA5" s="22">
        <f t="shared" ref="AA5:AA10" si="3">SUM(N5:P5)</f>
        <v>11602.374000000002</v>
      </c>
      <c r="AB5" s="22">
        <f t="shared" ref="AB5:AB10" si="4">SUM(Q5:S5)</f>
        <v>26231.39400000008</v>
      </c>
      <c r="AC5" s="22">
        <f t="shared" ref="AC5:AC10" si="5">SUM(T5:V5)</f>
        <v>28181.15050000008</v>
      </c>
      <c r="AD5" s="22">
        <f t="shared" ref="AD5:AD10" si="6">SUM(W5:Y5)</f>
        <v>40268.167000000183</v>
      </c>
      <c r="AE5" s="22">
        <f>SUM(B5                                                                                : INDEX(B5:M5,$A$2))</f>
        <v>22923.789000000001</v>
      </c>
      <c r="AF5" s="22">
        <f t="shared" ref="AF5:AF10" si="7">SUM(B5:D5)</f>
        <v>6249.1995000000006</v>
      </c>
      <c r="AG5" s="22">
        <f t="shared" ref="AG5:AG10" si="8">SUM(E5:G5)</f>
        <v>12123.0005</v>
      </c>
      <c r="AH5" s="22">
        <f t="shared" ref="AH5:AH10" si="9">SUM(H5:J5)</f>
        <v>13940.355</v>
      </c>
      <c r="AI5" s="22">
        <f t="shared" ref="AI5:AI10" si="10">SUM(K5:M5)</f>
        <v>21795.481000000029</v>
      </c>
      <c r="AJ5" s="31">
        <f t="shared" ref="AJ5:AJ10" si="11">Z5/AE5-1</f>
        <v>0.93752839026742452</v>
      </c>
      <c r="AK5" s="31">
        <f t="shared" si="0"/>
        <v>0.85661763558676607</v>
      </c>
      <c r="AL5" s="31">
        <f t="shared" si="0"/>
        <v>1.163770759557428</v>
      </c>
      <c r="AM5" s="31">
        <f t="shared" si="0"/>
        <v>1.0215518543107462</v>
      </c>
      <c r="AN5" s="31">
        <f>AD5/SUM(K5:INDEX(K5:M5,MOD($A$2,3)))-1</f>
        <v>9.4574768779777845</v>
      </c>
      <c r="AO5" s="166">
        <f>'GEN Lion NORTH'!AP6+'GEN Lion SOUTH'!AP6</f>
        <v>4021.123</v>
      </c>
      <c r="AP5" s="166">
        <f>'GEN Lion NORTH'!AQ6+'GEN Lion SOUTH'!AQ6</f>
        <v>5862.4380000000092</v>
      </c>
      <c r="AQ5" s="166">
        <f>'GEN Lion NORTH'!AR6+'GEN Lion SOUTH'!AR6</f>
        <v>14371.029999999999</v>
      </c>
      <c r="AR5" s="165">
        <f>'GEN Lion NORTH'!AS6+'GEN Lion SOUTH'!AS6</f>
        <v>10653.189999999999</v>
      </c>
      <c r="AS5" s="165">
        <f>'GEN Lion NORTH'!AT6+'GEN Lion SOUTH'!AT6</f>
        <v>9712.19</v>
      </c>
      <c r="AT5" s="165">
        <f>'GEN Lion NORTH'!AU6+'GEN Lion SOUTH'!AU6</f>
        <v>19164.91</v>
      </c>
      <c r="AU5" s="165">
        <f>'GEN Lion NORTH'!AV6+'GEN Lion SOUTH'!AV6</f>
        <v>11118.03</v>
      </c>
      <c r="BA5" s="110">
        <f>SUM(AO5:INDEX(AO5:AQ5,IF($A$2&lt;3,$A$2,3)))</f>
        <v>24254.591000000008</v>
      </c>
      <c r="BB5" s="110">
        <f>SUM(AR5:INDEX(AR5:AT5,IF(AND($A$2&gt;3,A3&lt;7),$A$2-3,0)))</f>
        <v>39530.289999999994</v>
      </c>
      <c r="BC5" s="110">
        <f>SUM(AU5:INDEX(AU5:AW5,IF(AND($A$2&gt;6,$A$2&lt;10),$A$2-6,0)))</f>
        <v>11118.03</v>
      </c>
      <c r="BD5" s="110">
        <f>SUM(AX5:INDEX(AX5:AZ5,IF($A$2&gt;9,$A$2-9,0)))</f>
        <v>0</v>
      </c>
      <c r="BE5" s="110">
        <f>SUM($AO5:INDEX(AO5:AZ5,$A$2))</f>
        <v>74902.911000000007</v>
      </c>
      <c r="BF5" s="122">
        <f t="shared" ref="BF5:BF14" si="12">AO5/N5</f>
        <v>2.9388824694920297</v>
      </c>
      <c r="BG5" s="111">
        <f t="shared" si="1"/>
        <v>5.3256352675700214</v>
      </c>
      <c r="BH5" s="111">
        <f t="shared" si="1"/>
        <v>1.5734711844936273</v>
      </c>
      <c r="BI5" s="111">
        <f t="shared" si="1"/>
        <v>1.4302265807427224</v>
      </c>
      <c r="BJ5" s="111">
        <f t="shared" si="1"/>
        <v>1.5882562262448974</v>
      </c>
      <c r="BK5" s="111">
        <f t="shared" si="1"/>
        <v>1.5128851609384948</v>
      </c>
      <c r="BL5" s="111">
        <f t="shared" si="1"/>
        <v>1.6892276248593809</v>
      </c>
      <c r="BM5" s="111">
        <f t="shared" si="1"/>
        <v>0</v>
      </c>
      <c r="BN5" s="111">
        <f t="shared" si="1"/>
        <v>0</v>
      </c>
      <c r="BO5" s="111">
        <f t="shared" si="1"/>
        <v>0</v>
      </c>
      <c r="BP5" s="111">
        <f t="shared" si="1"/>
        <v>0</v>
      </c>
      <c r="BQ5" s="111">
        <f t="shared" si="1"/>
        <v>0</v>
      </c>
      <c r="BR5" s="111">
        <f>BA5/SUM(N5:INDEX(N5:P5,IF($A$2&lt;3,$A$2,3)))</f>
        <v>2.0904851886346711</v>
      </c>
      <c r="BS5" s="111">
        <f>BB5/SUM(Q5:INDEX(Q5:S5,IF($A$2&lt;7,$A$2-3,3)))</f>
        <v>1.5069839597544787</v>
      </c>
      <c r="BT5" s="111">
        <f t="shared" si="2"/>
        <v>0.39452008887997564</v>
      </c>
      <c r="BU5" s="111">
        <f t="shared" si="2"/>
        <v>0</v>
      </c>
      <c r="BV5" s="111">
        <f t="shared" ref="BV5:BV13" si="13">BE5/Z5</f>
        <v>1.6864140782229735</v>
      </c>
    </row>
    <row r="6" spans="1:74" outlineLevel="1" x14ac:dyDescent="0.25">
      <c r="A6" t="s">
        <v>6</v>
      </c>
      <c r="B6" s="6">
        <f>'Agency North'!C6+'Agency South'!C6</f>
        <v>1833.4189999999999</v>
      </c>
      <c r="C6" s="6">
        <f>'Agency North'!D6+'Agency South'!D6</f>
        <v>1845.8719999999989</v>
      </c>
      <c r="D6" s="6">
        <f>'Agency North'!E6+'Agency South'!E6</f>
        <v>2152.123</v>
      </c>
      <c r="E6" s="6">
        <f>'Agency North'!F6+'Agency South'!F6</f>
        <v>3245.8809999999999</v>
      </c>
      <c r="F6" s="6">
        <f>'Agency North'!G6+'Agency South'!G6</f>
        <v>3462.1035000000002</v>
      </c>
      <c r="G6" s="6">
        <f>'Agency North'!H6+'Agency South'!H6</f>
        <v>3583.7950000000001</v>
      </c>
      <c r="H6" s="6">
        <f>'Agency North'!I6+'Agency South'!I6</f>
        <v>3607.2930000000001</v>
      </c>
      <c r="I6" s="6">
        <f>'Agency North'!J6+'Agency South'!J6</f>
        <v>2551.8900000000003</v>
      </c>
      <c r="J6" s="6">
        <f>'Agency North'!K6+'Agency South'!K6</f>
        <v>4640.3310000000001</v>
      </c>
      <c r="K6" s="6">
        <f>'Agency North'!L6+'Agency South'!L6</f>
        <v>4692.4780000000001</v>
      </c>
      <c r="L6" s="6">
        <f>'Agency North'!M6+'Agency South'!M6</f>
        <v>3067.681</v>
      </c>
      <c r="M6" s="6">
        <f>'Agency North'!N6+'Agency South'!N6</f>
        <v>8836.2370000000101</v>
      </c>
      <c r="N6" s="6">
        <f>'Agency North'!O6+'Agency South'!O6</f>
        <v>1892.0679999999979</v>
      </c>
      <c r="O6" s="6">
        <f>'Agency North'!P6+'Agency South'!P6</f>
        <v>1061.71</v>
      </c>
      <c r="P6" s="6">
        <f>'Agency North'!Q6+'Agency South'!Q6</f>
        <v>1584.623</v>
      </c>
      <c r="Q6" s="6">
        <f>'Agency North'!R6+'Agency South'!R6</f>
        <v>3938.538</v>
      </c>
      <c r="R6" s="6">
        <f>'Agency North'!S6+'Agency South'!S6</f>
        <v>3667.857</v>
      </c>
      <c r="S6" s="6">
        <f>'Agency North'!T6+'Agency South'!T6</f>
        <v>6452.6640000000007</v>
      </c>
      <c r="T6" s="6">
        <f>'Agency North'!U6+'Agency South'!U6</f>
        <v>5352.9589999999998</v>
      </c>
      <c r="U6" s="6">
        <f>'Agency North'!V6+'Agency South'!V6</f>
        <v>3978.529</v>
      </c>
      <c r="V6" s="6">
        <f>'Agency North'!W6+'Agency South'!W6</f>
        <v>7996.2820000000202</v>
      </c>
      <c r="W6" s="6">
        <f>'Agency North'!X6+'Agency South'!X6</f>
        <v>7832.3809999999994</v>
      </c>
      <c r="X6" s="6">
        <f>'Agency North'!Y6+'Agency South'!Y6</f>
        <v>8536.5800000000108</v>
      </c>
      <c r="Y6" s="6">
        <f>'Agency North'!Z6+'Agency South'!Z6</f>
        <v>10129.290000000021</v>
      </c>
      <c r="Z6" s="22">
        <f>SUM(N6:INDEX(N6:Y6,$A$2))</f>
        <v>23950.418999999998</v>
      </c>
      <c r="AA6" s="22">
        <f t="shared" si="3"/>
        <v>4538.400999999998</v>
      </c>
      <c r="AB6" s="22">
        <f t="shared" si="4"/>
        <v>14059.059000000001</v>
      </c>
      <c r="AC6" s="22">
        <f t="shared" si="5"/>
        <v>17327.770000000019</v>
      </c>
      <c r="AD6" s="22">
        <f t="shared" si="6"/>
        <v>26498.251000000033</v>
      </c>
      <c r="AE6" s="22">
        <f>SUM(B6                                                                                : INDEX(B6:M6,$A$2))</f>
        <v>19730.486499999999</v>
      </c>
      <c r="AF6" s="22">
        <f t="shared" si="7"/>
        <v>5831.4139999999989</v>
      </c>
      <c r="AG6" s="22">
        <f t="shared" si="8"/>
        <v>10291.779500000001</v>
      </c>
      <c r="AH6" s="22">
        <f t="shared" si="9"/>
        <v>10799.514000000001</v>
      </c>
      <c r="AI6" s="22">
        <f t="shared" si="10"/>
        <v>16596.396000000008</v>
      </c>
      <c r="AJ6" s="31">
        <f t="shared" si="11"/>
        <v>0.2138787860096607</v>
      </c>
      <c r="AK6" s="31">
        <f t="shared" si="0"/>
        <v>-0.22173232769959417</v>
      </c>
      <c r="AL6" s="31">
        <f t="shared" si="0"/>
        <v>0.36604743620867519</v>
      </c>
      <c r="AM6" s="31">
        <f t="shared" si="0"/>
        <v>0.60449535043891944</v>
      </c>
      <c r="AN6" s="31">
        <f>AD6/SUM(K6:INDEX(K6:M6,MOD($A$2,3)))-1</f>
        <v>4.6469632889062096</v>
      </c>
      <c r="AO6" s="166">
        <f>'GEN Lion NORTH'!AP7+'GEN Lion SOUTH'!AP7</f>
        <v>3546.127</v>
      </c>
      <c r="AP6" s="166">
        <f>'GEN Lion NORTH'!AQ7+'GEN Lion SOUTH'!AQ7</f>
        <v>2647.5230000000001</v>
      </c>
      <c r="AQ6" s="166">
        <f>'GEN Lion NORTH'!AR7+'GEN Lion SOUTH'!AR7</f>
        <v>7056.42</v>
      </c>
      <c r="AR6" s="165">
        <f>'GEN Lion NORTH'!AS7+'GEN Lion SOUTH'!AS7</f>
        <v>5407.6</v>
      </c>
      <c r="AS6" s="165">
        <f>'GEN Lion NORTH'!AT7+'GEN Lion SOUTH'!AT7</f>
        <v>5843.96</v>
      </c>
      <c r="AT6" s="165">
        <f>'GEN Lion NORTH'!AU7+'GEN Lion SOUTH'!AU7</f>
        <v>4276.42</v>
      </c>
      <c r="AU6" s="165">
        <f>'GEN Lion NORTH'!AV7+'GEN Lion SOUTH'!AV7</f>
        <v>5405.5</v>
      </c>
      <c r="BA6" s="110">
        <f>SUM(AO6:INDEX(AO6:AQ6,IF($A$2&lt;3,$A$2,3)))</f>
        <v>13250.07</v>
      </c>
      <c r="BB6" s="110">
        <f>SUM(AR6:INDEX(AR6:AT6,IF(AND($A$2&gt;3,A4&lt;7),$A$2-3,0)))</f>
        <v>15527.980000000001</v>
      </c>
      <c r="BC6" s="110">
        <f>SUM(AU6:INDEX(AU6:AW6,IF(AND($A$2&gt;6,$A$2&lt;10),$A$2-6,0)))</f>
        <v>5405.5</v>
      </c>
      <c r="BD6" s="110">
        <f>SUM(AX6:INDEX(AX6:AZ6,IF($A$2&gt;9,$A$2-9,0)))</f>
        <v>0</v>
      </c>
      <c r="BE6" s="110">
        <f>SUM($AO6:INDEX(AO6:AZ6,$A$2))</f>
        <v>34183.549999999996</v>
      </c>
      <c r="BF6" s="122">
        <f t="shared" si="12"/>
        <v>1.8742069523928335</v>
      </c>
      <c r="BG6" s="111">
        <f t="shared" si="1"/>
        <v>2.4936404479565986</v>
      </c>
      <c r="BH6" s="111">
        <f t="shared" si="1"/>
        <v>4.4530591819000485</v>
      </c>
      <c r="BI6" s="111">
        <f t="shared" si="1"/>
        <v>1.3729967820546609</v>
      </c>
      <c r="BJ6" s="111">
        <f t="shared" si="1"/>
        <v>1.5932900328447919</v>
      </c>
      <c r="BK6" s="111">
        <f t="shared" si="1"/>
        <v>0.66273712686729069</v>
      </c>
      <c r="BL6" s="111">
        <f t="shared" si="1"/>
        <v>1.0098153189665753</v>
      </c>
      <c r="BM6" s="111">
        <f t="shared" si="1"/>
        <v>0</v>
      </c>
      <c r="BN6" s="111">
        <f t="shared" si="1"/>
        <v>0</v>
      </c>
      <c r="BO6" s="111">
        <f t="shared" si="1"/>
        <v>0</v>
      </c>
      <c r="BP6" s="111">
        <f t="shared" si="1"/>
        <v>0</v>
      </c>
      <c r="BQ6" s="111">
        <f t="shared" si="1"/>
        <v>0</v>
      </c>
      <c r="BR6" s="111">
        <f>BA6/SUM(N6:INDEX(N6:P6,IF($A$2&lt;3,$A$2,3)))</f>
        <v>2.9195458929257256</v>
      </c>
      <c r="BS6" s="111">
        <f>BB6/SUM(Q6:INDEX(Q6:S6,IF($A$2&lt;7,$A$2-3,3)))</f>
        <v>1.1044821705350265</v>
      </c>
      <c r="BT6" s="111">
        <f t="shared" si="2"/>
        <v>0.31195589507478422</v>
      </c>
      <c r="BU6" s="111">
        <f t="shared" si="2"/>
        <v>0</v>
      </c>
      <c r="BV6" s="111">
        <f t="shared" si="13"/>
        <v>1.4272631305531649</v>
      </c>
    </row>
    <row r="7" spans="1:74" outlineLevel="1" x14ac:dyDescent="0.25">
      <c r="A7" t="s">
        <v>7</v>
      </c>
      <c r="B7" s="6">
        <f>'Agency North'!C7+'Agency South'!C7</f>
        <v>2138.857</v>
      </c>
      <c r="C7" s="6">
        <f>'Agency North'!D7+'Agency South'!D7</f>
        <v>2025.3710000000001</v>
      </c>
      <c r="D7" s="6">
        <f>'Agency North'!E7+'Agency South'!E7</f>
        <v>4003.261</v>
      </c>
      <c r="E7" s="6">
        <f>'Agency North'!F7+'Agency South'!F7</f>
        <v>2267.1480000000001</v>
      </c>
      <c r="F7" s="6">
        <f>'Agency North'!G7+'Agency South'!G7</f>
        <v>2507.89</v>
      </c>
      <c r="G7" s="6">
        <f>'Agency North'!H7+'Agency South'!H7</f>
        <v>5719.6979999999903</v>
      </c>
      <c r="H7" s="6">
        <f>'Agency North'!I7+'Agency South'!I7</f>
        <v>4692.2430000000004</v>
      </c>
      <c r="I7" s="6">
        <f>'Agency North'!J7+'Agency South'!J7</f>
        <v>2581.433</v>
      </c>
      <c r="J7" s="6">
        <f>'Agency North'!K7+'Agency South'!K7</f>
        <v>5623.4359999999997</v>
      </c>
      <c r="K7" s="6">
        <f>'Agency North'!L7+'Agency South'!L7</f>
        <v>4675.3940000000002</v>
      </c>
      <c r="L7" s="6">
        <f>'Agency North'!M7+'Agency South'!M7</f>
        <v>7509.3860000000004</v>
      </c>
      <c r="M7" s="6">
        <f>'Agency North'!N7+'Agency South'!N7</f>
        <v>7476.3194999999996</v>
      </c>
      <c r="N7" s="6">
        <f>'Agency North'!O7+'Agency South'!O7</f>
        <v>2336.337</v>
      </c>
      <c r="O7" s="6">
        <f>'Agency North'!P7+'Agency South'!P7</f>
        <v>3415.6980000000003</v>
      </c>
      <c r="P7" s="6">
        <f>'Agency North'!Q7+'Agency South'!Q7</f>
        <v>5114.1030000000001</v>
      </c>
      <c r="Q7" s="6">
        <f>'Agency North'!R7+'Agency South'!R7</f>
        <v>2133.2659999999992</v>
      </c>
      <c r="R7" s="6">
        <f>'Agency North'!S7+'Agency South'!S7</f>
        <v>4489.7569999999996</v>
      </c>
      <c r="S7" s="6">
        <f>'Agency North'!T7+'Agency South'!T7</f>
        <v>6619.0450000000001</v>
      </c>
      <c r="T7" s="6">
        <f>'Agency North'!U7+'Agency South'!U7</f>
        <v>5448.5640000000003</v>
      </c>
      <c r="U7" s="6">
        <f>'Agency North'!V7+'Agency South'!V7</f>
        <v>6037.7960000000094</v>
      </c>
      <c r="V7" s="6">
        <f>'Agency North'!W7+'Agency South'!W7</f>
        <v>8443.2695000000003</v>
      </c>
      <c r="W7" s="6">
        <f>'Agency North'!X7+'Agency South'!X7</f>
        <v>5178.5619999999999</v>
      </c>
      <c r="X7" s="6">
        <f>'Agency North'!Y7+'Agency South'!Y7</f>
        <v>10998.69850000002</v>
      </c>
      <c r="Y7" s="6">
        <f>'Agency North'!Z7+'Agency South'!Z7</f>
        <v>22703.76300000013</v>
      </c>
      <c r="Z7" s="22">
        <f>SUM(N7:INDEX(N7:Y7,$A$2))</f>
        <v>29556.769999999997</v>
      </c>
      <c r="AA7" s="22">
        <f>SUM(N7:P7)</f>
        <v>10866.137999999999</v>
      </c>
      <c r="AB7" s="22">
        <f t="shared" si="4"/>
        <v>13242.067999999999</v>
      </c>
      <c r="AC7" s="22">
        <f t="shared" si="5"/>
        <v>19929.62950000001</v>
      </c>
      <c r="AD7" s="22">
        <f t="shared" si="6"/>
        <v>38881.023500000148</v>
      </c>
      <c r="AE7" s="22">
        <f>SUM(B7                                                                                : INDEX(B7:M7,$A$2))</f>
        <v>23354.467999999986</v>
      </c>
      <c r="AF7" s="22">
        <f t="shared" si="7"/>
        <v>8167.4889999999996</v>
      </c>
      <c r="AG7" s="22">
        <f t="shared" si="8"/>
        <v>10494.73599999999</v>
      </c>
      <c r="AH7" s="22">
        <f t="shared" si="9"/>
        <v>12897.112000000001</v>
      </c>
      <c r="AI7" s="22">
        <f t="shared" si="10"/>
        <v>19661.0995</v>
      </c>
      <c r="AJ7" s="31">
        <f t="shared" si="11"/>
        <v>0.26557239496956275</v>
      </c>
      <c r="AK7" s="31">
        <f t="shared" si="0"/>
        <v>0.33041354570541803</v>
      </c>
      <c r="AL7" s="31">
        <f t="shared" si="0"/>
        <v>0.26178190666254131</v>
      </c>
      <c r="AM7" s="31">
        <f t="shared" si="0"/>
        <v>0.54527847009470087</v>
      </c>
      <c r="AN7" s="31">
        <f>AD7/SUM(K7:INDEX(K7:M7,MOD($A$2,3)))-1</f>
        <v>7.3160956060601841</v>
      </c>
      <c r="AO7" s="166">
        <f>'GEN Lion NORTH'!AP8+'GEN Lion SOUTH'!AP8</f>
        <v>6171.4570000000003</v>
      </c>
      <c r="AP7" s="166">
        <f>'GEN Lion NORTH'!AQ8+'GEN Lion SOUTH'!AQ8</f>
        <v>9958.8110000000088</v>
      </c>
      <c r="AQ7" s="166">
        <f>'GEN Lion NORTH'!AR8+'GEN Lion SOUTH'!AR8</f>
        <v>6642.41</v>
      </c>
      <c r="AR7" s="165">
        <f>'GEN Lion NORTH'!AS8+'GEN Lion SOUTH'!AS8</f>
        <v>4337.8999999999996</v>
      </c>
      <c r="AS7" s="165">
        <f>'GEN Lion NORTH'!AT8+'GEN Lion SOUTH'!AT8</f>
        <v>4948.32</v>
      </c>
      <c r="AT7" s="165">
        <f>'GEN Lion NORTH'!AU8+'GEN Lion SOUTH'!AU8</f>
        <v>6118.41</v>
      </c>
      <c r="AU7" s="165">
        <f>'GEN Lion NORTH'!AV8+'GEN Lion SOUTH'!AV8</f>
        <v>6083.01</v>
      </c>
      <c r="BA7" s="110">
        <f>SUM(AO7:INDEX(AO7:AQ7,IF($A$2&lt;3,$A$2,3)))</f>
        <v>22772.678000000007</v>
      </c>
      <c r="BB7" s="110">
        <f>SUM(AR7:INDEX(AR7:AT7,IF(AND($A$2&gt;3,A5&lt;7),$A$2-3,0)))</f>
        <v>15404.63</v>
      </c>
      <c r="BC7" s="110">
        <f>SUM(AU7:INDEX(AU7:AW7,IF(AND($A$2&gt;6,$A$2&lt;10),$A$2-6,0)))</f>
        <v>6083.01</v>
      </c>
      <c r="BD7" s="110">
        <f>SUM(AX7:INDEX(AX7:AZ7,IF($A$2&gt;9,$A$2-9,0)))</f>
        <v>0</v>
      </c>
      <c r="BE7" s="110">
        <f>SUM($AO7:INDEX(AO7:AZ7,$A$2))</f>
        <v>44260.318000000007</v>
      </c>
      <c r="BF7" s="122">
        <f t="shared" si="12"/>
        <v>2.6415097650724189</v>
      </c>
      <c r="BG7" s="111">
        <f t="shared" si="1"/>
        <v>2.9156005595342469</v>
      </c>
      <c r="BH7" s="111">
        <f t="shared" si="1"/>
        <v>1.2988416541473646</v>
      </c>
      <c r="BI7" s="111">
        <f t="shared" si="1"/>
        <v>2.0334548059173123</v>
      </c>
      <c r="BJ7" s="111">
        <f t="shared" si="1"/>
        <v>1.1021353716916082</v>
      </c>
      <c r="BK7" s="111">
        <f t="shared" si="1"/>
        <v>0.92436446647514858</v>
      </c>
      <c r="BL7" s="111">
        <f t="shared" si="1"/>
        <v>1.1164427911647914</v>
      </c>
      <c r="BM7" s="111">
        <f t="shared" si="1"/>
        <v>0</v>
      </c>
      <c r="BN7" s="111">
        <f t="shared" si="1"/>
        <v>0</v>
      </c>
      <c r="BO7" s="111">
        <f t="shared" si="1"/>
        <v>0</v>
      </c>
      <c r="BP7" s="111">
        <f t="shared" si="1"/>
        <v>0</v>
      </c>
      <c r="BQ7" s="111">
        <f t="shared" si="1"/>
        <v>0</v>
      </c>
      <c r="BR7" s="111">
        <f>BA7/SUM(N7:INDEX(N7:P7,IF($A$2&lt;3,$A$2,3)))</f>
        <v>2.0957471734667834</v>
      </c>
      <c r="BS7" s="111">
        <f>BB7/SUM(Q7:INDEX(Q7:S7,IF($A$2&lt;7,$A$2-3,3)))</f>
        <v>1.1633099905543454</v>
      </c>
      <c r="BT7" s="111">
        <f t="shared" si="2"/>
        <v>0.30522443982212499</v>
      </c>
      <c r="BU7" s="111">
        <f t="shared" si="2"/>
        <v>0</v>
      </c>
      <c r="BV7" s="111">
        <f t="shared" si="13"/>
        <v>1.497468025092052</v>
      </c>
    </row>
    <row r="8" spans="1:74" outlineLevel="1" x14ac:dyDescent="0.25">
      <c r="A8" t="s">
        <v>8</v>
      </c>
      <c r="B8" s="6">
        <f>'Agency North'!C8+'Agency South'!C8</f>
        <v>892.84500000000003</v>
      </c>
      <c r="C8" s="6">
        <f>'Agency North'!D8+'Agency South'!D8</f>
        <v>1141.2380000000001</v>
      </c>
      <c r="D8" s="6">
        <f>'Agency North'!E8+'Agency South'!E8</f>
        <v>2651.183</v>
      </c>
      <c r="E8" s="6">
        <f>'Agency North'!F8+'Agency South'!F8</f>
        <v>3955.297</v>
      </c>
      <c r="F8" s="6">
        <f>'Agency North'!G8+'Agency South'!G8</f>
        <v>3118.8090000000002</v>
      </c>
      <c r="G8" s="6">
        <f>'Agency North'!H8+'Agency South'!H8</f>
        <v>2872.9290000000001</v>
      </c>
      <c r="H8" s="6">
        <f>'Agency North'!I8+'Agency South'!I8</f>
        <v>3602.7525000000001</v>
      </c>
      <c r="I8" s="6">
        <f>'Agency North'!J8+'Agency South'!J8</f>
        <v>2927.777</v>
      </c>
      <c r="J8" s="6">
        <f>'Agency North'!K8+'Agency South'!K8</f>
        <v>4745.6809999999896</v>
      </c>
      <c r="K8" s="6">
        <f>'Agency North'!L8+'Agency South'!L8</f>
        <v>3822.6244999999999</v>
      </c>
      <c r="L8" s="6">
        <f>'Agency North'!M8+'Agency South'!M8</f>
        <v>5850.9989999999998</v>
      </c>
      <c r="M8" s="6">
        <f>'Agency North'!N8+'Agency South'!N8</f>
        <v>8437.9279999999999</v>
      </c>
      <c r="N8" s="6">
        <f>'Agency North'!O8+'Agency South'!O8</f>
        <v>1984.9610000000002</v>
      </c>
      <c r="O8" s="6">
        <f>'Agency North'!P8+'Agency South'!P8</f>
        <v>1746.779</v>
      </c>
      <c r="P8" s="6">
        <f>'Agency North'!Q8+'Agency South'!Q8</f>
        <v>5648.0219999999999</v>
      </c>
      <c r="Q8" s="6">
        <f>'Agency North'!R8+'Agency South'!R8</f>
        <v>5598.7109999999993</v>
      </c>
      <c r="R8" s="6">
        <f>'Agency North'!S8+'Agency South'!S8</f>
        <v>2982.6890000000003</v>
      </c>
      <c r="S8" s="6">
        <f>'Agency North'!T8+'Agency South'!T8</f>
        <v>2686.616</v>
      </c>
      <c r="T8" s="6">
        <f>'Agency North'!U8+'Agency South'!U8</f>
        <v>2630.8220000000001</v>
      </c>
      <c r="U8" s="6">
        <f>'Agency North'!V8+'Agency South'!V8</f>
        <v>3954.4870000000001</v>
      </c>
      <c r="V8" s="6">
        <f>'Agency North'!W8+'Agency South'!W8</f>
        <v>6037.6844999999994</v>
      </c>
      <c r="W8" s="6">
        <f>'Agency North'!X8+'Agency South'!X8</f>
        <v>6882.4295000000002</v>
      </c>
      <c r="X8" s="6">
        <f>'Agency North'!Y8+'Agency South'!Y8</f>
        <v>4610.6565000000001</v>
      </c>
      <c r="Y8" s="6">
        <f>'Agency North'!Z8+'Agency South'!Z8</f>
        <v>9361.8205000000198</v>
      </c>
      <c r="Z8" s="22">
        <f>SUM(N8:INDEX(N8:Y8,$A$2))</f>
        <v>23278.6</v>
      </c>
      <c r="AA8" s="22">
        <f t="shared" si="3"/>
        <v>9379.7620000000006</v>
      </c>
      <c r="AB8" s="22">
        <f t="shared" si="4"/>
        <v>11268.016</v>
      </c>
      <c r="AC8" s="22">
        <f t="shared" si="5"/>
        <v>12622.9935</v>
      </c>
      <c r="AD8" s="22">
        <f t="shared" si="6"/>
        <v>20854.906500000019</v>
      </c>
      <c r="AE8" s="22">
        <f>SUM(B8                                                                                : INDEX(B8:M8,$A$2))</f>
        <v>18235.053499999998</v>
      </c>
      <c r="AF8" s="22">
        <f t="shared" si="7"/>
        <v>4685.2659999999996</v>
      </c>
      <c r="AG8" s="22">
        <f t="shared" si="8"/>
        <v>9947.0349999999999</v>
      </c>
      <c r="AH8" s="22">
        <f t="shared" si="9"/>
        <v>11276.21049999999</v>
      </c>
      <c r="AI8" s="22">
        <f t="shared" si="10"/>
        <v>18111.551500000001</v>
      </c>
      <c r="AJ8" s="31">
        <f t="shared" si="11"/>
        <v>0.27658523184480921</v>
      </c>
      <c r="AK8" s="31">
        <f t="shared" si="0"/>
        <v>1.0019700055450431</v>
      </c>
      <c r="AL8" s="31">
        <f t="shared" si="0"/>
        <v>0.13280148305500084</v>
      </c>
      <c r="AM8" s="31">
        <f t="shared" si="0"/>
        <v>0.1194357803093522</v>
      </c>
      <c r="AN8" s="31">
        <f>AD8/SUM(K8:INDEX(K8:M8,MOD($A$2,3)))-1</f>
        <v>4.4556513463459515</v>
      </c>
      <c r="AO8" s="166">
        <f>'GEN Lion NORTH'!AP9+'GEN Lion SOUTH'!AP9</f>
        <v>2961.2905000000001</v>
      </c>
      <c r="AP8" s="166">
        <f>'GEN Lion NORTH'!AQ9+'GEN Lion SOUTH'!AQ9</f>
        <v>6837.1260000000002</v>
      </c>
      <c r="AQ8" s="166">
        <f>'GEN Lion NORTH'!AR9+'GEN Lion SOUTH'!AR9</f>
        <v>10339.25</v>
      </c>
      <c r="AR8" s="165">
        <f>'GEN Lion NORTH'!AS9+'GEN Lion SOUTH'!AS9</f>
        <v>3249.18</v>
      </c>
      <c r="AS8" s="165">
        <f>'GEN Lion NORTH'!AT9+'GEN Lion SOUTH'!AT9</f>
        <v>2678.03</v>
      </c>
      <c r="AT8" s="165">
        <f>'GEN Lion NORTH'!AU9+'GEN Lion SOUTH'!AU9</f>
        <v>2477.69</v>
      </c>
      <c r="AU8" s="165">
        <f>'GEN Lion NORTH'!AV9+'GEN Lion SOUTH'!AV9</f>
        <v>2726.22</v>
      </c>
      <c r="BA8" s="110">
        <f>SUM(AO8:INDEX(AO8:AQ8,IF($A$2&lt;3,$A$2,3)))</f>
        <v>20137.666499999999</v>
      </c>
      <c r="BB8" s="110">
        <f>SUM(AR8:INDEX(AR8:AT8,IF(AND($A$2&gt;3,A6&lt;7),$A$2-3,0)))</f>
        <v>8404.9</v>
      </c>
      <c r="BC8" s="110">
        <f>SUM(AU8:INDEX(AU8:AW8,IF(AND($A$2&gt;6,$A$2&lt;10),$A$2-6,0)))</f>
        <v>2726.22</v>
      </c>
      <c r="BD8" s="110">
        <f>SUM(AX8:INDEX(AX8:AZ8,IF($A$2&gt;9,$A$2-9,0)))</f>
        <v>0</v>
      </c>
      <c r="BE8" s="110">
        <f>SUM($AO8:INDEX(AO8:AZ8,$A$2))</f>
        <v>31268.786499999998</v>
      </c>
      <c r="BF8" s="122">
        <f t="shared" si="12"/>
        <v>1.4918633162062125</v>
      </c>
      <c r="BG8" s="111">
        <f t="shared" si="1"/>
        <v>3.9141333849330682</v>
      </c>
      <c r="BH8" s="111">
        <f t="shared" si="1"/>
        <v>1.8305966230301511</v>
      </c>
      <c r="BI8" s="111">
        <f t="shared" si="1"/>
        <v>0.58034429710695912</v>
      </c>
      <c r="BJ8" s="111">
        <f t="shared" si="1"/>
        <v>0.89785760432951611</v>
      </c>
      <c r="BK8" s="111">
        <f t="shared" si="1"/>
        <v>0.92223451360373054</v>
      </c>
      <c r="BL8" s="111">
        <f t="shared" si="1"/>
        <v>1.036261670306847</v>
      </c>
      <c r="BM8" s="111">
        <f t="shared" si="1"/>
        <v>0</v>
      </c>
      <c r="BN8" s="111">
        <f t="shared" si="1"/>
        <v>0</v>
      </c>
      <c r="BO8" s="111">
        <f t="shared" si="1"/>
        <v>0</v>
      </c>
      <c r="BP8" s="111">
        <f t="shared" si="1"/>
        <v>0</v>
      </c>
      <c r="BQ8" s="111">
        <f t="shared" si="1"/>
        <v>0</v>
      </c>
      <c r="BR8" s="111">
        <f>BA8/SUM(N8:INDEX(N8:P8,IF($A$2&lt;3,$A$2,3)))</f>
        <v>2.1469272354671682</v>
      </c>
      <c r="BS8" s="111">
        <f>BB8/SUM(Q8:INDEX(Q8:S8,IF($A$2&lt;7,$A$2-3,3)))</f>
        <v>0.74590770904123671</v>
      </c>
      <c r="BT8" s="111">
        <f t="shared" si="2"/>
        <v>0.21597254248764367</v>
      </c>
      <c r="BU8" s="111">
        <f t="shared" si="2"/>
        <v>0</v>
      </c>
      <c r="BV8" s="111">
        <f t="shared" si="13"/>
        <v>1.3432417112712964</v>
      </c>
    </row>
    <row r="9" spans="1:74" outlineLevel="1" x14ac:dyDescent="0.25">
      <c r="A9" t="s">
        <v>1</v>
      </c>
      <c r="B9" s="6">
        <f>'Agency North'!C9+'Agency South'!C9</f>
        <v>914.47900000000004</v>
      </c>
      <c r="C9" s="6">
        <f>'Agency North'!D9+'Agency South'!D9</f>
        <v>1213.105</v>
      </c>
      <c r="D9" s="6">
        <f>'Agency North'!E9+'Agency South'!E9</f>
        <v>1431.7315000000001</v>
      </c>
      <c r="E9" s="6">
        <f>'Agency North'!F9+'Agency South'!F9</f>
        <v>3355.0014999999999</v>
      </c>
      <c r="F9" s="6">
        <f>'Agency North'!G9+'Agency South'!G9</f>
        <v>2541.7690000000002</v>
      </c>
      <c r="G9" s="6">
        <f>'Agency North'!H9+'Agency South'!H9</f>
        <v>5312.2894999999999</v>
      </c>
      <c r="H9" s="6">
        <f>'Agency North'!I9+'Agency South'!I9</f>
        <v>4173.518</v>
      </c>
      <c r="I9" s="6">
        <f>'Agency North'!J9+'Agency South'!J9</f>
        <v>2275.2130000000002</v>
      </c>
      <c r="J9" s="6">
        <f>'Agency North'!K9+'Agency South'!K9</f>
        <v>5555.9755000000005</v>
      </c>
      <c r="K9" s="6">
        <f>'Agency North'!L9+'Agency South'!L9</f>
        <v>4704.2089999999998</v>
      </c>
      <c r="L9" s="6">
        <f>'Agency North'!M9+'Agency South'!M9</f>
        <v>7974.4080000000104</v>
      </c>
      <c r="M9" s="6">
        <f>'Agency North'!N9+'Agency South'!N9</f>
        <v>8764.4260000000104</v>
      </c>
      <c r="N9" s="6">
        <f>'Agency North'!O9+'Agency South'!O9</f>
        <v>1616.8400000000001</v>
      </c>
      <c r="O9" s="6">
        <f>'Agency North'!P9+'Agency South'!P9</f>
        <v>2068.085</v>
      </c>
      <c r="P9" s="6">
        <f>'Agency North'!Q9+'Agency South'!Q9</f>
        <v>5000.5460000000003</v>
      </c>
      <c r="Q9" s="6">
        <f>'Agency North'!R9+'Agency South'!R9</f>
        <v>3447.4809999999998</v>
      </c>
      <c r="R9" s="6">
        <f>'Agency North'!S9+'Agency South'!S9</f>
        <v>4656.9429999999993</v>
      </c>
      <c r="S9" s="6">
        <f>'Agency North'!T9+'Agency South'!T9</f>
        <v>5839.1910000000007</v>
      </c>
      <c r="T9" s="6">
        <f>'Agency North'!U9+'Agency South'!U9</f>
        <v>4157.2150000000001</v>
      </c>
      <c r="U9" s="6">
        <f>'Agency North'!V9+'Agency South'!V9</f>
        <v>3667.2645000000002</v>
      </c>
      <c r="V9" s="6">
        <f>'Agency North'!W9+'Agency South'!W9</f>
        <v>4619.116</v>
      </c>
      <c r="W9" s="6">
        <f>'Agency North'!X9+'Agency South'!X9</f>
        <v>3624.163</v>
      </c>
      <c r="X9" s="6">
        <f>'Agency North'!Y9+'Agency South'!Y9</f>
        <v>6912.0489999999991</v>
      </c>
      <c r="Y9" s="6">
        <f>'Agency North'!Z9+'Agency South'!Z9</f>
        <v>13800.907000000021</v>
      </c>
      <c r="Z9" s="22">
        <f>SUM(N9:INDEX(N9:Y9,$A$2))</f>
        <v>26786.301000000003</v>
      </c>
      <c r="AA9" s="22">
        <f t="shared" si="3"/>
        <v>8685.4710000000014</v>
      </c>
      <c r="AB9" s="22">
        <f t="shared" si="4"/>
        <v>13943.615</v>
      </c>
      <c r="AC9" s="22">
        <f t="shared" si="5"/>
        <v>12443.595499999999</v>
      </c>
      <c r="AD9" s="22">
        <f t="shared" si="6"/>
        <v>24337.119000000021</v>
      </c>
      <c r="AE9" s="22">
        <f>SUM(B9                                                                                : INDEX(B9:M9,$A$2))</f>
        <v>18941.893499999998</v>
      </c>
      <c r="AF9" s="22">
        <f t="shared" si="7"/>
        <v>3559.3154999999997</v>
      </c>
      <c r="AG9" s="22">
        <f t="shared" si="8"/>
        <v>11209.060000000001</v>
      </c>
      <c r="AH9" s="22">
        <f t="shared" si="9"/>
        <v>12004.7065</v>
      </c>
      <c r="AI9" s="22">
        <f t="shared" si="10"/>
        <v>21443.04300000002</v>
      </c>
      <c r="AJ9" s="31">
        <f t="shared" si="11"/>
        <v>0.41413006043983969</v>
      </c>
      <c r="AK9" s="31">
        <f t="shared" si="0"/>
        <v>1.4402082366679778</v>
      </c>
      <c r="AL9" s="31">
        <f t="shared" si="0"/>
        <v>0.24395935073949082</v>
      </c>
      <c r="AM9" s="31">
        <f t="shared" si="0"/>
        <v>3.655974429695541E-2</v>
      </c>
      <c r="AN9" s="31">
        <f>AD9/SUM(K9:INDEX(K9:M9,MOD($A$2,3)))-1</f>
        <v>4.1734774113990305</v>
      </c>
      <c r="AO9" s="166">
        <f>'GEN Lion NORTH'!AP10+'GEN Lion SOUTH'!AP10</f>
        <v>992.26800000000003</v>
      </c>
      <c r="AP9" s="166">
        <f>'GEN Lion NORTH'!AQ10+'GEN Lion SOUTH'!AQ10</f>
        <v>1700.1190000000001</v>
      </c>
      <c r="AQ9" s="166">
        <f>'GEN Lion NORTH'!AR10+'GEN Lion SOUTH'!AR10</f>
        <v>3432.09</v>
      </c>
      <c r="AR9" s="165">
        <f>'GEN Lion NORTH'!AS10+'GEN Lion SOUTH'!AS10</f>
        <v>4359.2299999999996</v>
      </c>
      <c r="AS9" s="165">
        <f>'GEN Lion NORTH'!AT10+'GEN Lion SOUTH'!AT10</f>
        <v>9286.26</v>
      </c>
      <c r="AT9" s="165">
        <f>'GEN Lion NORTH'!AU10+'GEN Lion SOUTH'!AU10</f>
        <v>3614</v>
      </c>
      <c r="AU9" s="165">
        <f>'GEN Lion NORTH'!AV10+'GEN Lion SOUTH'!AV10</f>
        <v>3347.19</v>
      </c>
      <c r="BA9" s="110">
        <f>SUM(AO9:INDEX(AO9:AQ9,IF($A$2&lt;3,$A$2,3)))</f>
        <v>6124.4770000000008</v>
      </c>
      <c r="BB9" s="110">
        <f>SUM(AR9:INDEX(AR9:AT9,IF(AND($A$2&gt;3,A7&lt;7),$A$2-3,0)))</f>
        <v>17259.489999999998</v>
      </c>
      <c r="BC9" s="110">
        <f>SUM(AU9:INDEX(AU9:AW9,IF(AND($A$2&gt;6,$A$2&lt;10),$A$2-6,0)))</f>
        <v>3347.19</v>
      </c>
      <c r="BD9" s="110">
        <f>SUM(AX9:INDEX(AX9:AZ9,IF($A$2&gt;9,$A$2-9,0)))</f>
        <v>0</v>
      </c>
      <c r="BE9" s="110">
        <f>SUM($AO9:INDEX(AO9:AZ9,$A$2))</f>
        <v>26731.156999999999</v>
      </c>
      <c r="BF9" s="122">
        <f t="shared" si="12"/>
        <v>0.61370822097424604</v>
      </c>
      <c r="BG9" s="111">
        <f t="shared" si="1"/>
        <v>0.82207404434537268</v>
      </c>
      <c r="BH9" s="111">
        <f t="shared" si="1"/>
        <v>0.68634305133879381</v>
      </c>
      <c r="BI9" s="111">
        <f t="shared" si="1"/>
        <v>1.2644681725584563</v>
      </c>
      <c r="BJ9" s="111">
        <f t="shared" si="1"/>
        <v>1.9940677822339681</v>
      </c>
      <c r="BK9" s="111">
        <f t="shared" si="1"/>
        <v>0.61892135400263493</v>
      </c>
      <c r="BL9" s="111">
        <f t="shared" si="1"/>
        <v>0.80515200681225285</v>
      </c>
      <c r="BM9" s="111">
        <f t="shared" si="1"/>
        <v>0</v>
      </c>
      <c r="BN9" s="111">
        <f t="shared" si="1"/>
        <v>0</v>
      </c>
      <c r="BO9" s="111">
        <f t="shared" si="1"/>
        <v>0</v>
      </c>
      <c r="BP9" s="111">
        <f t="shared" si="1"/>
        <v>0</v>
      </c>
      <c r="BQ9" s="111">
        <f t="shared" si="1"/>
        <v>0</v>
      </c>
      <c r="BR9" s="111">
        <f>BA9/SUM(N9:INDEX(N9:P9,IF($A$2&lt;3,$A$2,3)))</f>
        <v>0.70514045812829262</v>
      </c>
      <c r="BS9" s="111">
        <f>BB9/SUM(Q9:INDEX(Q9:S9,IF($A$2&lt;7,$A$2-3,3)))</f>
        <v>1.2378059778615516</v>
      </c>
      <c r="BT9" s="111">
        <f t="shared" si="2"/>
        <v>0.26898897509164454</v>
      </c>
      <c r="BU9" s="111">
        <f t="shared" si="2"/>
        <v>0</v>
      </c>
      <c r="BV9" s="111">
        <f t="shared" si="13"/>
        <v>0.99794133575964805</v>
      </c>
    </row>
    <row r="10" spans="1:74" outlineLevel="1" x14ac:dyDescent="0.25">
      <c r="A10" t="s">
        <v>2</v>
      </c>
      <c r="B10" s="6">
        <f>'Agency North'!C10+'Agency South'!C10</f>
        <v>370.36799999999999</v>
      </c>
      <c r="C10" s="6">
        <f>'Agency North'!D10+'Agency South'!D10</f>
        <v>383.92399999999998</v>
      </c>
      <c r="D10" s="6">
        <f>'Agency North'!E10+'Agency South'!E10</f>
        <v>652.58399999999995</v>
      </c>
      <c r="E10" s="6">
        <f>'Agency North'!F10+'Agency South'!F10</f>
        <v>435.28000000000003</v>
      </c>
      <c r="F10" s="6">
        <f>'Agency North'!G10+'Agency South'!G10</f>
        <v>488.78949999999998</v>
      </c>
      <c r="G10" s="6">
        <f>'Agency North'!H10+'Agency South'!H10</f>
        <v>1118.5895</v>
      </c>
      <c r="H10" s="6">
        <f>'Agency North'!I10+'Agency South'!I10</f>
        <v>1025.4450000000002</v>
      </c>
      <c r="I10" s="6">
        <f>'Agency North'!J10+'Agency South'!J10</f>
        <v>1095.4749999999999</v>
      </c>
      <c r="J10" s="6">
        <f>'Agency North'!K10+'Agency South'!K10</f>
        <v>5113.8140000000003</v>
      </c>
      <c r="K10" s="6">
        <f>'Agency North'!L10+'Agency South'!L10</f>
        <v>-761.30449999999996</v>
      </c>
      <c r="L10" s="6">
        <f>'Agency North'!M10+'Agency South'!M10</f>
        <v>4491.8275000000003</v>
      </c>
      <c r="M10" s="6">
        <f>'Agency North'!N10+'Agency South'!N10</f>
        <v>6641.0084999999899</v>
      </c>
      <c r="N10" s="6">
        <f>'Agency North'!O10+'Agency South'!O10</f>
        <v>1390.241</v>
      </c>
      <c r="O10" s="6">
        <f>'Agency North'!P10+'Agency South'!P10</f>
        <v>2245.1</v>
      </c>
      <c r="P10" s="6">
        <f>'Agency North'!Q10+'Agency South'!Q10</f>
        <v>3288.703</v>
      </c>
      <c r="Q10" s="6">
        <f>'Agency North'!R10+'Agency South'!R10</f>
        <v>1626.6079999999999</v>
      </c>
      <c r="R10" s="6">
        <f>'Agency North'!S10+'Agency South'!S10</f>
        <v>2680.299</v>
      </c>
      <c r="S10" s="6">
        <f>'Agency North'!T10+'Agency South'!T10</f>
        <v>4180.3064999999997</v>
      </c>
      <c r="T10" s="6">
        <f>'Agency North'!U10+'Agency South'!U10</f>
        <v>2403.6120000000001</v>
      </c>
      <c r="U10" s="6">
        <f>'Agency North'!V10+'Agency South'!V10</f>
        <v>3551.4490000000005</v>
      </c>
      <c r="V10" s="6">
        <f>'Agency North'!W10+'Agency South'!W10</f>
        <v>4639.3344999999999</v>
      </c>
      <c r="W10" s="6">
        <f>'Agency North'!X10+'Agency South'!X10</f>
        <v>4941.2674999999999</v>
      </c>
      <c r="X10" s="6">
        <f>'Agency North'!Y10+'Agency South'!Y10</f>
        <v>4847.0514999999996</v>
      </c>
      <c r="Y10" s="6">
        <f>'Agency North'!Z10+'Agency South'!Z10</f>
        <v>12830.06100000002</v>
      </c>
      <c r="Z10" s="22">
        <f>SUM(N10:INDEX(N10:Y10,$A$2))</f>
        <v>17814.869500000001</v>
      </c>
      <c r="AA10" s="22">
        <f t="shared" si="3"/>
        <v>6924.0439999999999</v>
      </c>
      <c r="AB10" s="22">
        <f t="shared" si="4"/>
        <v>8487.2134999999998</v>
      </c>
      <c r="AC10" s="22">
        <f t="shared" si="5"/>
        <v>10594.395500000001</v>
      </c>
      <c r="AD10" s="22">
        <f t="shared" si="6"/>
        <v>22618.380000000019</v>
      </c>
      <c r="AE10" s="22">
        <f>SUM(B10                                                                                : INDEX(B10:M10,$A$2))</f>
        <v>4474.9799999999996</v>
      </c>
      <c r="AF10" s="22">
        <f t="shared" si="7"/>
        <v>1406.8759999999997</v>
      </c>
      <c r="AG10" s="22">
        <f t="shared" si="8"/>
        <v>2042.6590000000001</v>
      </c>
      <c r="AH10" s="22">
        <f t="shared" si="9"/>
        <v>7234.7340000000004</v>
      </c>
      <c r="AI10" s="22">
        <f t="shared" si="10"/>
        <v>10371.53149999999</v>
      </c>
      <c r="AJ10" s="31">
        <f t="shared" si="11"/>
        <v>2.9809942167339303</v>
      </c>
      <c r="AK10" s="31">
        <f t="shared" si="0"/>
        <v>3.9215737563225197</v>
      </c>
      <c r="AL10" s="31">
        <f t="shared" si="0"/>
        <v>3.1549830392640175</v>
      </c>
      <c r="AM10" s="31">
        <f t="shared" si="0"/>
        <v>0.46437940911165487</v>
      </c>
      <c r="AN10" s="31">
        <f>AD10/SUM(K10:INDEX(K10:M10,MOD($A$2,3)))-1</f>
        <v>-30.710030611929945</v>
      </c>
      <c r="AO10" s="166">
        <f>'GEN Lion NORTH'!AP11+'GEN Lion SOUTH'!AP11</f>
        <v>2906.8535000000002</v>
      </c>
      <c r="AP10" s="166">
        <f>'GEN Lion NORTH'!AQ11+'GEN Lion SOUTH'!AQ11</f>
        <v>2951.9944999999998</v>
      </c>
      <c r="AQ10" s="166">
        <f>'GEN Lion NORTH'!AR11+'GEN Lion SOUTH'!AR11</f>
        <v>4007.6600000000003</v>
      </c>
      <c r="AR10" s="165">
        <f>'GEN Lion NORTH'!AS11+'GEN Lion SOUTH'!AS11</f>
        <v>4493.7199999999993</v>
      </c>
      <c r="AS10" s="165">
        <f>'GEN Lion NORTH'!AT11+'GEN Lion SOUTH'!AT11</f>
        <v>4531.3099999999995</v>
      </c>
      <c r="AT10" s="165">
        <f>'GEN Lion NORTH'!AU11+'GEN Lion SOUTH'!AU11</f>
        <v>4248.12</v>
      </c>
      <c r="AU10" s="165">
        <f>'GEN Lion NORTH'!AV11+'GEN Lion SOUTH'!AV11</f>
        <v>4507.4799999999996</v>
      </c>
      <c r="BA10" s="110">
        <f>SUM(AO10:INDEX(AO10:AQ10,IF($A$2&lt;3,$A$2,3)))</f>
        <v>9866.5079999999998</v>
      </c>
      <c r="BB10" s="110">
        <f>SUM(AR10:INDEX(AR10:AT10,IF(AND($A$2&gt;3,A8&lt;7),$A$2-3,0)))</f>
        <v>13273.149999999998</v>
      </c>
      <c r="BC10" s="110">
        <f>SUM(AU10:INDEX(AU10:AW10,IF(AND($A$2&gt;6,$A$2&lt;10),$A$2-6,0)))</f>
        <v>4507.4799999999996</v>
      </c>
      <c r="BD10" s="110">
        <f>SUM(AX10:INDEX(AX10:AZ10,IF($A$2&gt;9,$A$2-9,0)))</f>
        <v>0</v>
      </c>
      <c r="BE10" s="110">
        <f>SUM($AO10:INDEX(AO10:AZ10,$A$2))</f>
        <v>27647.137999999999</v>
      </c>
      <c r="BF10" s="122">
        <f t="shared" si="12"/>
        <v>2.0908989880171855</v>
      </c>
      <c r="BG10" s="111">
        <f t="shared" si="1"/>
        <v>1.314861030689056</v>
      </c>
      <c r="BH10" s="111">
        <f t="shared" si="1"/>
        <v>1.2186141466711955</v>
      </c>
      <c r="BI10" s="111">
        <f t="shared" si="1"/>
        <v>2.7626324228086911</v>
      </c>
      <c r="BJ10" s="111">
        <f t="shared" si="1"/>
        <v>1.6905986981303203</v>
      </c>
      <c r="BK10" s="111">
        <f t="shared" si="1"/>
        <v>1.0162221358649182</v>
      </c>
      <c r="BL10" s="111">
        <f t="shared" si="1"/>
        <v>1.8752943486719151</v>
      </c>
      <c r="BM10" s="111">
        <f t="shared" si="1"/>
        <v>0</v>
      </c>
      <c r="BN10" s="111">
        <f t="shared" si="1"/>
        <v>0</v>
      </c>
      <c r="BO10" s="111">
        <f t="shared" si="1"/>
        <v>0</v>
      </c>
      <c r="BP10" s="111">
        <f t="shared" si="1"/>
        <v>0</v>
      </c>
      <c r="BQ10" s="111">
        <f t="shared" si="1"/>
        <v>0</v>
      </c>
      <c r="BR10" s="111">
        <f>BA10/SUM(N10:INDEX(N10:P10,IF($A$2&lt;3,$A$2,3)))</f>
        <v>1.4249632151384364</v>
      </c>
      <c r="BS10" s="111">
        <f>BB10/SUM(Q10:INDEX(Q10:S10,IF($A$2&lt;7,$A$2-3,3)))</f>
        <v>1.5638996238282445</v>
      </c>
      <c r="BT10" s="111">
        <f t="shared" si="2"/>
        <v>0.42545891363032456</v>
      </c>
      <c r="BU10" s="111">
        <f t="shared" si="2"/>
        <v>0</v>
      </c>
      <c r="BV10" s="111">
        <f t="shared" si="13"/>
        <v>1.5519135854461352</v>
      </c>
    </row>
    <row r="11" spans="1:74" outlineLevel="1" x14ac:dyDescent="0.25">
      <c r="A11" s="135" t="s">
        <v>136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31"/>
      <c r="AK11" s="31"/>
      <c r="AL11" s="31"/>
      <c r="AM11" s="31"/>
      <c r="AN11" s="31"/>
      <c r="AO11" s="166"/>
      <c r="AP11" s="166">
        <f>'GEN Lion NORTH'!AQ12+'GEN Lion SOUTH'!AQ12</f>
        <v>1616.0350000000001</v>
      </c>
      <c r="AQ11" s="166">
        <f>'GEN Lion NORTH'!AR12+'GEN Lion SOUTH'!AR12</f>
        <v>1409.23</v>
      </c>
      <c r="AR11" s="165">
        <f>'GEN Lion NORTH'!AS12+'GEN Lion SOUTH'!AS12</f>
        <v>3009.74</v>
      </c>
      <c r="AS11" s="165">
        <f>'GEN Lion NORTH'!AT12+'GEN Lion SOUTH'!AT12</f>
        <v>1377.6</v>
      </c>
      <c r="AT11" s="165">
        <f>'GEN Lion NORTH'!AU12+'GEN Lion SOUTH'!AU12</f>
        <v>909.17</v>
      </c>
      <c r="AU11" s="165">
        <f>'GEN Lion NORTH'!AV12+'GEN Lion SOUTH'!AV12</f>
        <v>1140.22</v>
      </c>
      <c r="BA11" s="110">
        <f>SUM(AO11:INDEX(AO11:AQ11,IF($A$2&lt;3,$A$2,3)))</f>
        <v>3025.2650000000003</v>
      </c>
      <c r="BB11" s="110">
        <f>SUM(AR11:INDEX(AR11:AT11,IF(AND($A$2&gt;3,A9&lt;7),$A$2-3,0)))</f>
        <v>5296.51</v>
      </c>
      <c r="BC11" s="110">
        <f>SUM(AS11:INDEX(AS11:AU11,IF(AND($A$2&gt;3,B9&lt;7),$A$2-3,0)))</f>
        <v>3426.99</v>
      </c>
      <c r="BD11" s="110"/>
      <c r="BE11" s="110">
        <f>SUM($AO11:INDEX(AO11:AZ11,$A$2))</f>
        <v>9461.994999999999</v>
      </c>
      <c r="BF11" s="122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</row>
    <row r="12" spans="1:74" s="17" customFormat="1" x14ac:dyDescent="0.25">
      <c r="A12" s="1" t="s">
        <v>3</v>
      </c>
      <c r="B12" s="7">
        <f>SUM(B4:B10)</f>
        <v>10417.638999999999</v>
      </c>
      <c r="C12" s="7">
        <f t="shared" ref="C12:J12" si="14">SUM(C4:C10)</f>
        <v>9049.0069999999978</v>
      </c>
      <c r="D12" s="7">
        <f t="shared" si="14"/>
        <v>19003.816999999999</v>
      </c>
      <c r="E12" s="7">
        <f t="shared" si="14"/>
        <v>23838.465999999997</v>
      </c>
      <c r="F12" s="7">
        <f t="shared" si="14"/>
        <v>18586.255000000001</v>
      </c>
      <c r="G12" s="7">
        <f t="shared" si="14"/>
        <v>27305.806999999993</v>
      </c>
      <c r="H12" s="7">
        <f t="shared" si="14"/>
        <v>29199.373999999996</v>
      </c>
      <c r="I12" s="7">
        <f t="shared" si="14"/>
        <v>16805.392</v>
      </c>
      <c r="J12" s="7">
        <f t="shared" si="14"/>
        <v>38876.936999999991</v>
      </c>
      <c r="K12" s="7">
        <f>SUM(K4:K10)</f>
        <v>25749.087999999992</v>
      </c>
      <c r="L12" s="7">
        <f t="shared" ref="L12:AD12" si="15">SUM(L4:L10)</f>
        <v>42738.083000000042</v>
      </c>
      <c r="M12" s="7">
        <f t="shared" si="15"/>
        <v>58359.96899999999</v>
      </c>
      <c r="N12" s="7">
        <f t="shared" si="15"/>
        <v>12838.284999999998</v>
      </c>
      <c r="O12" s="7">
        <f t="shared" si="15"/>
        <v>13773.312999999971</v>
      </c>
      <c r="P12" s="7">
        <f t="shared" si="15"/>
        <v>34185.045999999995</v>
      </c>
      <c r="Q12" s="7">
        <f t="shared" si="15"/>
        <v>30847.053000000011</v>
      </c>
      <c r="R12" s="7">
        <f t="shared" si="15"/>
        <v>28153.600999999995</v>
      </c>
      <c r="S12" s="7">
        <f t="shared" si="15"/>
        <v>42170.820000000072</v>
      </c>
      <c r="T12" s="34">
        <f t="shared" si="15"/>
        <v>30013.258000000013</v>
      </c>
      <c r="U12" s="7">
        <f t="shared" si="15"/>
        <v>31855.821000000029</v>
      </c>
      <c r="V12" s="7">
        <f t="shared" si="15"/>
        <v>49057.181000000062</v>
      </c>
      <c r="W12" s="7">
        <f t="shared" si="15"/>
        <v>40118.116000000016</v>
      </c>
      <c r="X12" s="7">
        <f t="shared" si="15"/>
        <v>51027.211000000083</v>
      </c>
      <c r="Y12" s="7">
        <f t="shared" si="15"/>
        <v>96296.744000000326</v>
      </c>
      <c r="Z12" s="7">
        <f t="shared" si="15"/>
        <v>191981.37600000005</v>
      </c>
      <c r="AA12" s="7">
        <f t="shared" si="15"/>
        <v>60796.643999999964</v>
      </c>
      <c r="AB12" s="7">
        <f t="shared" si="15"/>
        <v>101171.47400000009</v>
      </c>
      <c r="AC12" s="7">
        <f t="shared" si="15"/>
        <v>110926.2600000001</v>
      </c>
      <c r="AD12" s="7">
        <f t="shared" si="15"/>
        <v>187442.0710000004</v>
      </c>
      <c r="AE12" s="7">
        <f>SUM(AE4:AE10)</f>
        <v>137400.36499999999</v>
      </c>
      <c r="AF12" s="7">
        <f t="shared" ref="AF12:AI12" si="16">SUM(AF4:AF10)</f>
        <v>38470.462999999996</v>
      </c>
      <c r="AG12" s="7">
        <f t="shared" si="16"/>
        <v>69730.527999999991</v>
      </c>
      <c r="AH12" s="7">
        <f t="shared" si="16"/>
        <v>84881.70299999998</v>
      </c>
      <c r="AI12" s="7">
        <f t="shared" si="16"/>
        <v>126847.14000000001</v>
      </c>
      <c r="AJ12" s="32">
        <f>(Z12+Z13*0.1)/(AE12+AE13*0.1)-1</f>
        <v>0.393832476553029</v>
      </c>
      <c r="AK12" s="32">
        <f t="shared" si="0"/>
        <v>0.58034604366471942</v>
      </c>
      <c r="AL12" s="32">
        <f t="shared" si="0"/>
        <v>0.45089212575588267</v>
      </c>
      <c r="AM12" s="31">
        <f t="shared" si="0"/>
        <v>0.30683358226212931</v>
      </c>
      <c r="AN12" s="31">
        <f>AD12/SUM(K12:INDEX(K12:M12,MOD($A$2,3)))-1</f>
        <v>6.2795615518499321</v>
      </c>
      <c r="AO12" s="119">
        <f t="shared" ref="AO12" si="17">SUM(AO4:AO10)</f>
        <v>25630.201000000001</v>
      </c>
      <c r="AP12" s="119">
        <f t="shared" ref="AP12:AU12" si="18">SUM(AP4:AP11)</f>
        <v>40963.500000000036</v>
      </c>
      <c r="AQ12" s="119">
        <f t="shared" si="18"/>
        <v>57343.9</v>
      </c>
      <c r="AR12" s="119">
        <f t="shared" si="18"/>
        <v>51205.24</v>
      </c>
      <c r="AS12" s="119">
        <f t="shared" si="18"/>
        <v>53142.409999999996</v>
      </c>
      <c r="AT12" s="119">
        <f t="shared" si="18"/>
        <v>58123.470000000008</v>
      </c>
      <c r="AU12" s="119">
        <f t="shared" si="18"/>
        <v>45475.16</v>
      </c>
      <c r="AV12" s="37"/>
      <c r="AW12" s="37"/>
      <c r="AX12" s="37"/>
      <c r="AY12" s="37"/>
      <c r="AZ12" s="37"/>
      <c r="BA12" s="116">
        <f>SUM(AO12:INDEX(AO12:AQ12,IF($A$2&lt;3,$A$2,3)))</f>
        <v>123937.60100000002</v>
      </c>
      <c r="BB12" s="116">
        <f>SUM(AR12:INDEX(AR12:AT12,IF(AND($A$2&gt;3,A9&lt;7),$A$2-3,0)))</f>
        <v>162471.12</v>
      </c>
      <c r="BC12" s="116">
        <f>SUM(AU12:INDEX(AU12:AW12,IF(AND($A$2&gt;6,$A$2&lt;10),$A$2-6,0)))</f>
        <v>45475.16</v>
      </c>
      <c r="BD12" s="116">
        <f>SUM(AX12:INDEX(AX12:AZ12,IF($A$2&gt;9,$A$2-9,0)))</f>
        <v>0</v>
      </c>
      <c r="BE12" s="116">
        <f>SUM($AO12:INDEX(AO12:AZ12,$A$2))</f>
        <v>331883.88100000005</v>
      </c>
      <c r="BF12" s="123">
        <f t="shared" si="12"/>
        <v>1.9963882247512035</v>
      </c>
      <c r="BG12" s="118">
        <f t="shared" si="1"/>
        <v>2.9741210411757959</v>
      </c>
      <c r="BH12" s="118">
        <f t="shared" si="1"/>
        <v>1.6774556921760471</v>
      </c>
      <c r="BI12" s="118">
        <f t="shared" si="1"/>
        <v>1.659971861817723</v>
      </c>
      <c r="BJ12" s="118">
        <f t="shared" si="1"/>
        <v>1.8875883763501515</v>
      </c>
      <c r="BK12" s="118">
        <f t="shared" si="1"/>
        <v>1.378286454946807</v>
      </c>
      <c r="BL12" s="118">
        <f t="shared" si="1"/>
        <v>1.5151690629521122</v>
      </c>
      <c r="BM12" s="118">
        <f t="shared" si="1"/>
        <v>0</v>
      </c>
      <c r="BN12" s="118">
        <f t="shared" si="1"/>
        <v>0</v>
      </c>
      <c r="BO12" s="118">
        <f t="shared" si="1"/>
        <v>0</v>
      </c>
      <c r="BP12" s="118">
        <f t="shared" si="1"/>
        <v>0</v>
      </c>
      <c r="BQ12" s="118">
        <f t="shared" si="1"/>
        <v>0</v>
      </c>
      <c r="BR12" s="118">
        <f>BA12/SUM(N12:INDEX(N12:P12,IF($A$2&lt;3,$A$2,3)))</f>
        <v>2.0385599080107135</v>
      </c>
      <c r="BS12" s="111">
        <f>BB12/SUM(Q12:INDEX(Q12:S12,IF($A$2&lt;7,$A$2-3,3)))</f>
        <v>1.6058985164138251</v>
      </c>
      <c r="BT12" s="118">
        <f t="shared" si="2"/>
        <v>0.40995847151071318</v>
      </c>
      <c r="BU12" s="118">
        <f t="shared" si="2"/>
        <v>0</v>
      </c>
      <c r="BV12" s="118">
        <f t="shared" si="13"/>
        <v>1.7287295669763298</v>
      </c>
    </row>
    <row r="13" spans="1:74" x14ac:dyDescent="0.25">
      <c r="A13" s="68" t="s">
        <v>63</v>
      </c>
      <c r="B13" s="69">
        <f>'Agency North'!C13+'Agency South'!C13</f>
        <v>0</v>
      </c>
      <c r="C13" s="69">
        <f>'Agency North'!D13+'Agency South'!D13</f>
        <v>0</v>
      </c>
      <c r="D13" s="69">
        <f>'Agency North'!E13+'Agency South'!E13</f>
        <v>892.67700000000013</v>
      </c>
      <c r="E13" s="69">
        <f>'Agency North'!F13+'Agency South'!F13</f>
        <v>1006.6420000000001</v>
      </c>
      <c r="F13" s="69">
        <f>'Agency North'!G13+'Agency South'!G13</f>
        <v>212.9</v>
      </c>
      <c r="G13" s="69">
        <f>'Agency North'!H13+'Agency South'!H13</f>
        <v>18522.962</v>
      </c>
      <c r="H13" s="69">
        <f>'Agency North'!I13+'Agency South'!I13</f>
        <v>5557.143</v>
      </c>
      <c r="I13" s="69">
        <f>'Agency North'!J13+'Agency South'!J13</f>
        <v>6146.3476000000001</v>
      </c>
      <c r="J13" s="69">
        <f>'Agency North'!K13+'Agency South'!K13</f>
        <v>10945.637999999999</v>
      </c>
      <c r="K13" s="69">
        <f>'Agency North'!L13+'Agency South'!L13</f>
        <v>4640.6184000000003</v>
      </c>
      <c r="L13" s="69">
        <f>'Agency North'!M13+'Agency South'!M13</f>
        <v>3677.877</v>
      </c>
      <c r="M13" s="69">
        <f>'Agency North'!N13+'Agency South'!N13</f>
        <v>4544.2690000000002</v>
      </c>
      <c r="N13" s="69">
        <f>'Agency North'!O13+'Agency South'!O13</f>
        <v>5839.7939999999999</v>
      </c>
      <c r="O13" s="69">
        <f>'Agency North'!P13+'Agency South'!P13</f>
        <v>2104.6480000000001</v>
      </c>
      <c r="P13" s="69">
        <f>'Agency North'!Q13+'Agency South'!Q13</f>
        <v>1784.8430000000001</v>
      </c>
      <c r="Q13" s="69">
        <f>'Agency North'!R13+'Agency South'!R13</f>
        <v>1826.8620000000001</v>
      </c>
      <c r="R13" s="69">
        <f>'Agency North'!S13+'Agency South'!S13</f>
        <v>9448.509</v>
      </c>
      <c r="S13" s="69">
        <f>'Agency North'!T13+'Agency South'!T13</f>
        <v>4460.9354000000003</v>
      </c>
      <c r="T13" s="69">
        <f>'Agency North'!U13+'Agency South'!U13</f>
        <v>6359.2707</v>
      </c>
      <c r="U13" s="69">
        <f>'Agency North'!V13+'Agency South'!V13</f>
        <v>5053.2380000000003</v>
      </c>
      <c r="V13" s="69">
        <f>'Agency North'!W13+'Agency South'!W13</f>
        <v>5068.1279999999997</v>
      </c>
      <c r="W13" s="69">
        <f>'Agency North'!X13+'Agency South'!X13</f>
        <v>8016.0464999999995</v>
      </c>
      <c r="X13" s="69">
        <f>'Agency North'!Y13+'Agency South'!Y13</f>
        <v>18397.211599999999</v>
      </c>
      <c r="Y13" s="69">
        <f>'Agency North'!Z13+'Agency South'!Z13</f>
        <v>7254.5613999999996</v>
      </c>
      <c r="Z13" s="22">
        <f>SUM(N13:INDEX(N13:Y13,$A$2))</f>
        <v>31824.862100000006</v>
      </c>
      <c r="AA13" s="22">
        <f t="shared" ref="AA13" si="19">SUM(N13:P13)</f>
        <v>9729.2849999999999</v>
      </c>
      <c r="AB13" s="22">
        <f t="shared" ref="AB13" si="20">SUM(Q13:S13)</f>
        <v>15736.306399999999</v>
      </c>
      <c r="AC13" s="22">
        <f t="shared" ref="AC13" si="21">SUM(T13:V13)</f>
        <v>16480.636699999999</v>
      </c>
      <c r="AD13" s="22">
        <f t="shared" ref="AD13" si="22">SUM(W13:Y13)</f>
        <v>33667.819499999998</v>
      </c>
      <c r="AE13" s="22">
        <f>SUM(B13                                                                                : INDEX(B13:M13,$A$2))</f>
        <v>26192.324000000001</v>
      </c>
      <c r="AF13" s="22">
        <f t="shared" ref="AF13" si="23">SUM(B13:D13)</f>
        <v>892.67700000000013</v>
      </c>
      <c r="AG13" s="22">
        <f t="shared" ref="AG13" si="24">SUM(E13:G13)</f>
        <v>19742.504000000001</v>
      </c>
      <c r="AH13" s="22">
        <f>SUM(H13:INDEX(H13:J13,MOD($A$2,3)))</f>
        <v>5557.143</v>
      </c>
      <c r="AI13" s="22">
        <f t="shared" ref="AI13" si="25">SUM(K13:M13)</f>
        <v>12862.7644</v>
      </c>
      <c r="AJ13" s="31">
        <f t="shared" ref="AJ13:AJ14" si="26">Z13/AE13-1</f>
        <v>0.21504537359876896</v>
      </c>
      <c r="AK13" s="31">
        <f t="shared" si="0"/>
        <v>9.8989981818731732</v>
      </c>
      <c r="AL13" s="31">
        <f t="shared" si="0"/>
        <v>-0.20292246616741227</v>
      </c>
      <c r="AM13" s="31">
        <f t="shared" si="0"/>
        <v>1.965667196255342</v>
      </c>
      <c r="AN13" s="31">
        <f>AD13/SUM(K13:INDEX(K13:M13,MOD($A$2,3)))-1</f>
        <v>6.2550286616973283</v>
      </c>
      <c r="AO13" s="69">
        <f>'GEN Lion NORTH'!AP14+'GEN Lion SOUTH'!AP14</f>
        <v>10576.017400000001</v>
      </c>
      <c r="AP13" s="69">
        <f>'GEN Lion NORTH'!AQ14+'GEN Lion SOUTH'!AQ14</f>
        <v>7495.1930000000002</v>
      </c>
      <c r="AQ13" s="69">
        <f>'GEN Lion NORTH'!AR14+'GEN Lion SOUTH'!AR14</f>
        <v>11609.67</v>
      </c>
      <c r="AR13" s="69">
        <f>'GEN Lion NORTH'!AS14+'GEN Lion SOUTH'!AS14</f>
        <v>2523.703</v>
      </c>
      <c r="AS13" s="69">
        <f>'GEN Lion NORTH'!AT14+'GEN Lion SOUTH'!AT14</f>
        <v>12704.179999999998</v>
      </c>
      <c r="AT13" s="69">
        <f>'GEN Lion NORTH'!AU14+'GEN Lion SOUTH'!AU14</f>
        <v>13230.939999999999</v>
      </c>
      <c r="AU13" s="69">
        <f>'GEN Lion NORTH'!AV14+'GEN Lion SOUTH'!AV14</f>
        <v>4260.2435999999998</v>
      </c>
      <c r="BA13" s="110">
        <f>SUM(AO13:INDEX(AO13:AQ13,IF($A$2&lt;3,$A$2,3)))</f>
        <v>29680.880400000002</v>
      </c>
      <c r="BB13" s="110">
        <f>SUM(AR13:INDEX(AR13:AT13,IF(AND($A$2&gt;3,A10&lt;7),$A$2-3,0)))</f>
        <v>28458.822999999997</v>
      </c>
      <c r="BC13" s="110">
        <f>SUM(AU13:INDEX(AU13:AW13,IF(AND($A$2&gt;6,$A$2&lt;10),$A$2-6,0)))</f>
        <v>4260.2435999999998</v>
      </c>
      <c r="BD13" s="110">
        <f>SUM(AX13:INDEX(AX13:AZ13,IF($A$2&gt;9,$A$2-9,0)))</f>
        <v>0</v>
      </c>
      <c r="BE13" s="110">
        <f>SUM($AO13:INDEX(AO13:AZ13,$A$2))</f>
        <v>62399.947</v>
      </c>
      <c r="BF13" s="122">
        <f t="shared" si="12"/>
        <v>1.8110257656348838</v>
      </c>
      <c r="BG13" s="111">
        <f t="shared" si="1"/>
        <v>3.5612572743755724</v>
      </c>
      <c r="BH13" s="111">
        <f t="shared" si="1"/>
        <v>6.5045889190253705</v>
      </c>
      <c r="BI13" s="111">
        <f t="shared" si="1"/>
        <v>1.381441510086695</v>
      </c>
      <c r="BJ13" s="111">
        <f t="shared" si="1"/>
        <v>1.3445698151951804</v>
      </c>
      <c r="BK13" s="111">
        <f t="shared" si="1"/>
        <v>2.9659564225027779</v>
      </c>
      <c r="BL13" s="111">
        <f t="shared" si="1"/>
        <v>0.66992644298032478</v>
      </c>
      <c r="BM13" s="111">
        <f t="shared" si="1"/>
        <v>0</v>
      </c>
      <c r="BN13" s="111">
        <f t="shared" si="1"/>
        <v>0</v>
      </c>
      <c r="BO13" s="111">
        <f t="shared" si="1"/>
        <v>0</v>
      </c>
      <c r="BP13" s="111">
        <f t="shared" si="1"/>
        <v>0</v>
      </c>
      <c r="BQ13" s="111">
        <f t="shared" si="1"/>
        <v>0</v>
      </c>
      <c r="BR13" s="111">
        <f>BA13/SUM(N13:INDEX(N13:P13,IF($A$2&lt;3,$A$2,3)))</f>
        <v>3.0506743712410525</v>
      </c>
      <c r="BS13" s="111">
        <f>BB13/SUM(Q13:INDEX(Q13:S13,IF($A$2&lt;7,$A$2-3,3)))</f>
        <v>1.808481754015669</v>
      </c>
      <c r="BT13" s="111">
        <f t="shared" si="2"/>
        <v>0.25849994011457095</v>
      </c>
      <c r="BU13" s="111">
        <f t="shared" si="2"/>
        <v>0</v>
      </c>
      <c r="BV13" s="111">
        <f t="shared" si="13"/>
        <v>1.9607295329018877</v>
      </c>
    </row>
    <row r="14" spans="1:74" x14ac:dyDescent="0.25">
      <c r="B14" s="6">
        <f t="shared" ref="B14:I14" si="27">B12+B13*0.1</f>
        <v>10417.638999999999</v>
      </c>
      <c r="C14" s="6">
        <f t="shared" si="27"/>
        <v>9049.0069999999978</v>
      </c>
      <c r="D14" s="6">
        <f t="shared" si="27"/>
        <v>19093.084699999999</v>
      </c>
      <c r="E14" s="6">
        <f t="shared" si="27"/>
        <v>23939.130199999996</v>
      </c>
      <c r="F14" s="6">
        <f t="shared" si="27"/>
        <v>18607.545000000002</v>
      </c>
      <c r="G14" s="6">
        <f t="shared" si="27"/>
        <v>29158.103199999994</v>
      </c>
      <c r="H14" s="6">
        <f t="shared" si="27"/>
        <v>29755.088299999996</v>
      </c>
      <c r="I14" s="6">
        <f t="shared" si="27"/>
        <v>17420.026760000001</v>
      </c>
      <c r="J14" s="6">
        <f>J12+J13*0.1</f>
        <v>39971.500799999994</v>
      </c>
      <c r="K14" s="6">
        <f>K12+K13*0.1</f>
        <v>26213.149839999991</v>
      </c>
      <c r="L14" s="6">
        <f t="shared" ref="L14:U14" si="28">L12+L13*0.1</f>
        <v>43105.870700000043</v>
      </c>
      <c r="M14" s="6">
        <f t="shared" si="28"/>
        <v>58814.395899999989</v>
      </c>
      <c r="N14" s="6">
        <f t="shared" si="28"/>
        <v>13422.264399999998</v>
      </c>
      <c r="O14" s="6">
        <f t="shared" si="28"/>
        <v>13983.777799999971</v>
      </c>
      <c r="P14" s="6">
        <f t="shared" si="28"/>
        <v>34363.530299999991</v>
      </c>
      <c r="Q14" s="6">
        <f t="shared" si="28"/>
        <v>31029.739200000011</v>
      </c>
      <c r="R14" s="6">
        <f t="shared" si="28"/>
        <v>29098.451899999996</v>
      </c>
      <c r="S14" s="6">
        <f t="shared" si="28"/>
        <v>42616.913540000074</v>
      </c>
      <c r="T14" s="6">
        <f t="shared" si="28"/>
        <v>30649.185070000014</v>
      </c>
      <c r="U14" s="6">
        <f t="shared" si="28"/>
        <v>32361.144800000027</v>
      </c>
      <c r="V14" s="6">
        <f>V12+V13*0.1</f>
        <v>49563.993800000062</v>
      </c>
      <c r="W14" s="6">
        <f>W12+W13*0.1</f>
        <v>40919.720650000017</v>
      </c>
      <c r="X14" s="6">
        <f>X12+X13*0.1</f>
        <v>52866.932160000084</v>
      </c>
      <c r="Y14" s="6">
        <f>Y12+Y13*0.1</f>
        <v>97022.200140000321</v>
      </c>
      <c r="Z14" s="6">
        <f t="shared" ref="Z14:AB14" si="29">Z12+Z13*0.1</f>
        <v>195163.86221000005</v>
      </c>
      <c r="AA14" s="6">
        <f t="shared" si="29"/>
        <v>61769.572499999966</v>
      </c>
      <c r="AB14" s="6">
        <f t="shared" si="29"/>
        <v>102745.10464000009</v>
      </c>
      <c r="AC14" s="6">
        <f>AC12+AC13*0.1</f>
        <v>112574.3236700001</v>
      </c>
      <c r="AD14" s="6">
        <f>AD12+AD13*0.1</f>
        <v>190808.85295000041</v>
      </c>
      <c r="AE14" s="6">
        <f>AE12+AE13*0.1</f>
        <v>140019.5974</v>
      </c>
      <c r="AF14" s="6">
        <f t="shared" ref="AF14:AI14" si="30">AF12+AF13*0.1</f>
        <v>38559.730699999993</v>
      </c>
      <c r="AG14" s="6">
        <f t="shared" si="30"/>
        <v>71704.778399999996</v>
      </c>
      <c r="AH14" s="6">
        <f t="shared" si="30"/>
        <v>85437.417299999986</v>
      </c>
      <c r="AI14" s="6">
        <f t="shared" si="30"/>
        <v>128133.41644000002</v>
      </c>
      <c r="AJ14" s="31">
        <f t="shared" si="26"/>
        <v>0.393832476553029</v>
      </c>
      <c r="AO14" s="6">
        <f>AO12+AO13*0.1</f>
        <v>26687.802739999999</v>
      </c>
      <c r="AP14" s="6">
        <f>AP12+AP13*0.1</f>
        <v>41713.019300000036</v>
      </c>
      <c r="AQ14" s="6">
        <f>AQ12+AQ13*0.1</f>
        <v>58504.866999999998</v>
      </c>
      <c r="AR14" s="69">
        <f>'GEN Lion NORTH'!AS15+'GEN Lion SOUTH'!AS15</f>
        <v>51457.6103</v>
      </c>
      <c r="AS14" s="69">
        <f>'GEN Lion NORTH'!AT15+'GEN Lion SOUTH'!AT15</f>
        <v>54412.828000000001</v>
      </c>
      <c r="AT14" s="69">
        <f>'GEN Lion NORTH'!AU15+'GEN Lion SOUTH'!AU15</f>
        <v>59446.563999999998</v>
      </c>
      <c r="AU14" s="69">
        <f>'GEN Lion NORTH'!AV15+'GEN Lion SOUTH'!AV15</f>
        <v>45901.184359999999</v>
      </c>
      <c r="BA14" s="110">
        <f>SUM(AO14:INDEX(AO14:AQ14,IF($A$2&lt;3,$A$2,3)))</f>
        <v>126905.68904000003</v>
      </c>
      <c r="BB14" s="110">
        <f>SUM(AR14:INDEX(AR14:AT14,IF(AND($A$2&gt;3,A12&lt;7),$A$2-3,0)))</f>
        <v>165317.00229999999</v>
      </c>
      <c r="BC14" s="110">
        <f>SUM(AU14:INDEX(AU14:AW14,IF(AND($A$2&gt;6,$A$2&lt;10),$A$2-6,0)))</f>
        <v>45901.184359999999</v>
      </c>
      <c r="BD14" s="110">
        <f>SUM(AX14:INDEX(AX14:AZ14,IF($A$2&gt;9,$A$2-9,0)))</f>
        <v>0</v>
      </c>
      <c r="BE14" s="110">
        <f>SUM($AO14:INDEX(AO14:AZ14,$A$2))</f>
        <v>338123.87570000003</v>
      </c>
      <c r="BF14" s="122">
        <f t="shared" si="12"/>
        <v>1.9883234262618164</v>
      </c>
      <c r="BG14" s="111">
        <f t="shared" si="1"/>
        <v>2.9829578170213864</v>
      </c>
      <c r="BH14" s="111">
        <f t="shared" si="1"/>
        <v>1.7025278395217738</v>
      </c>
      <c r="BI14" s="111">
        <f t="shared" si="1"/>
        <v>1.6583320268447497</v>
      </c>
      <c r="BJ14" s="111">
        <f t="shared" si="1"/>
        <v>1.8699561126824074</v>
      </c>
      <c r="BK14" s="111">
        <f t="shared" si="1"/>
        <v>1.3949054274942665</v>
      </c>
      <c r="BL14" s="111">
        <f t="shared" si="1"/>
        <v>1.4976314787869816</v>
      </c>
      <c r="BM14" s="111">
        <f t="shared" si="1"/>
        <v>0</v>
      </c>
      <c r="BN14" s="111">
        <f t="shared" si="1"/>
        <v>0</v>
      </c>
      <c r="BO14" s="111">
        <f t="shared" si="1"/>
        <v>0</v>
      </c>
      <c r="BP14" s="111">
        <f t="shared" si="1"/>
        <v>0</v>
      </c>
      <c r="BQ14" s="111">
        <f t="shared" si="1"/>
        <v>0</v>
      </c>
      <c r="BR14" s="111">
        <f>BA14/SUM(N14:INDEX(N14:P14,IF($A$2&lt;3,$A$2,3)))</f>
        <v>2.0545016567825543</v>
      </c>
      <c r="BS14" s="111">
        <f>BB14/SUM(Q14:INDEX(Q14:S14,IF($A$2&lt;7,$A$2-3,3)))</f>
        <v>1.6090012548942385</v>
      </c>
      <c r="BT14" s="111"/>
      <c r="BU14" s="111"/>
      <c r="BV14" s="111">
        <f>BE14/Z14</f>
        <v>1.7325127299242125</v>
      </c>
    </row>
    <row r="15" spans="1:74" s="17" customFormat="1" x14ac:dyDescent="0.25">
      <c r="A15" s="2" t="s">
        <v>9</v>
      </c>
      <c r="B15" s="3">
        <f t="shared" ref="B15:Y15" si="31">B3</f>
        <v>42005</v>
      </c>
      <c r="C15" s="3">
        <f t="shared" si="31"/>
        <v>42036</v>
      </c>
      <c r="D15" s="3">
        <f t="shared" si="31"/>
        <v>42064</v>
      </c>
      <c r="E15" s="3">
        <f t="shared" si="31"/>
        <v>42095</v>
      </c>
      <c r="F15" s="3">
        <f t="shared" si="31"/>
        <v>42125</v>
      </c>
      <c r="G15" s="3">
        <f t="shared" si="31"/>
        <v>42156</v>
      </c>
      <c r="H15" s="3">
        <f t="shared" si="31"/>
        <v>42186</v>
      </c>
      <c r="I15" s="3">
        <f t="shared" si="31"/>
        <v>42217</v>
      </c>
      <c r="J15" s="3">
        <f t="shared" si="31"/>
        <v>42248</v>
      </c>
      <c r="K15" s="3">
        <f t="shared" si="31"/>
        <v>42278</v>
      </c>
      <c r="L15" s="3">
        <f t="shared" si="31"/>
        <v>42309</v>
      </c>
      <c r="M15" s="3">
        <f t="shared" si="31"/>
        <v>42339</v>
      </c>
      <c r="N15" s="3">
        <f t="shared" si="31"/>
        <v>42370</v>
      </c>
      <c r="O15" s="3">
        <f t="shared" si="31"/>
        <v>42401</v>
      </c>
      <c r="P15" s="3">
        <f t="shared" si="31"/>
        <v>42430</v>
      </c>
      <c r="Q15" s="3">
        <f t="shared" si="31"/>
        <v>42461</v>
      </c>
      <c r="R15" s="3">
        <f t="shared" si="31"/>
        <v>42491</v>
      </c>
      <c r="S15" s="3">
        <f t="shared" si="31"/>
        <v>42522</v>
      </c>
      <c r="T15" s="3">
        <f t="shared" si="31"/>
        <v>42552</v>
      </c>
      <c r="U15" s="3">
        <f t="shared" si="31"/>
        <v>42583</v>
      </c>
      <c r="V15" s="3">
        <f t="shared" si="31"/>
        <v>42614</v>
      </c>
      <c r="W15" s="3">
        <f t="shared" si="31"/>
        <v>42644</v>
      </c>
      <c r="X15" s="3">
        <f t="shared" si="31"/>
        <v>42675</v>
      </c>
      <c r="Y15" s="3">
        <f t="shared" si="31"/>
        <v>42705</v>
      </c>
      <c r="Z15" s="29" t="str">
        <f>Z3</f>
        <v>YTD 7/16</v>
      </c>
      <c r="AA15" s="29" t="s">
        <v>19</v>
      </c>
      <c r="AB15" s="29" t="s">
        <v>20</v>
      </c>
      <c r="AC15" s="29" t="s">
        <v>21</v>
      </c>
      <c r="AD15" s="29" t="s">
        <v>22</v>
      </c>
      <c r="AE15" s="26" t="str">
        <f t="shared" ref="AE15:AI15" si="32">AE3</f>
        <v>YTD 7/15</v>
      </c>
      <c r="AF15" s="26" t="str">
        <f t="shared" si="32"/>
        <v>Q1 '15</v>
      </c>
      <c r="AG15" s="26" t="str">
        <f t="shared" si="32"/>
        <v>Q2 '15</v>
      </c>
      <c r="AH15" s="26" t="str">
        <f t="shared" si="32"/>
        <v>Q3 '15</v>
      </c>
      <c r="AI15" s="26" t="str">
        <f t="shared" si="32"/>
        <v>Q4 '15</v>
      </c>
      <c r="AJ15" s="30" t="s">
        <v>27</v>
      </c>
      <c r="AK15" s="30" t="s">
        <v>29</v>
      </c>
      <c r="AL15" s="30" t="s">
        <v>30</v>
      </c>
      <c r="AM15" s="30" t="s">
        <v>31</v>
      </c>
      <c r="AN15" s="30" t="s">
        <v>32</v>
      </c>
      <c r="AO15" s="108">
        <v>42736</v>
      </c>
      <c r="AP15" s="108">
        <v>42767</v>
      </c>
      <c r="AQ15" s="108">
        <v>42795</v>
      </c>
      <c r="AR15" s="108">
        <v>42826</v>
      </c>
      <c r="AS15" s="108">
        <v>42856</v>
      </c>
      <c r="AT15" s="108">
        <v>42887</v>
      </c>
      <c r="AU15" s="108">
        <v>42917</v>
      </c>
      <c r="AV15" s="108">
        <v>42948</v>
      </c>
      <c r="AW15" s="108">
        <v>42979</v>
      </c>
      <c r="AX15" s="108">
        <v>43009</v>
      </c>
      <c r="AY15" s="108">
        <v>43040</v>
      </c>
      <c r="AZ15" s="108">
        <v>43070</v>
      </c>
      <c r="BA15" s="29" t="s">
        <v>123</v>
      </c>
      <c r="BB15" s="29" t="s">
        <v>124</v>
      </c>
      <c r="BC15" s="29" t="s">
        <v>125</v>
      </c>
      <c r="BD15" s="29" t="s">
        <v>126</v>
      </c>
      <c r="BE15" s="29" t="str">
        <f>"YTD " &amp; A14 &amp;"/17"</f>
        <v>YTD /17</v>
      </c>
      <c r="BF15" s="121">
        <v>42736</v>
      </c>
      <c r="BG15" s="108">
        <v>42767</v>
      </c>
      <c r="BH15" s="108">
        <v>42795</v>
      </c>
      <c r="BI15" s="108">
        <v>42826</v>
      </c>
      <c r="BJ15" s="108">
        <v>42856</v>
      </c>
      <c r="BK15" s="108">
        <v>42887</v>
      </c>
      <c r="BL15" s="108">
        <v>42917</v>
      </c>
      <c r="BM15" s="108">
        <v>42948</v>
      </c>
      <c r="BN15" s="108">
        <v>42979</v>
      </c>
      <c r="BO15" s="108">
        <v>43009</v>
      </c>
      <c r="BP15" s="108">
        <v>43040</v>
      </c>
      <c r="BQ15" s="108">
        <v>43070</v>
      </c>
      <c r="BR15" s="29" t="s">
        <v>127</v>
      </c>
      <c r="BS15" s="29" t="s">
        <v>128</v>
      </c>
      <c r="BT15" s="29" t="s">
        <v>96</v>
      </c>
      <c r="BU15" s="29" t="s">
        <v>129</v>
      </c>
      <c r="BV15" s="112" t="str">
        <f>BV2</f>
        <v>YoY</v>
      </c>
    </row>
    <row r="16" spans="1:74" outlineLevel="1" x14ac:dyDescent="0.25">
      <c r="A16" t="s">
        <v>157</v>
      </c>
      <c r="B16" s="6">
        <f>'Agency North'!C18+'Agency South'!C18</f>
        <v>52</v>
      </c>
      <c r="C16" s="6">
        <f>'Agency North'!D18+'Agency South'!D18</f>
        <v>57</v>
      </c>
      <c r="D16" s="6">
        <f>'Agency North'!E18+'Agency South'!E18</f>
        <v>63</v>
      </c>
      <c r="E16" s="6">
        <f>'Agency North'!F18+'Agency South'!F18</f>
        <v>70</v>
      </c>
      <c r="F16" s="6">
        <f>'Agency North'!G18+'Agency South'!G18</f>
        <v>71</v>
      </c>
      <c r="G16" s="6">
        <f>'Agency North'!H18+'Agency South'!H18</f>
        <v>71</v>
      </c>
      <c r="H16" s="6">
        <f>'Agency North'!I18+'Agency South'!I18</f>
        <v>76</v>
      </c>
      <c r="I16" s="6">
        <f>'Agency North'!J18+'Agency South'!J18</f>
        <v>76</v>
      </c>
      <c r="J16" s="6">
        <f>'Agency North'!K18+'Agency South'!K18</f>
        <v>77</v>
      </c>
      <c r="K16" s="6">
        <f>'Agency North'!L18+'Agency South'!L18</f>
        <v>77</v>
      </c>
      <c r="L16" s="6">
        <f>'Agency North'!M18+'Agency South'!M18</f>
        <v>73</v>
      </c>
      <c r="M16" s="6">
        <f>'Agency North'!N18+'Agency South'!N18</f>
        <v>76</v>
      </c>
      <c r="N16" s="6">
        <f>'Agency North'!O18+'Agency South'!O18</f>
        <v>117</v>
      </c>
      <c r="O16" s="6">
        <f>'Agency North'!P18+'Agency South'!P18</f>
        <v>116</v>
      </c>
      <c r="P16" s="6">
        <f>'Agency North'!Q18+'Agency South'!Q18</f>
        <v>118</v>
      </c>
      <c r="Q16" s="6">
        <f>'Agency North'!R18+'Agency South'!R18</f>
        <v>117</v>
      </c>
      <c r="R16" s="6">
        <f>'Agency North'!S18+'Agency South'!S18</f>
        <v>112</v>
      </c>
      <c r="S16" s="6">
        <f>'Agency North'!T18+'Agency South'!T18</f>
        <v>107</v>
      </c>
      <c r="T16" s="6">
        <f>'Agency North'!U18+'Agency South'!U18</f>
        <v>99</v>
      </c>
      <c r="U16" s="6">
        <f>'Agency North'!V18+'Agency South'!V18</f>
        <v>96</v>
      </c>
      <c r="V16" s="6">
        <f>'Agency North'!W18+'Agency South'!W18</f>
        <v>94</v>
      </c>
      <c r="W16" s="6">
        <f>'Agency North'!X18+'Agency South'!X18</f>
        <v>93</v>
      </c>
      <c r="X16" s="6">
        <f>'Agency North'!Y18+'Agency South'!Y18</f>
        <v>90</v>
      </c>
      <c r="Y16" s="6">
        <f>'Agency North'!Z18+'Agency South'!Z18</f>
        <v>83</v>
      </c>
      <c r="Z16" s="22">
        <f>INDEX($N16:$Y16,$A$2)</f>
        <v>99</v>
      </c>
      <c r="AA16" s="22">
        <f t="shared" ref="AA16" si="33">P16</f>
        <v>118</v>
      </c>
      <c r="AB16" s="22">
        <f t="shared" ref="AB16" si="34">S16</f>
        <v>107</v>
      </c>
      <c r="AC16" s="22">
        <f>V16</f>
        <v>94</v>
      </c>
      <c r="AD16" s="22">
        <f>X16</f>
        <v>90</v>
      </c>
      <c r="AE16" s="22">
        <f>INDEX($B16:$M16,$A$2)</f>
        <v>76</v>
      </c>
      <c r="AF16" s="22">
        <f t="shared" ref="AF16:AF24" si="35">D16</f>
        <v>63</v>
      </c>
      <c r="AG16" s="22">
        <f t="shared" ref="AG16:AG24" si="36">G16</f>
        <v>71</v>
      </c>
      <c r="AH16" s="22">
        <f t="shared" ref="AH16:AH24" si="37">J16</f>
        <v>77</v>
      </c>
      <c r="AI16" s="22">
        <f t="shared" ref="AI16:AI24" si="38">M16</f>
        <v>76</v>
      </c>
      <c r="AJ16" s="31">
        <f>Z16/AE16-1</f>
        <v>0.30263157894736836</v>
      </c>
      <c r="AK16" s="31">
        <f t="shared" ref="AK16:AN24" si="39">AA16/AF16-1</f>
        <v>0.87301587301587302</v>
      </c>
      <c r="AL16" s="31">
        <f t="shared" si="39"/>
        <v>0.50704225352112675</v>
      </c>
      <c r="AM16" s="31">
        <f t="shared" si="39"/>
        <v>0.22077922077922074</v>
      </c>
      <c r="AN16" s="31">
        <f t="shared" si="39"/>
        <v>0.18421052631578938</v>
      </c>
      <c r="AO16" s="166">
        <f>'GEN Lion NORTH'!AP18+'GEN Lion SOUTH'!AP18</f>
        <v>145</v>
      </c>
      <c r="AP16" s="166">
        <f>'GEN Lion NORTH'!AQ18+'GEN Lion SOUTH'!AQ18</f>
        <v>143</v>
      </c>
      <c r="AQ16" s="166">
        <f>'GEN Lion NORTH'!AR18+'GEN Lion SOUTH'!AR18</f>
        <v>143</v>
      </c>
      <c r="AR16" s="165">
        <f>'GEN Lion NORTH'!AS18+'GEN Lion SOUTH'!AS18</f>
        <v>588</v>
      </c>
      <c r="AS16" s="165">
        <f>'GEN Lion NORTH'!AT18+'GEN Lion SOUTH'!AT18</f>
        <v>577</v>
      </c>
      <c r="AT16" s="165">
        <f>'GEN Lion NORTH'!AU18+'GEN Lion SOUTH'!AU18</f>
        <v>550</v>
      </c>
      <c r="AU16" s="165">
        <f>'GEN Lion NORTH'!AV18+'GEN Lion SOUTH'!AV18</f>
        <v>508</v>
      </c>
      <c r="BA16" s="22">
        <f>INDEX(AO16:AQ16,IF($A$2&lt;3,$A$2,3))</f>
        <v>143</v>
      </c>
      <c r="BB16" s="22">
        <f>INDEX(AR16:AT16,IF($A$2&lt;7,$A$2-3,3))</f>
        <v>550</v>
      </c>
      <c r="BC16" s="22">
        <f>INDEX(AS16:AU16,IF($A$2&lt;7,$A$2-3,3))</f>
        <v>508</v>
      </c>
      <c r="BE16" s="22">
        <f>INDEX(AO16:AZ16,$A$2)</f>
        <v>508</v>
      </c>
      <c r="BF16" s="122">
        <f t="shared" ref="BF16:BK24" si="40">AO16/N16</f>
        <v>1.2393162393162394</v>
      </c>
      <c r="BG16" s="31">
        <f t="shared" si="40"/>
        <v>1.2327586206896552</v>
      </c>
      <c r="BH16" s="31">
        <f t="shared" si="40"/>
        <v>1.2118644067796611</v>
      </c>
      <c r="BI16" s="31">
        <f t="shared" si="40"/>
        <v>5.0256410256410255</v>
      </c>
      <c r="BJ16" s="31">
        <f t="shared" si="40"/>
        <v>5.1517857142857144</v>
      </c>
      <c r="BK16" s="31">
        <f t="shared" si="40"/>
        <v>5.1401869158878508</v>
      </c>
      <c r="BR16" s="111">
        <f>BA16/INDEX(N16:P16,IF($A$2&lt;3,$A$2,3))</f>
        <v>1.2118644067796611</v>
      </c>
      <c r="BS16" s="111">
        <f>BB16/INDEX(Q16:S16,IF($A$2&lt;7,$A$2-3,3))</f>
        <v>5.1401869158878508</v>
      </c>
      <c r="BV16" s="111">
        <f t="shared" ref="BV16:BV24" si="41">BE16/Z16</f>
        <v>5.1313131313131315</v>
      </c>
    </row>
    <row r="17" spans="1:74" outlineLevel="1" x14ac:dyDescent="0.25">
      <c r="A17" t="s">
        <v>5</v>
      </c>
      <c r="B17" s="6">
        <f>'Agency North'!C19+'Agency South'!C19</f>
        <v>434</v>
      </c>
      <c r="C17" s="6">
        <f>'Agency North'!D19+'Agency South'!D19</f>
        <v>211</v>
      </c>
      <c r="D17" s="6">
        <f>'Agency North'!E19+'Agency South'!E19</f>
        <v>452</v>
      </c>
      <c r="E17" s="6">
        <f>'Agency North'!F19+'Agency South'!F19</f>
        <v>580</v>
      </c>
      <c r="F17" s="6">
        <f>'Agency North'!G19+'Agency South'!G19</f>
        <v>470</v>
      </c>
      <c r="G17" s="6">
        <f>'Agency North'!H19+'Agency South'!H19</f>
        <v>502</v>
      </c>
      <c r="H17" s="6">
        <f>'Agency North'!I19+'Agency South'!I19</f>
        <v>498</v>
      </c>
      <c r="I17" s="6">
        <f>'Agency North'!J19+'Agency South'!J19</f>
        <v>488</v>
      </c>
      <c r="J17" s="6">
        <f>'Agency North'!K19+'Agency South'!K19</f>
        <v>574</v>
      </c>
      <c r="K17" s="6">
        <f>'Agency North'!L19+'Agency South'!L19</f>
        <v>464</v>
      </c>
      <c r="L17" s="6">
        <f>'Agency North'!M19+'Agency South'!M19</f>
        <v>805</v>
      </c>
      <c r="M17" s="6">
        <f>'Agency North'!N19+'Agency South'!N19</f>
        <v>592</v>
      </c>
      <c r="N17" s="6">
        <f>'Agency North'!O19+'Agency South'!O19</f>
        <v>205</v>
      </c>
      <c r="O17" s="6">
        <f>'Agency North'!P19+'Agency South'!P19</f>
        <v>196</v>
      </c>
      <c r="P17" s="6">
        <f>'Agency North'!Q19+'Agency South'!Q19</f>
        <v>683</v>
      </c>
      <c r="Q17" s="6">
        <f>'Agency North'!R19+'Agency South'!R19</f>
        <v>545</v>
      </c>
      <c r="R17" s="6">
        <f>'Agency North'!S19+'Agency South'!S19</f>
        <v>748</v>
      </c>
      <c r="S17" s="6">
        <f>'Agency North'!T19+'Agency South'!T19</f>
        <v>1300</v>
      </c>
      <c r="T17" s="6">
        <f>'Agency North'!U19+'Agency South'!U19</f>
        <v>926</v>
      </c>
      <c r="U17" s="6">
        <f>'Agency North'!V19+'Agency South'!V19</f>
        <v>1052</v>
      </c>
      <c r="V17" s="6">
        <f>'Agency North'!W19+'Agency South'!W19</f>
        <v>1267</v>
      </c>
      <c r="W17" s="6">
        <f>'Agency North'!X19+'Agency South'!X19</f>
        <v>1186</v>
      </c>
      <c r="X17" s="6">
        <f>'Agency North'!Y19+'Agency South'!Y19</f>
        <v>1312</v>
      </c>
      <c r="Y17" s="6">
        <f>'Agency North'!Z19+'Agency South'!Z19</f>
        <v>1497</v>
      </c>
      <c r="Z17" s="22">
        <f t="shared" ref="Z17:Z24" si="42">INDEX($N17:$Y17,$A$2)</f>
        <v>926</v>
      </c>
      <c r="AA17" s="22">
        <f>P17</f>
        <v>683</v>
      </c>
      <c r="AB17" s="22">
        <f>S17</f>
        <v>1300</v>
      </c>
      <c r="AC17" s="22">
        <f t="shared" ref="AC17:AC22" si="43">V17</f>
        <v>1267</v>
      </c>
      <c r="AD17" s="22">
        <f t="shared" ref="AD17:AD24" si="44">X17</f>
        <v>1312</v>
      </c>
      <c r="AE17" s="22">
        <f t="shared" ref="AE17:AE24" si="45">INDEX($B17:$M17,$A$2)</f>
        <v>498</v>
      </c>
      <c r="AF17" s="22">
        <f t="shared" si="35"/>
        <v>452</v>
      </c>
      <c r="AG17" s="22">
        <f t="shared" si="36"/>
        <v>502</v>
      </c>
      <c r="AH17" s="22">
        <f t="shared" si="37"/>
        <v>574</v>
      </c>
      <c r="AI17" s="22">
        <f t="shared" si="38"/>
        <v>592</v>
      </c>
      <c r="AJ17" s="31">
        <f t="shared" ref="AJ17:AJ24" si="46">Z17/AE17-1</f>
        <v>0.85943775100401609</v>
      </c>
      <c r="AK17" s="31">
        <f t="shared" si="39"/>
        <v>0.51106194690265494</v>
      </c>
      <c r="AL17" s="31">
        <f t="shared" si="39"/>
        <v>1.5896414342629481</v>
      </c>
      <c r="AM17" s="31">
        <f t="shared" si="39"/>
        <v>1.2073170731707319</v>
      </c>
      <c r="AN17" s="31">
        <f t="shared" si="39"/>
        <v>1.2162162162162162</v>
      </c>
      <c r="AO17" s="166">
        <f>'GEN Lion NORTH'!AP19+'GEN Lion SOUTH'!AP19</f>
        <v>509</v>
      </c>
      <c r="AP17" s="166">
        <f>'GEN Lion NORTH'!AQ19+'GEN Lion SOUTH'!AQ19</f>
        <v>1045</v>
      </c>
      <c r="AQ17" s="166">
        <f>'GEN Lion NORTH'!AR19+'GEN Lion SOUTH'!AR19</f>
        <v>1201</v>
      </c>
      <c r="AR17" s="165">
        <f>'GEN Lion NORTH'!AS19+'GEN Lion SOUTH'!AS19</f>
        <v>939</v>
      </c>
      <c r="AS17" s="165">
        <f>'GEN Lion NORTH'!AT19+'GEN Lion SOUTH'!AT19</f>
        <v>934</v>
      </c>
      <c r="AT17" s="165">
        <f>'GEN Lion NORTH'!AU19+'GEN Lion SOUTH'!AU19</f>
        <v>1717</v>
      </c>
      <c r="AU17" s="165">
        <f>'GEN Lion NORTH'!AV19+'GEN Lion SOUTH'!AV19</f>
        <v>1163</v>
      </c>
      <c r="BA17" s="22">
        <f t="shared" ref="BA17:BA24" si="47">INDEX(AO17:AQ17,IF($A$2&lt;3,$A$2,3))</f>
        <v>1201</v>
      </c>
      <c r="BB17" s="22">
        <f t="shared" ref="BB17:BC23" si="48">INDEX(AR17:AT17,IF($A$2&lt;7,$A$2-3,3))</f>
        <v>1717</v>
      </c>
      <c r="BC17" s="22">
        <f t="shared" si="48"/>
        <v>1163</v>
      </c>
      <c r="BE17" s="22">
        <f t="shared" ref="BE17:BE24" si="49">INDEX(AO17:AZ17,$A$2)</f>
        <v>1163</v>
      </c>
      <c r="BF17" s="122">
        <f t="shared" si="40"/>
        <v>2.4829268292682927</v>
      </c>
      <c r="BG17" s="31">
        <f t="shared" si="40"/>
        <v>5.3316326530612246</v>
      </c>
      <c r="BH17" s="31">
        <f t="shared" si="40"/>
        <v>1.7584187408491947</v>
      </c>
      <c r="BI17" s="31">
        <f t="shared" si="40"/>
        <v>1.7229357798165137</v>
      </c>
      <c r="BJ17" s="31">
        <f t="shared" si="40"/>
        <v>1.2486631016042782</v>
      </c>
      <c r="BK17" s="31">
        <f t="shared" si="40"/>
        <v>1.3207692307692307</v>
      </c>
      <c r="BR17" s="111">
        <f t="shared" ref="BR17:BR24" si="50">BA17/INDEX(N17:P17,IF($A$2&lt;3,$A$2,3))</f>
        <v>1.7584187408491947</v>
      </c>
      <c r="BS17" s="111">
        <f t="shared" ref="BS17:BS24" si="51">BB17/INDEX(Q17:S17,IF($A$2&lt;7,$A$2-3,3))</f>
        <v>1.3207692307692307</v>
      </c>
      <c r="BV17" s="111">
        <f t="shared" si="41"/>
        <v>1.255939524838013</v>
      </c>
    </row>
    <row r="18" spans="1:74" outlineLevel="1" x14ac:dyDescent="0.25">
      <c r="A18" t="s">
        <v>6</v>
      </c>
      <c r="B18" s="6">
        <f>'Agency North'!C20+'Agency South'!C20</f>
        <v>407</v>
      </c>
      <c r="C18" s="6">
        <f>'Agency North'!D20+'Agency South'!D20</f>
        <v>432</v>
      </c>
      <c r="D18" s="6">
        <f>'Agency North'!E20+'Agency South'!E20</f>
        <v>208</v>
      </c>
      <c r="E18" s="6">
        <f>'Agency North'!F20+'Agency South'!F20</f>
        <v>449</v>
      </c>
      <c r="F18" s="6">
        <f>'Agency North'!G20+'Agency South'!G20</f>
        <v>563</v>
      </c>
      <c r="G18" s="6">
        <f>'Agency North'!H20+'Agency South'!H20</f>
        <v>442</v>
      </c>
      <c r="H18" s="6">
        <f>'Agency North'!I20+'Agency South'!I20</f>
        <v>483</v>
      </c>
      <c r="I18" s="6">
        <f>'Agency North'!J20+'Agency South'!J20</f>
        <v>490</v>
      </c>
      <c r="J18" s="6">
        <f>'Agency North'!K20+'Agency South'!K20</f>
        <v>472</v>
      </c>
      <c r="K18" s="6">
        <f>'Agency North'!L20+'Agency South'!L20</f>
        <v>567</v>
      </c>
      <c r="L18" s="6">
        <f>'Agency North'!M20+'Agency South'!M20</f>
        <v>452</v>
      </c>
      <c r="M18" s="6">
        <f>'Agency North'!N20+'Agency South'!N20</f>
        <v>773</v>
      </c>
      <c r="N18" s="6">
        <f>'Agency North'!O20+'Agency South'!O20</f>
        <v>590</v>
      </c>
      <c r="O18" s="6">
        <f>'Agency North'!P20+'Agency South'!P20</f>
        <v>205</v>
      </c>
      <c r="P18" s="6">
        <f>'Agency North'!Q20+'Agency South'!Q20</f>
        <v>192</v>
      </c>
      <c r="Q18" s="6">
        <f>'Agency North'!R20+'Agency South'!R20</f>
        <v>676</v>
      </c>
      <c r="R18" s="6">
        <f>'Agency North'!S20+'Agency South'!S20</f>
        <v>544</v>
      </c>
      <c r="S18" s="6">
        <f>'Agency North'!T20+'Agency South'!T20</f>
        <v>737</v>
      </c>
      <c r="T18" s="6">
        <f>'Agency North'!U20+'Agency South'!U20</f>
        <v>1290</v>
      </c>
      <c r="U18" s="6">
        <f>'Agency North'!V20+'Agency South'!V20</f>
        <v>914</v>
      </c>
      <c r="V18" s="6">
        <f>'Agency North'!W20+'Agency South'!W20</f>
        <v>1042</v>
      </c>
      <c r="W18" s="6">
        <f>'Agency North'!X20+'Agency South'!X20</f>
        <v>1263</v>
      </c>
      <c r="X18" s="6">
        <f>'Agency North'!Y20+'Agency South'!Y20</f>
        <v>1177</v>
      </c>
      <c r="Y18" s="6">
        <f>'Agency North'!Z20+'Agency South'!Z20</f>
        <v>1291</v>
      </c>
      <c r="Z18" s="22">
        <f t="shared" si="42"/>
        <v>1290</v>
      </c>
      <c r="AA18" s="22">
        <f t="shared" ref="AA18:AA24" si="52">P18</f>
        <v>192</v>
      </c>
      <c r="AB18" s="22">
        <f t="shared" ref="AB18:AB24" si="53">S18</f>
        <v>737</v>
      </c>
      <c r="AC18" s="22">
        <f t="shared" si="43"/>
        <v>1042</v>
      </c>
      <c r="AD18" s="22">
        <f t="shared" si="44"/>
        <v>1177</v>
      </c>
      <c r="AE18" s="22">
        <f t="shared" si="45"/>
        <v>483</v>
      </c>
      <c r="AF18" s="22">
        <f t="shared" si="35"/>
        <v>208</v>
      </c>
      <c r="AG18" s="22">
        <f t="shared" si="36"/>
        <v>442</v>
      </c>
      <c r="AH18" s="22">
        <f t="shared" si="37"/>
        <v>472</v>
      </c>
      <c r="AI18" s="22">
        <f t="shared" si="38"/>
        <v>773</v>
      </c>
      <c r="AJ18" s="31">
        <f t="shared" si="46"/>
        <v>1.670807453416149</v>
      </c>
      <c r="AK18" s="31">
        <f t="shared" si="39"/>
        <v>-7.6923076923076872E-2</v>
      </c>
      <c r="AL18" s="31">
        <f t="shared" si="39"/>
        <v>0.66742081447963808</v>
      </c>
      <c r="AM18" s="31">
        <f t="shared" si="39"/>
        <v>1.2076271186440679</v>
      </c>
      <c r="AN18" s="31">
        <f t="shared" si="39"/>
        <v>0.5226390685640363</v>
      </c>
      <c r="AO18" s="166">
        <f>'GEN Lion NORTH'!AP20+'GEN Lion SOUTH'!AP20</f>
        <v>1495</v>
      </c>
      <c r="AP18" s="166">
        <f>'GEN Lion NORTH'!AQ20+'GEN Lion SOUTH'!AQ20</f>
        <v>508</v>
      </c>
      <c r="AQ18" s="166">
        <f>'GEN Lion NORTH'!AR20+'GEN Lion SOUTH'!AR20</f>
        <v>1040</v>
      </c>
      <c r="AR18" s="165">
        <f>'GEN Lion NORTH'!AS20+'GEN Lion SOUTH'!AS20</f>
        <v>1158</v>
      </c>
      <c r="AS18" s="165">
        <f>'GEN Lion NORTH'!AT20+'GEN Lion SOUTH'!AT20</f>
        <v>936</v>
      </c>
      <c r="AT18" s="165">
        <f>'GEN Lion NORTH'!AU20+'GEN Lion SOUTH'!AU20</f>
        <v>887</v>
      </c>
      <c r="AU18" s="165">
        <f>'GEN Lion NORTH'!AV20+'GEN Lion SOUTH'!AV20</f>
        <v>1705</v>
      </c>
      <c r="BA18" s="22">
        <f t="shared" si="47"/>
        <v>1040</v>
      </c>
      <c r="BB18" s="22">
        <f t="shared" si="48"/>
        <v>887</v>
      </c>
      <c r="BC18" s="22">
        <f t="shared" si="48"/>
        <v>1705</v>
      </c>
      <c r="BE18" s="22">
        <f t="shared" si="49"/>
        <v>1705</v>
      </c>
      <c r="BF18" s="122">
        <f t="shared" si="40"/>
        <v>2.5338983050847457</v>
      </c>
      <c r="BG18" s="31">
        <f t="shared" si="40"/>
        <v>2.4780487804878049</v>
      </c>
      <c r="BH18" s="31">
        <f t="shared" si="40"/>
        <v>5.416666666666667</v>
      </c>
      <c r="BI18" s="31">
        <f t="shared" si="40"/>
        <v>1.7130177514792899</v>
      </c>
      <c r="BJ18" s="31">
        <f t="shared" si="40"/>
        <v>1.7205882352941178</v>
      </c>
      <c r="BK18" s="31">
        <f t="shared" si="40"/>
        <v>1.2035278154681139</v>
      </c>
      <c r="BR18" s="111">
        <f t="shared" si="50"/>
        <v>5.416666666666667</v>
      </c>
      <c r="BS18" s="111">
        <f t="shared" si="51"/>
        <v>1.2035278154681139</v>
      </c>
      <c r="BV18" s="111">
        <f t="shared" si="41"/>
        <v>1.3217054263565891</v>
      </c>
    </row>
    <row r="19" spans="1:74" outlineLevel="1" x14ac:dyDescent="0.25">
      <c r="A19" t="s">
        <v>7</v>
      </c>
      <c r="B19" s="6">
        <f>'Agency North'!C21+'Agency South'!C21</f>
        <v>567</v>
      </c>
      <c r="C19" s="6">
        <f>'Agency North'!D21+'Agency South'!D21</f>
        <v>770</v>
      </c>
      <c r="D19" s="6">
        <f>'Agency North'!E21+'Agency South'!E21</f>
        <v>803</v>
      </c>
      <c r="E19" s="6">
        <f>'Agency North'!F21+'Agency South'!F21</f>
        <v>613</v>
      </c>
      <c r="F19" s="6">
        <f>'Agency North'!G21+'Agency South'!G21</f>
        <v>533</v>
      </c>
      <c r="G19" s="6">
        <f>'Agency North'!H21+'Agency South'!H21</f>
        <v>807</v>
      </c>
      <c r="H19" s="6">
        <f>'Agency North'!I21+'Agency South'!I21</f>
        <v>830</v>
      </c>
      <c r="I19" s="6">
        <f>'Agency North'!J21+'Agency South'!J21</f>
        <v>827</v>
      </c>
      <c r="J19" s="6">
        <f>'Agency North'!K21+'Agency South'!K21</f>
        <v>836</v>
      </c>
      <c r="K19" s="6">
        <f>'Agency North'!L21+'Agency South'!L21</f>
        <v>848</v>
      </c>
      <c r="L19" s="6">
        <f>'Agency North'!M21+'Agency South'!M21</f>
        <v>907</v>
      </c>
      <c r="M19" s="6">
        <f>'Agency North'!N21+'Agency South'!N21</f>
        <v>838</v>
      </c>
      <c r="N19" s="6">
        <f>'Agency North'!O21+'Agency South'!O21</f>
        <v>1091</v>
      </c>
      <c r="O19" s="6">
        <f>'Agency North'!P21+'Agency South'!P21</f>
        <v>1241</v>
      </c>
      <c r="P19" s="6">
        <f>'Agency North'!Q21+'Agency South'!Q21</f>
        <v>707</v>
      </c>
      <c r="Q19" s="6">
        <f>'Agency North'!R21+'Agency South'!R21</f>
        <v>370</v>
      </c>
      <c r="R19" s="6">
        <f>'Agency North'!S21+'Agency South'!S21</f>
        <v>812</v>
      </c>
      <c r="S19" s="6">
        <f>'Agency North'!T21+'Agency South'!T21</f>
        <v>1126</v>
      </c>
      <c r="T19" s="6">
        <f>'Agency North'!U21+'Agency South'!U21</f>
        <v>1221</v>
      </c>
      <c r="U19" s="6">
        <f>'Agency North'!V21+'Agency South'!V21</f>
        <v>1902</v>
      </c>
      <c r="V19" s="6">
        <f>'Agency North'!W21+'Agency South'!W21</f>
        <v>2032</v>
      </c>
      <c r="W19" s="6">
        <f>'Agency North'!X21+'Agency South'!X21</f>
        <v>1852</v>
      </c>
      <c r="X19" s="6">
        <f>'Agency North'!Y21+'Agency South'!Y21</f>
        <v>2178</v>
      </c>
      <c r="Y19" s="6">
        <f>'Agency North'!Z21+'Agency South'!Z21</f>
        <v>2293</v>
      </c>
      <c r="Z19" s="22">
        <f t="shared" si="42"/>
        <v>1221</v>
      </c>
      <c r="AA19" s="22">
        <f t="shared" si="52"/>
        <v>707</v>
      </c>
      <c r="AB19" s="22">
        <f t="shared" si="53"/>
        <v>1126</v>
      </c>
      <c r="AC19" s="22">
        <f t="shared" si="43"/>
        <v>2032</v>
      </c>
      <c r="AD19" s="22">
        <f t="shared" si="44"/>
        <v>2178</v>
      </c>
      <c r="AE19" s="22">
        <f t="shared" si="45"/>
        <v>830</v>
      </c>
      <c r="AF19" s="22">
        <f t="shared" si="35"/>
        <v>803</v>
      </c>
      <c r="AG19" s="22">
        <f t="shared" si="36"/>
        <v>807</v>
      </c>
      <c r="AH19" s="22">
        <f t="shared" si="37"/>
        <v>836</v>
      </c>
      <c r="AI19" s="22">
        <f t="shared" si="38"/>
        <v>838</v>
      </c>
      <c r="AJ19" s="31">
        <f t="shared" si="46"/>
        <v>0.47108433734939759</v>
      </c>
      <c r="AK19" s="31">
        <f t="shared" si="39"/>
        <v>-0.11955168119551685</v>
      </c>
      <c r="AL19" s="31">
        <f t="shared" si="39"/>
        <v>0.39529120198265177</v>
      </c>
      <c r="AM19" s="31">
        <f t="shared" si="39"/>
        <v>1.4306220095693778</v>
      </c>
      <c r="AN19" s="31">
        <f t="shared" si="39"/>
        <v>1.5990453460620526</v>
      </c>
      <c r="AO19" s="166">
        <f>'GEN Lion NORTH'!AP21+'GEN Lion SOUTH'!AP21</f>
        <v>2385</v>
      </c>
      <c r="AP19" s="166">
        <f>'GEN Lion NORTH'!AQ21+'GEN Lion SOUTH'!AQ21</f>
        <v>2739</v>
      </c>
      <c r="AQ19" s="166">
        <f>'GEN Lion NORTH'!AR21+'GEN Lion SOUTH'!AR21</f>
        <v>1933</v>
      </c>
      <c r="AR19" s="165">
        <f>'GEN Lion NORTH'!AS21+'GEN Lion SOUTH'!AS21</f>
        <v>1419</v>
      </c>
      <c r="AS19" s="165">
        <f>'GEN Lion NORTH'!AT21+'GEN Lion SOUTH'!AT21</f>
        <v>2136</v>
      </c>
      <c r="AT19" s="165">
        <f>'GEN Lion NORTH'!AU21+'GEN Lion SOUTH'!AU21</f>
        <v>2003</v>
      </c>
      <c r="AU19" s="165">
        <f>'GEN Lion NORTH'!AV21+'GEN Lion SOUTH'!AV21</f>
        <v>1708</v>
      </c>
      <c r="BA19" s="22">
        <f t="shared" si="47"/>
        <v>1933</v>
      </c>
      <c r="BB19" s="22">
        <f t="shared" si="48"/>
        <v>2003</v>
      </c>
      <c r="BC19" s="22">
        <f t="shared" si="48"/>
        <v>1708</v>
      </c>
      <c r="BE19" s="22">
        <f t="shared" si="49"/>
        <v>1708</v>
      </c>
      <c r="BF19" s="122">
        <f t="shared" si="40"/>
        <v>2.1860678276810264</v>
      </c>
      <c r="BG19" s="31">
        <f t="shared" si="40"/>
        <v>2.2070910556003223</v>
      </c>
      <c r="BH19" s="31">
        <f t="shared" si="40"/>
        <v>2.7340876944837342</v>
      </c>
      <c r="BI19" s="31">
        <f t="shared" si="40"/>
        <v>3.8351351351351353</v>
      </c>
      <c r="BJ19" s="31">
        <f t="shared" si="40"/>
        <v>2.6305418719211824</v>
      </c>
      <c r="BK19" s="31">
        <f t="shared" si="40"/>
        <v>1.7788632326820604</v>
      </c>
      <c r="BR19" s="111">
        <f t="shared" si="50"/>
        <v>2.7340876944837342</v>
      </c>
      <c r="BS19" s="111">
        <f t="shared" si="51"/>
        <v>1.7788632326820604</v>
      </c>
      <c r="BV19" s="111">
        <f t="shared" si="41"/>
        <v>1.3988533988533989</v>
      </c>
    </row>
    <row r="20" spans="1:74" outlineLevel="1" x14ac:dyDescent="0.25">
      <c r="A20" t="s">
        <v>8</v>
      </c>
      <c r="B20" s="6">
        <f>'Agency North'!C22+'Agency South'!C22</f>
        <v>507</v>
      </c>
      <c r="C20" s="6">
        <f>'Agency North'!D22+'Agency South'!D22</f>
        <v>511</v>
      </c>
      <c r="D20" s="6">
        <f>'Agency North'!E22+'Agency South'!E22</f>
        <v>588</v>
      </c>
      <c r="E20" s="6">
        <f>'Agency North'!F22+'Agency South'!F22</f>
        <v>659</v>
      </c>
      <c r="F20" s="6">
        <f>'Agency North'!G22+'Agency South'!G22</f>
        <v>668</v>
      </c>
      <c r="G20" s="6">
        <f>'Agency North'!H22+'Agency South'!H22</f>
        <v>496</v>
      </c>
      <c r="H20" s="6">
        <f>'Agency North'!I22+'Agency South'!I22</f>
        <v>488</v>
      </c>
      <c r="I20" s="6">
        <f>'Agency North'!J22+'Agency South'!J22</f>
        <v>633</v>
      </c>
      <c r="J20" s="6">
        <f>'Agency North'!K22+'Agency South'!K22</f>
        <v>711</v>
      </c>
      <c r="K20" s="6">
        <f>'Agency North'!L22+'Agency South'!L22</f>
        <v>782</v>
      </c>
      <c r="L20" s="6">
        <f>'Agency North'!M22+'Agency South'!M22</f>
        <v>724</v>
      </c>
      <c r="M20" s="6">
        <f>'Agency North'!N22+'Agency South'!N22</f>
        <v>735</v>
      </c>
      <c r="N20" s="6">
        <f>'Agency North'!O22+'Agency South'!O22</f>
        <v>894</v>
      </c>
      <c r="O20" s="6">
        <f>'Agency North'!P22+'Agency South'!P22</f>
        <v>899</v>
      </c>
      <c r="P20" s="6">
        <f>'Agency North'!Q22+'Agency South'!Q22</f>
        <v>1134</v>
      </c>
      <c r="Q20" s="6">
        <f>'Agency North'!R22+'Agency South'!R22</f>
        <v>1093</v>
      </c>
      <c r="R20" s="6">
        <f>'Agency North'!S22+'Agency South'!S22</f>
        <v>941</v>
      </c>
      <c r="S20" s="6">
        <f>'Agency North'!T22+'Agency South'!T22</f>
        <v>569</v>
      </c>
      <c r="T20" s="6">
        <f>'Agency North'!U22+'Agency South'!U22</f>
        <v>730</v>
      </c>
      <c r="U20" s="6">
        <f>'Agency North'!V22+'Agency South'!V22</f>
        <v>972</v>
      </c>
      <c r="V20" s="6">
        <f>'Agency North'!W22+'Agency South'!W22</f>
        <v>1281</v>
      </c>
      <c r="W20" s="6">
        <f>'Agency North'!X22+'Agency South'!X22</f>
        <v>1832</v>
      </c>
      <c r="X20" s="6">
        <f>'Agency North'!Y22+'Agency South'!Y22</f>
        <v>1963</v>
      </c>
      <c r="Y20" s="6">
        <f>'Agency North'!Z22+'Agency South'!Z22</f>
        <v>2123</v>
      </c>
      <c r="Z20" s="22">
        <f t="shared" si="42"/>
        <v>730</v>
      </c>
      <c r="AA20" s="22">
        <f t="shared" si="52"/>
        <v>1134</v>
      </c>
      <c r="AB20" s="22">
        <f t="shared" si="53"/>
        <v>569</v>
      </c>
      <c r="AC20" s="22">
        <f t="shared" si="43"/>
        <v>1281</v>
      </c>
      <c r="AD20" s="22">
        <f t="shared" si="44"/>
        <v>1963</v>
      </c>
      <c r="AE20" s="22">
        <f t="shared" si="45"/>
        <v>488</v>
      </c>
      <c r="AF20" s="22">
        <f t="shared" si="35"/>
        <v>588</v>
      </c>
      <c r="AG20" s="22">
        <f t="shared" si="36"/>
        <v>496</v>
      </c>
      <c r="AH20" s="22">
        <f t="shared" si="37"/>
        <v>711</v>
      </c>
      <c r="AI20" s="22">
        <f t="shared" si="38"/>
        <v>735</v>
      </c>
      <c r="AJ20" s="31">
        <f t="shared" si="46"/>
        <v>0.49590163934426235</v>
      </c>
      <c r="AK20" s="31">
        <f t="shared" si="39"/>
        <v>0.9285714285714286</v>
      </c>
      <c r="AL20" s="31">
        <f t="shared" si="39"/>
        <v>0.14717741935483875</v>
      </c>
      <c r="AM20" s="31">
        <f t="shared" si="39"/>
        <v>0.80168776371308015</v>
      </c>
      <c r="AN20" s="31">
        <f t="shared" si="39"/>
        <v>1.6707482993197278</v>
      </c>
      <c r="AO20" s="166">
        <f>'GEN Lion NORTH'!AP22+'GEN Lion SOUTH'!AP22</f>
        <v>2341</v>
      </c>
      <c r="AP20" s="166">
        <f>'GEN Lion NORTH'!AQ22+'GEN Lion SOUTH'!AQ22</f>
        <v>1464</v>
      </c>
      <c r="AQ20" s="166">
        <f>'GEN Lion NORTH'!AR22+'GEN Lion SOUTH'!AR22</f>
        <v>1619</v>
      </c>
      <c r="AR20" s="165">
        <f>'GEN Lion NORTH'!AS22+'GEN Lion SOUTH'!AS22</f>
        <v>1247</v>
      </c>
      <c r="AS20" s="165">
        <f>'GEN Lion NORTH'!AT22+'GEN Lion SOUTH'!AT22</f>
        <v>919</v>
      </c>
      <c r="AT20" s="165">
        <f>'GEN Lion NORTH'!AU22+'GEN Lion SOUTH'!AU22</f>
        <v>860</v>
      </c>
      <c r="AU20" s="165">
        <f>'GEN Lion NORTH'!AV22+'GEN Lion SOUTH'!AV22</f>
        <v>783</v>
      </c>
      <c r="BA20" s="22">
        <f t="shared" si="47"/>
        <v>1619</v>
      </c>
      <c r="BB20" s="22">
        <f t="shared" si="48"/>
        <v>860</v>
      </c>
      <c r="BC20" s="22">
        <f t="shared" si="48"/>
        <v>783</v>
      </c>
      <c r="BE20" s="22">
        <f t="shared" si="49"/>
        <v>783</v>
      </c>
      <c r="BF20" s="122">
        <f t="shared" si="40"/>
        <v>2.6185682326621924</v>
      </c>
      <c r="BG20" s="31">
        <f t="shared" si="40"/>
        <v>1.6284760845383759</v>
      </c>
      <c r="BH20" s="31">
        <f t="shared" si="40"/>
        <v>1.4276895943562611</v>
      </c>
      <c r="BI20" s="31">
        <f t="shared" si="40"/>
        <v>1.140896614821592</v>
      </c>
      <c r="BJ20" s="31">
        <f t="shared" si="40"/>
        <v>0.97662061636556852</v>
      </c>
      <c r="BK20" s="31">
        <f t="shared" si="40"/>
        <v>1.5114235500878734</v>
      </c>
      <c r="BR20" s="111">
        <f t="shared" si="50"/>
        <v>1.4276895943562611</v>
      </c>
      <c r="BS20" s="111">
        <f t="shared" si="51"/>
        <v>1.5114235500878734</v>
      </c>
      <c r="BV20" s="111">
        <f t="shared" si="41"/>
        <v>1.0726027397260274</v>
      </c>
    </row>
    <row r="21" spans="1:74" outlineLevel="1" x14ac:dyDescent="0.25">
      <c r="A21" t="s">
        <v>1</v>
      </c>
      <c r="B21" s="6">
        <f>'Agency North'!C23+'Agency South'!C23</f>
        <v>367</v>
      </c>
      <c r="C21" s="6">
        <f>'Agency North'!D23+'Agency South'!D23</f>
        <v>437</v>
      </c>
      <c r="D21" s="6">
        <f>'Agency North'!E23+'Agency South'!E23</f>
        <v>524</v>
      </c>
      <c r="E21" s="6">
        <f>'Agency North'!F23+'Agency South'!F23</f>
        <v>596</v>
      </c>
      <c r="F21" s="6">
        <f>'Agency North'!G23+'Agency South'!G23</f>
        <v>548</v>
      </c>
      <c r="G21" s="6">
        <f>'Agency North'!H23+'Agency South'!H23</f>
        <v>547</v>
      </c>
      <c r="H21" s="6">
        <f>'Agency North'!I23+'Agency South'!I23</f>
        <v>522</v>
      </c>
      <c r="I21" s="6">
        <f>'Agency North'!J23+'Agency South'!J23</f>
        <v>556</v>
      </c>
      <c r="J21" s="6">
        <f>'Agency North'!K23+'Agency South'!K23</f>
        <v>511</v>
      </c>
      <c r="K21" s="6">
        <f>'Agency North'!L23+'Agency South'!L23</f>
        <v>604</v>
      </c>
      <c r="L21" s="6">
        <f>'Agency North'!M23+'Agency South'!M23</f>
        <v>711</v>
      </c>
      <c r="M21" s="6">
        <f>'Agency North'!N23+'Agency South'!N23</f>
        <v>717</v>
      </c>
      <c r="N21" s="6">
        <f>'Agency North'!O23+'Agency South'!O23</f>
        <v>797</v>
      </c>
      <c r="O21" s="6">
        <f>'Agency North'!P23+'Agency South'!P23</f>
        <v>874</v>
      </c>
      <c r="P21" s="6">
        <f>'Agency North'!Q23+'Agency South'!Q23</f>
        <v>944</v>
      </c>
      <c r="Q21" s="6">
        <f>'Agency North'!R23+'Agency South'!R23</f>
        <v>1082</v>
      </c>
      <c r="R21" s="6">
        <f>'Agency North'!S23+'Agency South'!S23</f>
        <v>1029</v>
      </c>
      <c r="S21" s="6">
        <f>'Agency North'!T23+'Agency South'!T23</f>
        <v>1202</v>
      </c>
      <c r="T21" s="6">
        <f>'Agency North'!U23+'Agency South'!U23</f>
        <v>1213</v>
      </c>
      <c r="U21" s="6">
        <f>'Agency North'!V23+'Agency South'!V23</f>
        <v>1093</v>
      </c>
      <c r="V21" s="6">
        <f>'Agency North'!W23+'Agency South'!W23</f>
        <v>967</v>
      </c>
      <c r="W21" s="6">
        <f>'Agency North'!X23+'Agency South'!X23</f>
        <v>1026</v>
      </c>
      <c r="X21" s="6">
        <f>'Agency North'!Y23+'Agency South'!Y23</f>
        <v>1134</v>
      </c>
      <c r="Y21" s="6">
        <f>'Agency North'!Z23+'Agency South'!Z23</f>
        <v>1205</v>
      </c>
      <c r="Z21" s="22">
        <f t="shared" si="42"/>
        <v>1213</v>
      </c>
      <c r="AA21" s="22">
        <f t="shared" si="52"/>
        <v>944</v>
      </c>
      <c r="AB21" s="22">
        <f t="shared" si="53"/>
        <v>1202</v>
      </c>
      <c r="AC21" s="22">
        <f t="shared" si="43"/>
        <v>967</v>
      </c>
      <c r="AD21" s="22">
        <f t="shared" si="44"/>
        <v>1134</v>
      </c>
      <c r="AE21" s="22">
        <f t="shared" si="45"/>
        <v>522</v>
      </c>
      <c r="AF21" s="22">
        <f t="shared" si="35"/>
        <v>524</v>
      </c>
      <c r="AG21" s="22">
        <f t="shared" si="36"/>
        <v>547</v>
      </c>
      <c r="AH21" s="22">
        <f>J21</f>
        <v>511</v>
      </c>
      <c r="AI21" s="22">
        <f t="shared" si="38"/>
        <v>717</v>
      </c>
      <c r="AJ21" s="31">
        <f t="shared" si="46"/>
        <v>1.3237547892720305</v>
      </c>
      <c r="AK21" s="31">
        <f t="shared" si="39"/>
        <v>0.8015267175572518</v>
      </c>
      <c r="AL21" s="31">
        <f t="shared" si="39"/>
        <v>1.197440585009141</v>
      </c>
      <c r="AM21" s="31">
        <f t="shared" si="39"/>
        <v>0.89236790606653615</v>
      </c>
      <c r="AN21" s="31">
        <f t="shared" si="39"/>
        <v>0.58158995815899583</v>
      </c>
      <c r="AO21" s="166">
        <f>'GEN Lion NORTH'!AP23+'GEN Lion SOUTH'!AP23</f>
        <v>1657</v>
      </c>
      <c r="AP21" s="166">
        <f>'GEN Lion NORTH'!AQ23+'GEN Lion SOUTH'!AQ23</f>
        <v>936</v>
      </c>
      <c r="AQ21" s="166">
        <f>'GEN Lion NORTH'!AR23+'GEN Lion SOUTH'!AR23</f>
        <v>1044</v>
      </c>
      <c r="AR21" s="165">
        <f>'GEN Lion NORTH'!AS23+'GEN Lion SOUTH'!AS23</f>
        <v>961</v>
      </c>
      <c r="AS21" s="165">
        <f>'GEN Lion NORTH'!AT23+'GEN Lion SOUTH'!AT23</f>
        <v>1122</v>
      </c>
      <c r="AT21" s="165">
        <f>'GEN Lion NORTH'!AU23+'GEN Lion SOUTH'!AU23</f>
        <v>1206</v>
      </c>
      <c r="AU21" s="165">
        <f>'GEN Lion NORTH'!AV23+'GEN Lion SOUTH'!AV23</f>
        <v>1125</v>
      </c>
      <c r="BA21" s="22">
        <f t="shared" si="47"/>
        <v>1044</v>
      </c>
      <c r="BB21" s="22">
        <f t="shared" si="48"/>
        <v>1206</v>
      </c>
      <c r="BC21" s="22">
        <f t="shared" si="48"/>
        <v>1125</v>
      </c>
      <c r="BE21" s="22">
        <f t="shared" si="49"/>
        <v>1125</v>
      </c>
      <c r="BF21" s="122">
        <f t="shared" si="40"/>
        <v>2.0790464240903388</v>
      </c>
      <c r="BG21" s="31">
        <f t="shared" si="40"/>
        <v>1.0709382151029749</v>
      </c>
      <c r="BH21" s="31">
        <f t="shared" si="40"/>
        <v>1.1059322033898304</v>
      </c>
      <c r="BI21" s="31">
        <f t="shared" si="40"/>
        <v>0.88817005545286509</v>
      </c>
      <c r="BJ21" s="31">
        <f t="shared" si="40"/>
        <v>1.0903790087463556</v>
      </c>
      <c r="BK21" s="31">
        <f t="shared" si="40"/>
        <v>1.0033277870216306</v>
      </c>
      <c r="BR21" s="111">
        <f t="shared" si="50"/>
        <v>1.1059322033898304</v>
      </c>
      <c r="BS21" s="111">
        <f t="shared" si="51"/>
        <v>1.0033277870216306</v>
      </c>
      <c r="BV21" s="111">
        <f t="shared" si="41"/>
        <v>0.92745259686727122</v>
      </c>
    </row>
    <row r="22" spans="1:74" outlineLevel="1" x14ac:dyDescent="0.25">
      <c r="A22" t="s">
        <v>2</v>
      </c>
      <c r="B22" s="6">
        <f>'Agency North'!C24+'Agency South'!C24</f>
        <v>162</v>
      </c>
      <c r="C22" s="6">
        <f>'Agency North'!D24+'Agency South'!D24</f>
        <v>168</v>
      </c>
      <c r="D22" s="6">
        <f>'Agency North'!E24+'Agency South'!E24</f>
        <v>167</v>
      </c>
      <c r="E22" s="6">
        <f>'Agency North'!F24+'Agency South'!F24</f>
        <v>166</v>
      </c>
      <c r="F22" s="6">
        <f>'Agency North'!G24+'Agency South'!G24</f>
        <v>193</v>
      </c>
      <c r="G22" s="6">
        <f>'Agency North'!H24+'Agency South'!H24</f>
        <v>236</v>
      </c>
      <c r="H22" s="6">
        <f>'Agency North'!I24+'Agency South'!I24</f>
        <v>230</v>
      </c>
      <c r="I22" s="6">
        <f>'Agency North'!J24+'Agency South'!J24</f>
        <v>245</v>
      </c>
      <c r="J22" s="6">
        <f>'Agency North'!K24+'Agency South'!K24</f>
        <v>280</v>
      </c>
      <c r="K22" s="6">
        <f>'Agency North'!L24+'Agency South'!L24</f>
        <v>308</v>
      </c>
      <c r="L22" s="6">
        <f>'Agency North'!M24+'Agency South'!M24</f>
        <v>328</v>
      </c>
      <c r="M22" s="6">
        <f>'Agency North'!N24+'Agency South'!N24</f>
        <v>386</v>
      </c>
      <c r="N22" s="6">
        <f>'Agency North'!O24+'Agency South'!O24</f>
        <v>462</v>
      </c>
      <c r="O22" s="6">
        <f>'Agency North'!P24+'Agency South'!P24</f>
        <v>536</v>
      </c>
      <c r="P22" s="6">
        <f>'Agency North'!Q24+'Agency South'!Q24</f>
        <v>548</v>
      </c>
      <c r="Q22" s="6">
        <f>'Agency North'!R24+'Agency South'!R24</f>
        <v>622</v>
      </c>
      <c r="R22" s="6">
        <f>'Agency North'!S24+'Agency South'!S24</f>
        <v>744</v>
      </c>
      <c r="S22" s="6">
        <f>'Agency North'!T24+'Agency South'!T24</f>
        <v>778</v>
      </c>
      <c r="T22" s="6">
        <f>'Agency North'!U24+'Agency South'!U24</f>
        <v>856</v>
      </c>
      <c r="U22" s="6">
        <f>'Agency North'!V24+'Agency South'!V24</f>
        <v>941</v>
      </c>
      <c r="V22" s="6">
        <f>'Agency North'!W24+'Agency South'!W24</f>
        <v>1023</v>
      </c>
      <c r="W22" s="6">
        <f>'Agency North'!X24+'Agency South'!X24</f>
        <v>1156</v>
      </c>
      <c r="X22" s="6">
        <f>'Agency North'!Y24+'Agency South'!Y24</f>
        <v>1197</v>
      </c>
      <c r="Y22" s="6">
        <f>'Agency North'!Z24+'Agency South'!Z24</f>
        <v>1353</v>
      </c>
      <c r="Z22" s="22">
        <f t="shared" si="42"/>
        <v>856</v>
      </c>
      <c r="AA22" s="22">
        <f t="shared" si="52"/>
        <v>548</v>
      </c>
      <c r="AB22" s="22">
        <f t="shared" si="53"/>
        <v>778</v>
      </c>
      <c r="AC22" s="22">
        <f t="shared" si="43"/>
        <v>1023</v>
      </c>
      <c r="AD22" s="22">
        <f t="shared" si="44"/>
        <v>1197</v>
      </c>
      <c r="AE22" s="22">
        <f t="shared" si="45"/>
        <v>230</v>
      </c>
      <c r="AF22" s="22">
        <f t="shared" si="35"/>
        <v>167</v>
      </c>
      <c r="AG22" s="22">
        <f t="shared" si="36"/>
        <v>236</v>
      </c>
      <c r="AH22" s="22">
        <f t="shared" si="37"/>
        <v>280</v>
      </c>
      <c r="AI22" s="22">
        <f t="shared" si="38"/>
        <v>386</v>
      </c>
      <c r="AJ22" s="31">
        <f t="shared" si="46"/>
        <v>2.7217391304347824</v>
      </c>
      <c r="AK22" s="31">
        <f t="shared" si="39"/>
        <v>2.2814371257485031</v>
      </c>
      <c r="AL22" s="31">
        <f t="shared" si="39"/>
        <v>2.2966101694915255</v>
      </c>
      <c r="AM22" s="31">
        <f t="shared" si="39"/>
        <v>2.6535714285714285</v>
      </c>
      <c r="AN22" s="31">
        <f t="shared" si="39"/>
        <v>2.1010362694300517</v>
      </c>
      <c r="AO22" s="166">
        <f>'GEN Lion NORTH'!AP24+'GEN Lion SOUTH'!AP24</f>
        <v>1498</v>
      </c>
      <c r="AP22" s="166">
        <f>'GEN Lion NORTH'!AQ24+'GEN Lion SOUTH'!AQ24</f>
        <v>841</v>
      </c>
      <c r="AQ22" s="166">
        <f>'GEN Lion NORTH'!AR24+'GEN Lion SOUTH'!AR24</f>
        <v>797</v>
      </c>
      <c r="AR22" s="165">
        <f>'GEN Lion NORTH'!AS24+'GEN Lion SOUTH'!AS24</f>
        <v>745</v>
      </c>
      <c r="AS22" s="165">
        <f>'GEN Lion NORTH'!AT24+'GEN Lion SOUTH'!AT24</f>
        <v>756</v>
      </c>
      <c r="AT22" s="165">
        <f>'GEN Lion NORTH'!AU24+'GEN Lion SOUTH'!AU24</f>
        <v>792</v>
      </c>
      <c r="AU22" s="165">
        <f>'GEN Lion NORTH'!AV24+'GEN Lion SOUTH'!AV24</f>
        <v>871</v>
      </c>
      <c r="BA22" s="22">
        <f t="shared" si="47"/>
        <v>797</v>
      </c>
      <c r="BB22" s="22">
        <f t="shared" si="48"/>
        <v>792</v>
      </c>
      <c r="BC22" s="22">
        <f t="shared" si="48"/>
        <v>871</v>
      </c>
      <c r="BE22" s="22">
        <f t="shared" si="49"/>
        <v>871</v>
      </c>
      <c r="BF22" s="122">
        <f t="shared" si="40"/>
        <v>3.2424242424242422</v>
      </c>
      <c r="BG22" s="31">
        <f t="shared" si="40"/>
        <v>1.5690298507462686</v>
      </c>
      <c r="BH22" s="31">
        <f t="shared" si="40"/>
        <v>1.4543795620437956</v>
      </c>
      <c r="BI22" s="31">
        <f t="shared" si="40"/>
        <v>1.197749196141479</v>
      </c>
      <c r="BJ22" s="31">
        <f t="shared" si="40"/>
        <v>1.0161290322580645</v>
      </c>
      <c r="BK22" s="31">
        <f t="shared" si="40"/>
        <v>1.0179948586118253</v>
      </c>
      <c r="BR22" s="111">
        <f t="shared" si="50"/>
        <v>1.4543795620437956</v>
      </c>
      <c r="BS22" s="111">
        <f t="shared" si="51"/>
        <v>1.0179948586118253</v>
      </c>
      <c r="BV22" s="111">
        <f t="shared" si="41"/>
        <v>1.0175233644859814</v>
      </c>
    </row>
    <row r="23" spans="1:74" outlineLevel="1" x14ac:dyDescent="0.25">
      <c r="A23" s="135" t="s">
        <v>136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31"/>
      <c r="AK23" s="31"/>
      <c r="AL23" s="31"/>
      <c r="AM23" s="31"/>
      <c r="AN23" s="31"/>
      <c r="AO23" s="166"/>
      <c r="AP23" s="166">
        <f>'GEN Lion NORTH'!AQ25+'GEN Lion SOUTH'!AQ25</f>
        <v>2354</v>
      </c>
      <c r="AQ23" s="166">
        <f>'GEN Lion NORTH'!AR25+'GEN Lion SOUTH'!AR25</f>
        <v>2611</v>
      </c>
      <c r="AR23" s="165">
        <f>'GEN Lion NORTH'!AS25+'GEN Lion SOUTH'!AS25</f>
        <v>3496</v>
      </c>
      <c r="AS23" s="165">
        <f>'GEN Lion NORTH'!AT25+'GEN Lion SOUTH'!AT25</f>
        <v>4041</v>
      </c>
      <c r="AT23" s="165">
        <f>'GEN Lion NORTH'!AU25+'GEN Lion SOUTH'!AU25</f>
        <v>4849</v>
      </c>
      <c r="AU23" s="165">
        <f>'GEN Lion NORTH'!AV25+'GEN Lion SOUTH'!AV25</f>
        <v>5854</v>
      </c>
      <c r="BA23" s="22">
        <f t="shared" si="47"/>
        <v>2611</v>
      </c>
      <c r="BB23" s="22">
        <f t="shared" si="48"/>
        <v>4849</v>
      </c>
      <c r="BC23" s="22">
        <f t="shared" si="48"/>
        <v>5854</v>
      </c>
      <c r="BE23" s="22">
        <f>INDEX(AO23:AZ23,$A$2)</f>
        <v>5854</v>
      </c>
      <c r="BF23" s="122"/>
      <c r="BG23" s="31"/>
      <c r="BH23" s="31"/>
      <c r="BI23" s="31"/>
      <c r="BJ23" s="31"/>
      <c r="BK23" s="31"/>
      <c r="BR23" s="111"/>
      <c r="BS23" s="111"/>
      <c r="BV23" s="111"/>
    </row>
    <row r="24" spans="1:74" s="17" customFormat="1" x14ac:dyDescent="0.25">
      <c r="A24" s="1" t="s">
        <v>137</v>
      </c>
      <c r="B24" s="7">
        <f>SUM(B16:B22)</f>
        <v>2496</v>
      </c>
      <c r="C24" s="7">
        <f t="shared" ref="C24:Y24" si="54">SUM(C16:C22)</f>
        <v>2586</v>
      </c>
      <c r="D24" s="7">
        <f t="shared" si="54"/>
        <v>2805</v>
      </c>
      <c r="E24" s="7">
        <f t="shared" si="54"/>
        <v>3133</v>
      </c>
      <c r="F24" s="7">
        <f t="shared" si="54"/>
        <v>3046</v>
      </c>
      <c r="G24" s="7">
        <f t="shared" si="54"/>
        <v>3101</v>
      </c>
      <c r="H24" s="7">
        <f t="shared" si="54"/>
        <v>3127</v>
      </c>
      <c r="I24" s="7">
        <f t="shared" si="54"/>
        <v>3315</v>
      </c>
      <c r="J24" s="7">
        <f t="shared" si="54"/>
        <v>3461</v>
      </c>
      <c r="K24" s="7">
        <f t="shared" si="54"/>
        <v>3650</v>
      </c>
      <c r="L24" s="7">
        <f t="shared" si="54"/>
        <v>4000</v>
      </c>
      <c r="M24" s="7">
        <f t="shared" si="54"/>
        <v>4117</v>
      </c>
      <c r="N24" s="7">
        <f t="shared" si="54"/>
        <v>4156</v>
      </c>
      <c r="O24" s="7">
        <f t="shared" si="54"/>
        <v>4067</v>
      </c>
      <c r="P24" s="7">
        <f t="shared" si="54"/>
        <v>4326</v>
      </c>
      <c r="Q24" s="7">
        <f t="shared" si="54"/>
        <v>4505</v>
      </c>
      <c r="R24" s="7">
        <f t="shared" si="54"/>
        <v>4930</v>
      </c>
      <c r="S24" s="7">
        <f t="shared" si="54"/>
        <v>5819</v>
      </c>
      <c r="T24" s="7">
        <f t="shared" si="54"/>
        <v>6335</v>
      </c>
      <c r="U24" s="7">
        <f t="shared" si="54"/>
        <v>6970</v>
      </c>
      <c r="V24" s="7">
        <f t="shared" si="54"/>
        <v>7706</v>
      </c>
      <c r="W24" s="7">
        <f t="shared" si="54"/>
        <v>8408</v>
      </c>
      <c r="X24" s="7">
        <f t="shared" si="54"/>
        <v>9051</v>
      </c>
      <c r="Y24" s="7">
        <f t="shared" si="54"/>
        <v>9845</v>
      </c>
      <c r="Z24" s="27">
        <f t="shared" si="42"/>
        <v>6335</v>
      </c>
      <c r="AA24" s="27">
        <f t="shared" si="52"/>
        <v>4326</v>
      </c>
      <c r="AB24" s="27">
        <f t="shared" si="53"/>
        <v>5819</v>
      </c>
      <c r="AC24" s="27">
        <f>SUM(AC16:AC22)</f>
        <v>7706</v>
      </c>
      <c r="AD24" s="22">
        <f t="shared" si="44"/>
        <v>9051</v>
      </c>
      <c r="AE24" s="27">
        <f t="shared" si="45"/>
        <v>3127</v>
      </c>
      <c r="AF24" s="27">
        <f t="shared" si="35"/>
        <v>2805</v>
      </c>
      <c r="AG24" s="27">
        <f t="shared" si="36"/>
        <v>3101</v>
      </c>
      <c r="AH24" s="27">
        <f t="shared" si="37"/>
        <v>3461</v>
      </c>
      <c r="AI24" s="27">
        <f t="shared" si="38"/>
        <v>4117</v>
      </c>
      <c r="AJ24" s="32">
        <f t="shared" si="46"/>
        <v>1.0259034218100416</v>
      </c>
      <c r="AK24" s="32">
        <f t="shared" si="39"/>
        <v>0.54224598930481283</v>
      </c>
      <c r="AL24" s="32">
        <f t="shared" si="39"/>
        <v>0.87649145436955811</v>
      </c>
      <c r="AM24" s="31">
        <f t="shared" si="39"/>
        <v>1.2265241259751516</v>
      </c>
      <c r="AN24" s="31">
        <f t="shared" si="39"/>
        <v>1.198445470002429</v>
      </c>
      <c r="AO24" s="7">
        <f t="shared" ref="AO24:AT24" si="55">SUM(AO16:AO22)</f>
        <v>10030</v>
      </c>
      <c r="AP24" s="7">
        <f t="shared" si="55"/>
        <v>7676</v>
      </c>
      <c r="AQ24" s="7">
        <f t="shared" si="55"/>
        <v>7777</v>
      </c>
      <c r="AR24" s="7">
        <f t="shared" si="55"/>
        <v>7057</v>
      </c>
      <c r="AS24" s="7">
        <f t="shared" si="55"/>
        <v>7380</v>
      </c>
      <c r="AT24" s="7">
        <f t="shared" si="55"/>
        <v>8015</v>
      </c>
      <c r="AU24" s="7">
        <f t="shared" ref="AU24" si="56">SUM(AU16:AU22)</f>
        <v>7863</v>
      </c>
      <c r="BA24" s="115">
        <f t="shared" si="47"/>
        <v>7777</v>
      </c>
      <c r="BB24" s="115">
        <f>INDEX(AR24:AT24,IF($A$2&lt;7,$A$2-3,3))</f>
        <v>8015</v>
      </c>
      <c r="BC24" s="115">
        <f>INDEX(AS24:AU24,IF($A$2&lt;7,$A$2-3,3))</f>
        <v>7863</v>
      </c>
      <c r="BD24" s="37"/>
      <c r="BE24" s="115">
        <f t="shared" si="49"/>
        <v>7863</v>
      </c>
      <c r="BF24" s="123">
        <f t="shared" si="40"/>
        <v>2.4133782483156883</v>
      </c>
      <c r="BG24" s="32">
        <f t="shared" si="40"/>
        <v>1.88738627981313</v>
      </c>
      <c r="BH24" s="32">
        <f t="shared" si="40"/>
        <v>1.7977346278317152</v>
      </c>
      <c r="BI24" s="32">
        <f t="shared" si="40"/>
        <v>1.5664816870144285</v>
      </c>
      <c r="BJ24" s="32">
        <f t="shared" si="40"/>
        <v>1.4969574036511155</v>
      </c>
      <c r="BK24" s="32">
        <f t="shared" si="40"/>
        <v>1.3773844303144871</v>
      </c>
      <c r="BL24" s="37"/>
      <c r="BM24" s="37"/>
      <c r="BN24" s="37"/>
      <c r="BO24" s="37"/>
      <c r="BP24" s="37"/>
      <c r="BQ24" s="37"/>
      <c r="BR24" s="118">
        <f t="shared" si="50"/>
        <v>1.7977346278317152</v>
      </c>
      <c r="BS24" s="111">
        <f t="shared" si="51"/>
        <v>1.3773844303144871</v>
      </c>
      <c r="BT24" s="37"/>
      <c r="BU24" s="37"/>
      <c r="BV24" s="118">
        <f t="shared" si="41"/>
        <v>1.2411996842936071</v>
      </c>
    </row>
    <row r="25" spans="1:74" x14ac:dyDescent="0.25">
      <c r="M25" s="66"/>
      <c r="P25">
        <f>SUM(N14:P14)/SUM(N24:P24)</f>
        <v>4.9222704996414022</v>
      </c>
      <c r="T25" s="8"/>
      <c r="U25" s="6"/>
      <c r="Y25" s="66"/>
      <c r="Z25"/>
      <c r="AA25" s="21"/>
      <c r="AE25"/>
      <c r="BE25" s="22"/>
      <c r="BF25" s="124"/>
      <c r="BV25" s="111"/>
    </row>
    <row r="26" spans="1:74" x14ac:dyDescent="0.25">
      <c r="Z26"/>
      <c r="AE26"/>
      <c r="AH26" s="39" t="s">
        <v>39</v>
      </c>
      <c r="BF26" s="124"/>
    </row>
    <row r="27" spans="1:74" s="17" customFormat="1" x14ac:dyDescent="0.25">
      <c r="A27" s="2" t="s">
        <v>10</v>
      </c>
      <c r="B27" s="3">
        <f t="shared" ref="B27:Y27" si="57">B3</f>
        <v>42005</v>
      </c>
      <c r="C27" s="3">
        <f t="shared" si="57"/>
        <v>42036</v>
      </c>
      <c r="D27" s="3">
        <f t="shared" si="57"/>
        <v>42064</v>
      </c>
      <c r="E27" s="3">
        <f t="shared" si="57"/>
        <v>42095</v>
      </c>
      <c r="F27" s="3">
        <f t="shared" si="57"/>
        <v>42125</v>
      </c>
      <c r="G27" s="3">
        <f t="shared" si="57"/>
        <v>42156</v>
      </c>
      <c r="H27" s="3">
        <f t="shared" si="57"/>
        <v>42186</v>
      </c>
      <c r="I27" s="3">
        <f t="shared" si="57"/>
        <v>42217</v>
      </c>
      <c r="J27" s="3">
        <f t="shared" si="57"/>
        <v>42248</v>
      </c>
      <c r="K27" s="3">
        <f t="shared" si="57"/>
        <v>42278</v>
      </c>
      <c r="L27" s="3">
        <f t="shared" si="57"/>
        <v>42309</v>
      </c>
      <c r="M27" s="3">
        <f t="shared" si="57"/>
        <v>42339</v>
      </c>
      <c r="N27" s="3">
        <f t="shared" si="57"/>
        <v>42370</v>
      </c>
      <c r="O27" s="3">
        <f t="shared" si="57"/>
        <v>42401</v>
      </c>
      <c r="P27" s="3">
        <f t="shared" si="57"/>
        <v>42430</v>
      </c>
      <c r="Q27" s="3">
        <f t="shared" si="57"/>
        <v>42461</v>
      </c>
      <c r="R27" s="3">
        <f t="shared" si="57"/>
        <v>42491</v>
      </c>
      <c r="S27" s="3">
        <f t="shared" si="57"/>
        <v>42522</v>
      </c>
      <c r="T27" s="3">
        <f t="shared" si="57"/>
        <v>42552</v>
      </c>
      <c r="U27" s="3">
        <f t="shared" si="57"/>
        <v>42583</v>
      </c>
      <c r="V27" s="3">
        <f t="shared" si="57"/>
        <v>42614</v>
      </c>
      <c r="W27" s="3">
        <f t="shared" si="57"/>
        <v>42644</v>
      </c>
      <c r="X27" s="3">
        <f t="shared" si="57"/>
        <v>42675</v>
      </c>
      <c r="Y27" s="3">
        <f t="shared" si="57"/>
        <v>42705</v>
      </c>
      <c r="Z27" s="29" t="str">
        <f>Z15</f>
        <v>YTD 7/16</v>
      </c>
      <c r="AA27" s="29" t="s">
        <v>19</v>
      </c>
      <c r="AB27" s="29" t="s">
        <v>20</v>
      </c>
      <c r="AC27" s="29" t="s">
        <v>21</v>
      </c>
      <c r="AD27" s="29" t="s">
        <v>22</v>
      </c>
      <c r="AE27" s="26" t="str">
        <f t="shared" ref="AE27:AI27" si="58">AE15</f>
        <v>YTD 7/15</v>
      </c>
      <c r="AF27" s="26" t="str">
        <f t="shared" si="58"/>
        <v>Q1 '15</v>
      </c>
      <c r="AG27" s="26" t="str">
        <f t="shared" si="58"/>
        <v>Q2 '15</v>
      </c>
      <c r="AH27" s="26" t="str">
        <f t="shared" si="58"/>
        <v>Q3 '15</v>
      </c>
      <c r="AI27" s="26" t="str">
        <f t="shared" si="58"/>
        <v>Q4 '15</v>
      </c>
      <c r="AJ27" s="30" t="s">
        <v>27</v>
      </c>
      <c r="AK27" s="30" t="s">
        <v>29</v>
      </c>
      <c r="AL27" s="30" t="s">
        <v>30</v>
      </c>
      <c r="AM27" s="30" t="s">
        <v>31</v>
      </c>
      <c r="AN27" s="30" t="s">
        <v>32</v>
      </c>
      <c r="AO27" s="108">
        <v>42736</v>
      </c>
      <c r="AP27" s="108">
        <v>42767</v>
      </c>
      <c r="AQ27" s="108">
        <v>42795</v>
      </c>
      <c r="AR27" s="108">
        <v>42826</v>
      </c>
      <c r="AS27" s="108">
        <v>42856</v>
      </c>
      <c r="AT27" s="108">
        <v>42887</v>
      </c>
      <c r="AU27" s="108">
        <v>42917</v>
      </c>
      <c r="AV27" s="108">
        <v>42948</v>
      </c>
      <c r="AW27" s="108">
        <v>42979</v>
      </c>
      <c r="AX27" s="108">
        <v>43009</v>
      </c>
      <c r="AY27" s="108">
        <v>43040</v>
      </c>
      <c r="AZ27" s="108">
        <v>43070</v>
      </c>
      <c r="BA27" s="29" t="s">
        <v>123</v>
      </c>
      <c r="BB27" s="29" t="s">
        <v>124</v>
      </c>
      <c r="BC27" s="29" t="s">
        <v>125</v>
      </c>
      <c r="BD27" s="29" t="s">
        <v>126</v>
      </c>
      <c r="BE27" s="29" t="str">
        <f>"YTD " &amp; A26 &amp;"/17"</f>
        <v>YTD /17</v>
      </c>
      <c r="BF27" s="121">
        <v>42736</v>
      </c>
      <c r="BG27" s="108">
        <v>42767</v>
      </c>
      <c r="BH27" s="108">
        <v>42795</v>
      </c>
      <c r="BI27" s="108">
        <v>42826</v>
      </c>
      <c r="BJ27" s="108">
        <v>42856</v>
      </c>
      <c r="BK27" s="108">
        <v>42887</v>
      </c>
      <c r="BL27" s="108">
        <v>42917</v>
      </c>
      <c r="BM27" s="108">
        <v>42948</v>
      </c>
      <c r="BN27" s="108">
        <v>42979</v>
      </c>
      <c r="BO27" s="108">
        <v>43009</v>
      </c>
      <c r="BP27" s="108">
        <v>43040</v>
      </c>
      <c r="BQ27" s="108">
        <v>43070</v>
      </c>
      <c r="BR27" s="29" t="s">
        <v>127</v>
      </c>
      <c r="BS27" s="29" t="s">
        <v>128</v>
      </c>
      <c r="BT27" s="29" t="s">
        <v>96</v>
      </c>
      <c r="BU27" s="29" t="s">
        <v>129</v>
      </c>
      <c r="BV27" s="112" t="s">
        <v>130</v>
      </c>
    </row>
    <row r="28" spans="1:74" outlineLevel="1" x14ac:dyDescent="0.25">
      <c r="A28" t="s">
        <v>157</v>
      </c>
      <c r="B28">
        <f>'Agency North'!C30+'Agency South'!C30</f>
        <v>38</v>
      </c>
      <c r="C28">
        <f>'Agency North'!D30+'Agency South'!D30</f>
        <v>30</v>
      </c>
      <c r="D28">
        <f>'Agency North'!E30+'Agency South'!E30</f>
        <v>41</v>
      </c>
      <c r="E28">
        <f>'Agency North'!F30+'Agency South'!F30</f>
        <v>53</v>
      </c>
      <c r="F28">
        <f>'Agency North'!G30+'Agency South'!G30</f>
        <v>59</v>
      </c>
      <c r="G28">
        <f>'Agency North'!H30+'Agency South'!H30</f>
        <v>54</v>
      </c>
      <c r="H28" s="22">
        <f>'Agency North'!I30+'Agency South'!I30</f>
        <v>52</v>
      </c>
      <c r="I28" s="22">
        <f>'Agency North'!J30+'Agency South'!J30</f>
        <v>47</v>
      </c>
      <c r="J28" s="22">
        <f>'Agency North'!K30+'Agency South'!K30</f>
        <v>65</v>
      </c>
      <c r="K28" s="22">
        <f>'Agency North'!L30+'Agency South'!L30</f>
        <v>61</v>
      </c>
      <c r="L28" s="22">
        <f>'Agency North'!M30+'Agency South'!M30</f>
        <v>54</v>
      </c>
      <c r="M28" s="22">
        <f>'Agency North'!N30+'Agency South'!N30</f>
        <v>57</v>
      </c>
      <c r="N28" s="22">
        <f>'Agency North'!O30+'Agency South'!O30</f>
        <v>45</v>
      </c>
      <c r="O28" s="22">
        <f>'Agency North'!P30+'Agency South'!P30</f>
        <v>41</v>
      </c>
      <c r="P28" s="22">
        <f>'Agency North'!Q30+'Agency South'!Q30</f>
        <v>65</v>
      </c>
      <c r="Q28" s="22">
        <f>'Agency North'!R30+'Agency South'!R30</f>
        <v>51</v>
      </c>
      <c r="R28" s="22">
        <f>'Agency North'!S30+'Agency South'!S30</f>
        <v>50</v>
      </c>
      <c r="S28" s="22">
        <f>'Agency North'!T30+'Agency South'!T30</f>
        <v>64</v>
      </c>
      <c r="T28" s="22">
        <f>'Agency North'!U30+'Agency South'!U30</f>
        <v>46</v>
      </c>
      <c r="U28" s="22">
        <f>'Agency North'!V30+'Agency South'!V30</f>
        <v>47</v>
      </c>
      <c r="V28" s="22">
        <f>'Agency North'!W30+'Agency South'!W30</f>
        <v>51</v>
      </c>
      <c r="W28" s="22">
        <f>'Agency North'!X30+'Agency South'!X30</f>
        <v>42</v>
      </c>
      <c r="X28" s="22">
        <f>'Agency North'!Y30+'Agency South'!Y30</f>
        <v>42</v>
      </c>
      <c r="Y28" s="22">
        <f>'Agency North'!Z30+'Agency South'!Z30</f>
        <v>51</v>
      </c>
      <c r="Z28" s="22">
        <f>SUM(N28:INDEX(N28:Y28,$A$2))</f>
        <v>362</v>
      </c>
      <c r="AA28" s="22">
        <f>SUM(N28:P28)</f>
        <v>151</v>
      </c>
      <c r="AB28" s="22">
        <f>SUM(Q28:S28)</f>
        <v>165</v>
      </c>
      <c r="AC28" s="22">
        <f>SUM(T28:V28)</f>
        <v>144</v>
      </c>
      <c r="AD28" s="22">
        <f>SUM(W28:Y28)</f>
        <v>135</v>
      </c>
      <c r="AE28" s="22">
        <f>SUM(B28                                                                                : INDEX(B28:M28,$A$2))</f>
        <v>327</v>
      </c>
      <c r="AF28" s="22">
        <f t="shared" ref="AF28:AF34" si="59">SUM(B28:D28)</f>
        <v>109</v>
      </c>
      <c r="AG28" s="22">
        <f t="shared" ref="AG28:AG34" si="60">SUM(E28:G28)</f>
        <v>166</v>
      </c>
      <c r="AH28" s="22">
        <f>SUM(H28:J28)</f>
        <v>164</v>
      </c>
      <c r="AI28" s="22">
        <f t="shared" ref="AI28:AI34" si="61">SUM(K28:M28)</f>
        <v>172</v>
      </c>
      <c r="AJ28" s="31">
        <f>Z28/AE28-1</f>
        <v>0.10703363914373099</v>
      </c>
      <c r="AK28" s="31">
        <f t="shared" ref="AK28:AM36" si="62">AA28/AF28-1</f>
        <v>0.3853211009174311</v>
      </c>
      <c r="AL28" s="31">
        <f t="shared" si="62"/>
        <v>-6.0240963855421326E-3</v>
      </c>
      <c r="AM28" s="31">
        <f t="shared" si="62"/>
        <v>-0.12195121951219512</v>
      </c>
      <c r="AN28" s="31">
        <f>AD28/SUM(K28:INDEX(K28:M28,MOD($A$2,3)))-1</f>
        <v>1.2131147540983607</v>
      </c>
      <c r="AO28" s="166">
        <f>'GEN Lion NORTH'!AP30+'GEN Lion SOUTH'!AP30</f>
        <v>81</v>
      </c>
      <c r="AP28" s="166">
        <f>'GEN Lion NORTH'!AQ30+'GEN Lion SOUTH'!AQ30</f>
        <v>100</v>
      </c>
      <c r="AQ28" s="166">
        <f>'GEN Lion NORTH'!AR30+'GEN Lion SOUTH'!AR30</f>
        <v>106</v>
      </c>
      <c r="AR28" s="165">
        <f>'GEN Lion NORTH'!AS30+'GEN Lion SOUTH'!AS30</f>
        <v>305</v>
      </c>
      <c r="AS28" s="165">
        <f>'GEN Lion NORTH'!AT30+'GEN Lion SOUTH'!AT30</f>
        <v>251</v>
      </c>
      <c r="AT28" s="165">
        <f>'GEN Lion NORTH'!AU30+'GEN Lion SOUTH'!AU30</f>
        <v>233</v>
      </c>
      <c r="AU28" s="165">
        <f>'GEN Lion NORTH'!AV30+'GEN Lion SOUTH'!AV30</f>
        <v>178</v>
      </c>
      <c r="BA28" s="110">
        <f>SUM(AO28:INDEX(AO28:AQ28,IF($A$2&lt;3,$A$2,3)))</f>
        <v>287</v>
      </c>
      <c r="BB28" s="110">
        <f>SUM(AR28:INDEX(AR28:AT28,IF($A$2&lt;7,$A$2-3,3)))</f>
        <v>789</v>
      </c>
      <c r="BC28" s="110">
        <f>SUM(AU28:INDEX(AU28:AW28,IF(AND($A$2&gt;6,$A$2&lt;10),$A$2-6,0)))</f>
        <v>178</v>
      </c>
      <c r="BD28" s="110">
        <f>SUM(AX28:INDEX(AX28:AZ28,IF($A$2&gt;9,$A$2-9,0)))</f>
        <v>0</v>
      </c>
      <c r="BE28" s="110">
        <f>SUM($AO28:INDEX(AO28:AZ28,$A$2))</f>
        <v>1254</v>
      </c>
      <c r="BF28" s="122">
        <f t="shared" ref="BF28:BQ36" si="63">AO28/N28</f>
        <v>1.8</v>
      </c>
      <c r="BG28" s="111">
        <f t="shared" si="63"/>
        <v>2.4390243902439024</v>
      </c>
      <c r="BH28" s="111">
        <f t="shared" si="63"/>
        <v>1.6307692307692307</v>
      </c>
      <c r="BI28" s="111">
        <f t="shared" si="63"/>
        <v>5.9803921568627452</v>
      </c>
      <c r="BJ28" s="111">
        <f t="shared" si="63"/>
        <v>5.0199999999999996</v>
      </c>
      <c r="BK28" s="111">
        <f t="shared" si="63"/>
        <v>3.640625</v>
      </c>
      <c r="BL28" s="111">
        <f t="shared" si="63"/>
        <v>3.8695652173913042</v>
      </c>
      <c r="BM28" s="111">
        <f t="shared" si="63"/>
        <v>0</v>
      </c>
      <c r="BN28" s="111">
        <f t="shared" si="63"/>
        <v>0</v>
      </c>
      <c r="BO28" s="111">
        <f t="shared" si="63"/>
        <v>0</v>
      </c>
      <c r="BP28" s="111">
        <f t="shared" si="63"/>
        <v>0</v>
      </c>
      <c r="BQ28" s="111">
        <f t="shared" si="63"/>
        <v>0</v>
      </c>
      <c r="BR28" s="111">
        <f>BA28/SUM(N28:INDEX(N28:P28,IF($A$2&lt;3,$A$2,3)))</f>
        <v>1.9006622516556291</v>
      </c>
      <c r="BS28" s="111">
        <f>BB28/SUM(Q28:INDEX(Q28:S28,IF($A$2&lt;7,$A$2-3,3)))</f>
        <v>4.7818181818181822</v>
      </c>
      <c r="BT28" s="111">
        <f t="shared" ref="BT28:BU36" si="64">BC28/AC28</f>
        <v>1.2361111111111112</v>
      </c>
      <c r="BU28" s="111">
        <f t="shared" si="64"/>
        <v>0</v>
      </c>
      <c r="BV28" s="111">
        <f t="shared" ref="BV28:BV36" si="65">BE28/Z28</f>
        <v>3.4640883977900554</v>
      </c>
    </row>
    <row r="29" spans="1:74" outlineLevel="1" x14ac:dyDescent="0.25">
      <c r="A29" t="s">
        <v>5</v>
      </c>
      <c r="B29">
        <f>'Agency North'!C31+'Agency South'!C31</f>
        <v>122</v>
      </c>
      <c r="C29">
        <f>'Agency North'!D31+'Agency South'!D31</f>
        <v>72</v>
      </c>
      <c r="D29">
        <f>'Agency North'!E31+'Agency South'!E31</f>
        <v>140</v>
      </c>
      <c r="E29">
        <f>'Agency North'!F31+'Agency South'!F31</f>
        <v>166</v>
      </c>
      <c r="F29">
        <f>'Agency North'!G31+'Agency South'!G31</f>
        <v>159</v>
      </c>
      <c r="G29">
        <f>'Agency North'!H31+'Agency South'!H31</f>
        <v>205</v>
      </c>
      <c r="H29" s="22">
        <f>'Agency North'!I31+'Agency South'!I31</f>
        <v>242</v>
      </c>
      <c r="I29" s="22">
        <f>'Agency North'!J31+'Agency South'!J31</f>
        <v>175</v>
      </c>
      <c r="J29" s="22">
        <f>'Agency North'!K31+'Agency South'!K31</f>
        <v>269</v>
      </c>
      <c r="K29" s="22">
        <f>'Agency North'!L31+'Agency South'!L31</f>
        <v>202</v>
      </c>
      <c r="L29" s="22">
        <f>'Agency North'!M31+'Agency South'!M31</f>
        <v>376</v>
      </c>
      <c r="M29" s="22">
        <f>'Agency North'!N31+'Agency South'!N31</f>
        <v>276</v>
      </c>
      <c r="N29" s="22">
        <f>'Agency North'!O31+'Agency South'!O31</f>
        <v>59</v>
      </c>
      <c r="O29" s="22">
        <f>'Agency North'!P31+'Agency South'!P31</f>
        <v>63</v>
      </c>
      <c r="P29" s="22">
        <f>'Agency North'!Q31+'Agency South'!Q31</f>
        <v>301</v>
      </c>
      <c r="Q29" s="22">
        <f>'Agency North'!R31+'Agency South'!R31</f>
        <v>244</v>
      </c>
      <c r="R29" s="22">
        <f>'Agency North'!S31+'Agency South'!S31</f>
        <v>299</v>
      </c>
      <c r="S29" s="22">
        <f>'Agency North'!T31+'Agency South'!T31</f>
        <v>576</v>
      </c>
      <c r="T29" s="22">
        <f>'Agency North'!U31+'Agency South'!U31</f>
        <v>359</v>
      </c>
      <c r="U29" s="22">
        <f>'Agency North'!V31+'Agency South'!V31</f>
        <v>409</v>
      </c>
      <c r="V29" s="22">
        <f>'Agency North'!W31+'Agency South'!W31</f>
        <v>554</v>
      </c>
      <c r="W29" s="22">
        <f>'Agency North'!X31+'Agency South'!X31</f>
        <v>434</v>
      </c>
      <c r="X29" s="22">
        <f>'Agency North'!Y31+'Agency South'!Y31</f>
        <v>407</v>
      </c>
      <c r="Y29" s="22">
        <f>'Agency North'!Z31+'Agency South'!Z31</f>
        <v>774</v>
      </c>
      <c r="Z29" s="22">
        <f>SUM(N29:INDEX(N29:Y29,$A$2))</f>
        <v>1901</v>
      </c>
      <c r="AA29" s="22">
        <f t="shared" ref="AA29:AA34" si="66">SUM(N29:P29)</f>
        <v>423</v>
      </c>
      <c r="AB29" s="22">
        <f t="shared" ref="AB29:AB34" si="67">SUM(Q29:S29)</f>
        <v>1119</v>
      </c>
      <c r="AC29" s="22">
        <f t="shared" ref="AC29:AC34" si="68">SUM(T29:V29)</f>
        <v>1322</v>
      </c>
      <c r="AD29" s="22">
        <f t="shared" ref="AD29:AD34" si="69">SUM(W29:Y29)</f>
        <v>1615</v>
      </c>
      <c r="AE29" s="22">
        <f>SUM(B29                                                                                : INDEX(B29:M29,$A$2))</f>
        <v>1106</v>
      </c>
      <c r="AF29" s="22">
        <f t="shared" si="59"/>
        <v>334</v>
      </c>
      <c r="AG29" s="22">
        <f t="shared" si="60"/>
        <v>530</v>
      </c>
      <c r="AH29" s="22">
        <f t="shared" ref="AH29:AH34" si="70">SUM(H29:J29)</f>
        <v>686</v>
      </c>
      <c r="AI29" s="22">
        <f t="shared" si="61"/>
        <v>854</v>
      </c>
      <c r="AJ29" s="31">
        <f t="shared" ref="AJ29:AJ36" si="71">Z29/AE29-1</f>
        <v>0.71880650994575035</v>
      </c>
      <c r="AK29" s="31">
        <f t="shared" si="62"/>
        <v>0.26646706586826352</v>
      </c>
      <c r="AL29" s="31">
        <f t="shared" si="62"/>
        <v>1.111320754716981</v>
      </c>
      <c r="AM29" s="31">
        <f t="shared" si="62"/>
        <v>0.92711370262390669</v>
      </c>
      <c r="AN29" s="31">
        <f>AD29/SUM(K29:INDEX(K29:M29,MOD($A$2,3)))-1</f>
        <v>6.9950495049504955</v>
      </c>
      <c r="AO29" s="166">
        <f>'GEN Lion NORTH'!AP31+'GEN Lion SOUTH'!AP31</f>
        <v>160</v>
      </c>
      <c r="AP29" s="166">
        <f>'GEN Lion NORTH'!AQ31+'GEN Lion SOUTH'!AQ31</f>
        <v>325</v>
      </c>
      <c r="AQ29" s="166">
        <f>'GEN Lion NORTH'!AR31+'GEN Lion SOUTH'!AR31</f>
        <v>591</v>
      </c>
      <c r="AR29" s="165">
        <f>'GEN Lion NORTH'!AS31+'GEN Lion SOUTH'!AS31</f>
        <v>460</v>
      </c>
      <c r="AS29" s="165">
        <f>'GEN Lion NORTH'!AT31+'GEN Lion SOUTH'!AT31</f>
        <v>429</v>
      </c>
      <c r="AT29" s="165">
        <f>'GEN Lion NORTH'!AU31+'GEN Lion SOUTH'!AU31</f>
        <v>914</v>
      </c>
      <c r="AU29" s="165">
        <f>'GEN Lion NORTH'!AV31+'GEN Lion SOUTH'!AV31</f>
        <v>515</v>
      </c>
      <c r="BA29" s="110">
        <f>SUM(AO29:INDEX(AO29:AQ29,IF($A$2&lt;3,$A$2,3)))</f>
        <v>1076</v>
      </c>
      <c r="BB29" s="110">
        <f>SUM(AR29:INDEX(AR29:AT29,IF($A$2&lt;7,$A$2-3,3)))</f>
        <v>1803</v>
      </c>
      <c r="BC29" s="110">
        <f>SUM(AU29:INDEX(AU29:AW29,IF(AND($A$2&gt;6,$A$2&lt;10),$A$2-6,0)))</f>
        <v>515</v>
      </c>
      <c r="BD29" s="110">
        <f>SUM(AX29:INDEX(AX29:AZ29,IF($A$2&gt;9,$A$2-9,0)))</f>
        <v>0</v>
      </c>
      <c r="BE29" s="110">
        <f>SUM($AO29:INDEX(AO29:AZ29,$A$2))</f>
        <v>3394</v>
      </c>
      <c r="BF29" s="122">
        <f t="shared" si="63"/>
        <v>2.7118644067796609</v>
      </c>
      <c r="BG29" s="111">
        <f t="shared" si="63"/>
        <v>5.1587301587301591</v>
      </c>
      <c r="BH29" s="111">
        <f t="shared" si="63"/>
        <v>1.9634551495016612</v>
      </c>
      <c r="BI29" s="111">
        <f t="shared" si="63"/>
        <v>1.8852459016393444</v>
      </c>
      <c r="BJ29" s="111">
        <f t="shared" si="63"/>
        <v>1.4347826086956521</v>
      </c>
      <c r="BK29" s="111">
        <f t="shared" si="63"/>
        <v>1.5868055555555556</v>
      </c>
      <c r="BL29" s="111">
        <f t="shared" si="63"/>
        <v>1.4345403899721449</v>
      </c>
      <c r="BM29" s="111">
        <f t="shared" si="63"/>
        <v>0</v>
      </c>
      <c r="BN29" s="111">
        <f t="shared" si="63"/>
        <v>0</v>
      </c>
      <c r="BO29" s="111">
        <f t="shared" si="63"/>
        <v>0</v>
      </c>
      <c r="BP29" s="111">
        <f t="shared" si="63"/>
        <v>0</v>
      </c>
      <c r="BQ29" s="111">
        <f t="shared" si="63"/>
        <v>0</v>
      </c>
      <c r="BR29" s="111">
        <f>BA29/SUM(N29:INDEX(N29:P29,IF($A$2&lt;3,$A$2,3)))</f>
        <v>2.5437352245862885</v>
      </c>
      <c r="BS29" s="111">
        <f>BB29/SUM(Q29:INDEX(Q29:S29,IF($A$2&lt;7,$A$2-3,3)))</f>
        <v>1.6112600536193029</v>
      </c>
      <c r="BT29" s="111">
        <f t="shared" si="64"/>
        <v>0.38956127080181541</v>
      </c>
      <c r="BU29" s="111">
        <f t="shared" si="64"/>
        <v>0</v>
      </c>
      <c r="BV29" s="111">
        <f t="shared" si="65"/>
        <v>1.7853761178327197</v>
      </c>
    </row>
    <row r="30" spans="1:74" outlineLevel="1" x14ac:dyDescent="0.25">
      <c r="A30" t="s">
        <v>6</v>
      </c>
      <c r="B30">
        <f>'Agency North'!C32+'Agency South'!C32</f>
        <v>106</v>
      </c>
      <c r="C30">
        <f>'Agency North'!D32+'Agency South'!D32</f>
        <v>106</v>
      </c>
      <c r="D30">
        <f>'Agency North'!E32+'Agency South'!E32</f>
        <v>71</v>
      </c>
      <c r="E30">
        <f>'Agency North'!F32+'Agency South'!F32</f>
        <v>140</v>
      </c>
      <c r="F30">
        <f>'Agency North'!G32+'Agency South'!G32</f>
        <v>162</v>
      </c>
      <c r="G30">
        <f>'Agency North'!H32+'Agency South'!H32</f>
        <v>149</v>
      </c>
      <c r="H30" s="22">
        <f>'Agency North'!I32+'Agency South'!I32</f>
        <v>168</v>
      </c>
      <c r="I30" s="22">
        <f>'Agency North'!J32+'Agency South'!J32</f>
        <v>132</v>
      </c>
      <c r="J30" s="22">
        <f>'Agency North'!K32+'Agency South'!K32</f>
        <v>174</v>
      </c>
      <c r="K30" s="22">
        <f>'Agency North'!L32+'Agency South'!L32</f>
        <v>203</v>
      </c>
      <c r="L30" s="22">
        <f>'Agency North'!M32+'Agency South'!M32</f>
        <v>121</v>
      </c>
      <c r="M30" s="22">
        <f>'Agency North'!N32+'Agency South'!N32</f>
        <v>320</v>
      </c>
      <c r="N30" s="22">
        <f>'Agency North'!O32+'Agency South'!O32</f>
        <v>104</v>
      </c>
      <c r="O30" s="22">
        <f>'Agency North'!P32+'Agency South'!P32</f>
        <v>56</v>
      </c>
      <c r="P30" s="22">
        <f>'Agency North'!Q32+'Agency South'!Q32</f>
        <v>49</v>
      </c>
      <c r="Q30" s="22">
        <f>'Agency North'!R32+'Agency South'!R32</f>
        <v>169</v>
      </c>
      <c r="R30" s="22">
        <f>'Agency North'!S32+'Agency South'!S32</f>
        <v>162</v>
      </c>
      <c r="S30" s="22">
        <f>'Agency North'!T32+'Agency South'!T32</f>
        <v>232</v>
      </c>
      <c r="T30" s="22">
        <f>'Agency North'!U32+'Agency South'!U32</f>
        <v>300</v>
      </c>
      <c r="U30" s="22">
        <f>'Agency North'!V32+'Agency South'!V32</f>
        <v>228</v>
      </c>
      <c r="V30" s="22">
        <f>'Agency North'!W32+'Agency South'!W32</f>
        <v>310</v>
      </c>
      <c r="W30" s="22">
        <f>'Agency North'!X32+'Agency South'!X32</f>
        <v>301</v>
      </c>
      <c r="X30" s="22">
        <f>'Agency North'!Y32+'Agency South'!Y32</f>
        <v>313</v>
      </c>
      <c r="Y30" s="22">
        <f>'Agency North'!Z32+'Agency South'!Z32</f>
        <v>377</v>
      </c>
      <c r="Z30" s="22">
        <f>SUM(N30:INDEX(N30:Y30,$A$2))</f>
        <v>1072</v>
      </c>
      <c r="AA30" s="22">
        <f t="shared" si="66"/>
        <v>209</v>
      </c>
      <c r="AB30" s="22">
        <f t="shared" si="67"/>
        <v>563</v>
      </c>
      <c r="AC30" s="22">
        <f t="shared" si="68"/>
        <v>838</v>
      </c>
      <c r="AD30" s="22">
        <f t="shared" si="69"/>
        <v>991</v>
      </c>
      <c r="AE30" s="22">
        <f>SUM(B30                                                                                : INDEX(B30:M30,$A$2))</f>
        <v>902</v>
      </c>
      <c r="AF30" s="22">
        <f t="shared" si="59"/>
        <v>283</v>
      </c>
      <c r="AG30" s="22">
        <f t="shared" si="60"/>
        <v>451</v>
      </c>
      <c r="AH30" s="22">
        <f t="shared" si="70"/>
        <v>474</v>
      </c>
      <c r="AI30" s="22">
        <f t="shared" si="61"/>
        <v>644</v>
      </c>
      <c r="AJ30" s="31">
        <f t="shared" si="71"/>
        <v>0.18847006651884701</v>
      </c>
      <c r="AK30" s="31">
        <f t="shared" si="62"/>
        <v>-0.2614840989399293</v>
      </c>
      <c r="AL30" s="31">
        <f t="shared" si="62"/>
        <v>0.24833702882483366</v>
      </c>
      <c r="AM30" s="31">
        <f t="shared" si="62"/>
        <v>0.76793248945147674</v>
      </c>
      <c r="AN30" s="31">
        <f>AD30/SUM(K30:INDEX(K30:M30,MOD($A$2,3)))-1</f>
        <v>3.8817733990147785</v>
      </c>
      <c r="AO30" s="166">
        <f>'GEN Lion NORTH'!AP32+'GEN Lion SOUTH'!AP32</f>
        <v>218</v>
      </c>
      <c r="AP30" s="166">
        <f>'GEN Lion NORTH'!AQ32+'GEN Lion SOUTH'!AQ32</f>
        <v>117</v>
      </c>
      <c r="AQ30" s="166">
        <f>'GEN Lion NORTH'!AR32+'GEN Lion SOUTH'!AR32</f>
        <v>274</v>
      </c>
      <c r="AR30" s="165">
        <f>'GEN Lion NORTH'!AS32+'GEN Lion SOUTH'!AS32</f>
        <v>262</v>
      </c>
      <c r="AS30" s="165">
        <f>'GEN Lion NORTH'!AT32+'GEN Lion SOUTH'!AT32</f>
        <v>213</v>
      </c>
      <c r="AT30" s="165">
        <f>'GEN Lion NORTH'!AU32+'GEN Lion SOUTH'!AU32</f>
        <v>196</v>
      </c>
      <c r="AU30" s="165">
        <f>'GEN Lion NORTH'!AV32+'GEN Lion SOUTH'!AV32</f>
        <v>243</v>
      </c>
      <c r="BA30" s="110">
        <f>SUM(AO30:INDEX(AO30:AQ30,IF($A$2&lt;3,$A$2,3)))</f>
        <v>609</v>
      </c>
      <c r="BB30" s="110">
        <f>SUM(AR30:INDEX(AR30:AT30,IF($A$2&lt;7,$A$2-3,3)))</f>
        <v>671</v>
      </c>
      <c r="BC30" s="110">
        <f>SUM(AU30:INDEX(AU30:AW30,IF(AND($A$2&gt;6,$A$2&lt;10),$A$2-6,0)))</f>
        <v>243</v>
      </c>
      <c r="BD30" s="110">
        <f>SUM(AX30:INDEX(AX30:AZ30,IF($A$2&gt;9,$A$2-9,0)))</f>
        <v>0</v>
      </c>
      <c r="BE30" s="110">
        <f>SUM($AO30:INDEX(AO30:AZ30,$A$2))</f>
        <v>1523</v>
      </c>
      <c r="BF30" s="122">
        <f t="shared" si="63"/>
        <v>2.0961538461538463</v>
      </c>
      <c r="BG30" s="111">
        <f t="shared" si="63"/>
        <v>2.0892857142857144</v>
      </c>
      <c r="BH30" s="111">
        <f t="shared" si="63"/>
        <v>5.591836734693878</v>
      </c>
      <c r="BI30" s="111">
        <f t="shared" si="63"/>
        <v>1.5502958579881656</v>
      </c>
      <c r="BJ30" s="111">
        <f t="shared" si="63"/>
        <v>1.3148148148148149</v>
      </c>
      <c r="BK30" s="111">
        <f t="shared" si="63"/>
        <v>0.84482758620689657</v>
      </c>
      <c r="BL30" s="111">
        <f t="shared" si="63"/>
        <v>0.81</v>
      </c>
      <c r="BM30" s="111">
        <f t="shared" si="63"/>
        <v>0</v>
      </c>
      <c r="BN30" s="111">
        <f t="shared" si="63"/>
        <v>0</v>
      </c>
      <c r="BO30" s="111">
        <f t="shared" si="63"/>
        <v>0</v>
      </c>
      <c r="BP30" s="111">
        <f t="shared" si="63"/>
        <v>0</v>
      </c>
      <c r="BQ30" s="111">
        <f t="shared" si="63"/>
        <v>0</v>
      </c>
      <c r="BR30" s="111">
        <f>BA30/SUM(N30:INDEX(N30:P30,IF($A$2&lt;3,$A$2,3)))</f>
        <v>2.9138755980861246</v>
      </c>
      <c r="BS30" s="111">
        <f>BB30/SUM(Q30:INDEX(Q30:S30,IF($A$2&lt;7,$A$2-3,3)))</f>
        <v>1.191829484902309</v>
      </c>
      <c r="BT30" s="111">
        <f t="shared" si="64"/>
        <v>0.28997613365155134</v>
      </c>
      <c r="BU30" s="111">
        <f t="shared" si="64"/>
        <v>0</v>
      </c>
      <c r="BV30" s="111">
        <f t="shared" si="65"/>
        <v>1.4207089552238805</v>
      </c>
    </row>
    <row r="31" spans="1:74" outlineLevel="1" x14ac:dyDescent="0.25">
      <c r="A31" t="s">
        <v>7</v>
      </c>
      <c r="B31">
        <f>'Agency North'!C33+'Agency South'!C33</f>
        <v>124</v>
      </c>
      <c r="C31">
        <f>'Agency North'!D33+'Agency South'!D33</f>
        <v>116</v>
      </c>
      <c r="D31">
        <f>'Agency North'!E33+'Agency South'!E33</f>
        <v>176</v>
      </c>
      <c r="E31">
        <f>'Agency North'!F33+'Agency South'!F33</f>
        <v>110</v>
      </c>
      <c r="F31">
        <f>'Agency North'!G33+'Agency South'!G33</f>
        <v>136</v>
      </c>
      <c r="G31">
        <f>'Agency North'!H33+'Agency South'!H33</f>
        <v>257</v>
      </c>
      <c r="H31" s="22">
        <f>'Agency North'!I33+'Agency South'!I33</f>
        <v>234</v>
      </c>
      <c r="I31" s="22">
        <f>'Agency North'!J33+'Agency South'!J33</f>
        <v>160</v>
      </c>
      <c r="J31" s="22">
        <f>'Agency North'!K33+'Agency South'!K33</f>
        <v>270</v>
      </c>
      <c r="K31" s="22">
        <f>'Agency North'!L33+'Agency South'!L33</f>
        <v>210</v>
      </c>
      <c r="L31" s="22">
        <f>'Agency North'!M33+'Agency South'!M33</f>
        <v>266</v>
      </c>
      <c r="M31" s="22">
        <f>'Agency North'!N33+'Agency South'!N33</f>
        <v>290</v>
      </c>
      <c r="N31" s="22">
        <f>'Agency North'!O33+'Agency South'!O33</f>
        <v>147</v>
      </c>
      <c r="O31" s="22">
        <f>'Agency North'!P33+'Agency South'!P33</f>
        <v>177</v>
      </c>
      <c r="P31" s="22">
        <f>'Agency North'!Q33+'Agency South'!Q33</f>
        <v>150</v>
      </c>
      <c r="Q31" s="22">
        <f>'Agency North'!R33+'Agency South'!R33</f>
        <v>62</v>
      </c>
      <c r="R31" s="22">
        <f>'Agency North'!S33+'Agency South'!S33</f>
        <v>150</v>
      </c>
      <c r="S31" s="22">
        <f>'Agency North'!T33+'Agency South'!T33</f>
        <v>250</v>
      </c>
      <c r="T31" s="22">
        <f>'Agency North'!U33+'Agency South'!U33</f>
        <v>203</v>
      </c>
      <c r="U31" s="22">
        <f>'Agency North'!V33+'Agency South'!V33</f>
        <v>307</v>
      </c>
      <c r="V31" s="22">
        <f>'Agency North'!W33+'Agency South'!W33</f>
        <v>343</v>
      </c>
      <c r="W31" s="22">
        <f>'Agency North'!X33+'Agency South'!X33</f>
        <v>243</v>
      </c>
      <c r="X31" s="22">
        <f>'Agency North'!Y33+'Agency South'!Y33</f>
        <v>323</v>
      </c>
      <c r="Y31" s="22">
        <f>'Agency North'!Z33+'Agency South'!Z33</f>
        <v>494</v>
      </c>
      <c r="Z31" s="22">
        <f>SUM(N31:INDEX(N31:Y31,$A$2))</f>
        <v>1139</v>
      </c>
      <c r="AA31" s="22">
        <f t="shared" si="66"/>
        <v>474</v>
      </c>
      <c r="AB31" s="22">
        <f t="shared" si="67"/>
        <v>462</v>
      </c>
      <c r="AC31" s="22">
        <f t="shared" si="68"/>
        <v>853</v>
      </c>
      <c r="AD31" s="22">
        <f t="shared" si="69"/>
        <v>1060</v>
      </c>
      <c r="AE31" s="22">
        <f>SUM(B31                                                                                : INDEX(B31:M31,$A$2))</f>
        <v>1153</v>
      </c>
      <c r="AF31" s="22">
        <f t="shared" si="59"/>
        <v>416</v>
      </c>
      <c r="AG31" s="22">
        <f t="shared" si="60"/>
        <v>503</v>
      </c>
      <c r="AH31" s="22">
        <f t="shared" si="70"/>
        <v>664</v>
      </c>
      <c r="AI31" s="22">
        <f t="shared" si="61"/>
        <v>766</v>
      </c>
      <c r="AJ31" s="31">
        <f t="shared" si="71"/>
        <v>-1.2142237640936693E-2</v>
      </c>
      <c r="AK31" s="31">
        <f t="shared" si="62"/>
        <v>0.13942307692307687</v>
      </c>
      <c r="AL31" s="31">
        <f t="shared" si="62"/>
        <v>-8.1510934393638212E-2</v>
      </c>
      <c r="AM31" s="31">
        <f t="shared" si="62"/>
        <v>0.28463855421686746</v>
      </c>
      <c r="AN31" s="31">
        <f>AD31/SUM(K31:INDEX(K31:M31,MOD($A$2,3)))-1</f>
        <v>4.0476190476190474</v>
      </c>
      <c r="AO31" s="166">
        <f>'GEN Lion NORTH'!AP33+'GEN Lion SOUTH'!AP33</f>
        <v>238</v>
      </c>
      <c r="AP31" s="166">
        <f>'GEN Lion NORTH'!AQ33+'GEN Lion SOUTH'!AQ33</f>
        <v>423</v>
      </c>
      <c r="AQ31" s="166">
        <f>'GEN Lion NORTH'!AR33+'GEN Lion SOUTH'!AR33</f>
        <v>281</v>
      </c>
      <c r="AR31" s="165">
        <f>'GEN Lion NORTH'!AS33+'GEN Lion SOUTH'!AS33</f>
        <v>206</v>
      </c>
      <c r="AS31" s="165">
        <f>'GEN Lion NORTH'!AT33+'GEN Lion SOUTH'!AT33</f>
        <v>235</v>
      </c>
      <c r="AT31" s="165">
        <f>'GEN Lion NORTH'!AU33+'GEN Lion SOUTH'!AU33</f>
        <v>222</v>
      </c>
      <c r="AU31" s="165">
        <f>'GEN Lion NORTH'!AV33+'GEN Lion SOUTH'!AV33</f>
        <v>194</v>
      </c>
      <c r="BA31" s="110">
        <f>SUM(AO31:INDEX(AO31:AQ31,IF($A$2&lt;3,$A$2,3)))</f>
        <v>942</v>
      </c>
      <c r="BB31" s="110">
        <f>SUM(AR31:INDEX(AR31:AT31,IF($A$2&lt;7,$A$2-3,3)))</f>
        <v>663</v>
      </c>
      <c r="BC31" s="110">
        <f>SUM(AU31:INDEX(AU31:AW31,IF(AND($A$2&gt;6,$A$2&lt;10),$A$2-6,0)))</f>
        <v>194</v>
      </c>
      <c r="BD31" s="110">
        <f>SUM(AX31:INDEX(AX31:AZ31,IF($A$2&gt;9,$A$2-9,0)))</f>
        <v>0</v>
      </c>
      <c r="BE31" s="110">
        <f>SUM($AO31:INDEX(AO31:AZ31,$A$2))</f>
        <v>1799</v>
      </c>
      <c r="BF31" s="122">
        <f t="shared" si="63"/>
        <v>1.6190476190476191</v>
      </c>
      <c r="BG31" s="111">
        <f t="shared" si="63"/>
        <v>2.3898305084745761</v>
      </c>
      <c r="BH31" s="111">
        <f t="shared" si="63"/>
        <v>1.8733333333333333</v>
      </c>
      <c r="BI31" s="111">
        <f t="shared" si="63"/>
        <v>3.3225806451612905</v>
      </c>
      <c r="BJ31" s="111">
        <f t="shared" si="63"/>
        <v>1.5666666666666667</v>
      </c>
      <c r="BK31" s="111">
        <f t="shared" si="63"/>
        <v>0.88800000000000001</v>
      </c>
      <c r="BL31" s="111">
        <f t="shared" si="63"/>
        <v>0.95566502463054193</v>
      </c>
      <c r="BM31" s="111">
        <f t="shared" si="63"/>
        <v>0</v>
      </c>
      <c r="BN31" s="111">
        <f t="shared" si="63"/>
        <v>0</v>
      </c>
      <c r="BO31" s="111">
        <f t="shared" si="63"/>
        <v>0</v>
      </c>
      <c r="BP31" s="111">
        <f t="shared" si="63"/>
        <v>0</v>
      </c>
      <c r="BQ31" s="111">
        <f t="shared" si="63"/>
        <v>0</v>
      </c>
      <c r="BR31" s="111">
        <f>BA31/SUM(N31:INDEX(N31:P31,IF($A$2&lt;3,$A$2,3)))</f>
        <v>1.9873417721518987</v>
      </c>
      <c r="BS31" s="111">
        <f>BB31/SUM(Q31:INDEX(Q31:S31,IF($A$2&lt;7,$A$2-3,3)))</f>
        <v>1.4350649350649352</v>
      </c>
      <c r="BT31" s="111">
        <f t="shared" si="64"/>
        <v>0.22743259085580306</v>
      </c>
      <c r="BU31" s="111">
        <f t="shared" si="64"/>
        <v>0</v>
      </c>
      <c r="BV31" s="111">
        <f t="shared" si="65"/>
        <v>1.5794556628621599</v>
      </c>
    </row>
    <row r="32" spans="1:74" outlineLevel="1" x14ac:dyDescent="0.25">
      <c r="A32" t="s">
        <v>8</v>
      </c>
      <c r="B32">
        <f>'Agency North'!C34+'Agency South'!C34</f>
        <v>81</v>
      </c>
      <c r="C32">
        <f>'Agency North'!D34+'Agency South'!D34</f>
        <v>65</v>
      </c>
      <c r="D32">
        <f>'Agency North'!E34+'Agency South'!E34</f>
        <v>124</v>
      </c>
      <c r="E32">
        <f>'Agency North'!F34+'Agency South'!F34</f>
        <v>142</v>
      </c>
      <c r="F32">
        <f>'Agency North'!G34+'Agency South'!G34</f>
        <v>182</v>
      </c>
      <c r="G32">
        <f>'Agency North'!H34+'Agency South'!H34</f>
        <v>143</v>
      </c>
      <c r="H32" s="22">
        <f>'Agency North'!I34+'Agency South'!I34</f>
        <v>132</v>
      </c>
      <c r="I32" s="22">
        <f>'Agency North'!J34+'Agency South'!J34</f>
        <v>140</v>
      </c>
      <c r="J32" s="22">
        <f>'Agency North'!K34+'Agency South'!K34</f>
        <v>260</v>
      </c>
      <c r="K32" s="22">
        <f>'Agency North'!L34+'Agency South'!L34</f>
        <v>192</v>
      </c>
      <c r="L32" s="22">
        <f>'Agency North'!M34+'Agency South'!M34</f>
        <v>199</v>
      </c>
      <c r="M32" s="22">
        <f>'Agency North'!N34+'Agency South'!N34</f>
        <v>233</v>
      </c>
      <c r="N32" s="22">
        <f>'Agency North'!O34+'Agency South'!O34</f>
        <v>124</v>
      </c>
      <c r="O32" s="22">
        <f>'Agency North'!P34+'Agency South'!P34</f>
        <v>121</v>
      </c>
      <c r="P32" s="22">
        <f>'Agency North'!Q34+'Agency South'!Q34</f>
        <v>256</v>
      </c>
      <c r="Q32" s="22">
        <f>'Agency North'!R34+'Agency South'!R34</f>
        <v>184</v>
      </c>
      <c r="R32" s="22">
        <f>'Agency North'!S34+'Agency South'!S34</f>
        <v>132</v>
      </c>
      <c r="S32" s="22">
        <f>'Agency North'!T34+'Agency South'!T34</f>
        <v>114</v>
      </c>
      <c r="T32" s="22">
        <f>'Agency North'!U34+'Agency South'!U34</f>
        <v>113</v>
      </c>
      <c r="U32" s="22">
        <f>'Agency North'!V34+'Agency South'!V34</f>
        <v>155</v>
      </c>
      <c r="V32" s="22">
        <f>'Agency North'!W34+'Agency South'!W34</f>
        <v>186</v>
      </c>
      <c r="W32" s="22">
        <f>'Agency North'!X34+'Agency South'!X34</f>
        <v>180</v>
      </c>
      <c r="X32" s="22">
        <f>'Agency North'!Y34+'Agency South'!Y34</f>
        <v>156</v>
      </c>
      <c r="Y32" s="22">
        <f>'Agency North'!Z34+'Agency South'!Z34</f>
        <v>321</v>
      </c>
      <c r="Z32" s="22">
        <f>SUM(N32:INDEX(N32:Y32,$A$2))</f>
        <v>1044</v>
      </c>
      <c r="AA32" s="22">
        <f t="shared" si="66"/>
        <v>501</v>
      </c>
      <c r="AB32" s="22">
        <f t="shared" si="67"/>
        <v>430</v>
      </c>
      <c r="AC32" s="22">
        <f t="shared" si="68"/>
        <v>454</v>
      </c>
      <c r="AD32" s="22">
        <f t="shared" si="69"/>
        <v>657</v>
      </c>
      <c r="AE32" s="22">
        <f>SUM(B32                                                                                : INDEX(B32:M32,$A$2))</f>
        <v>869</v>
      </c>
      <c r="AF32" s="22">
        <f t="shared" si="59"/>
        <v>270</v>
      </c>
      <c r="AG32" s="22">
        <f t="shared" si="60"/>
        <v>467</v>
      </c>
      <c r="AH32" s="22">
        <f t="shared" si="70"/>
        <v>532</v>
      </c>
      <c r="AI32" s="22">
        <f t="shared" si="61"/>
        <v>624</v>
      </c>
      <c r="AJ32" s="31">
        <f t="shared" si="71"/>
        <v>0.20138089758342925</v>
      </c>
      <c r="AK32" s="31">
        <f t="shared" si="62"/>
        <v>0.85555555555555562</v>
      </c>
      <c r="AL32" s="31">
        <f t="shared" si="62"/>
        <v>-7.9229122055674561E-2</v>
      </c>
      <c r="AM32" s="31">
        <f t="shared" si="62"/>
        <v>-0.14661654135338342</v>
      </c>
      <c r="AN32" s="31">
        <f>AD32/SUM(K32:INDEX(K32:M32,MOD($A$2,3)))-1</f>
        <v>2.421875</v>
      </c>
      <c r="AO32" s="166">
        <f>'GEN Lion NORTH'!AP34+'GEN Lion SOUTH'!AP34</f>
        <v>146</v>
      </c>
      <c r="AP32" s="166">
        <f>'GEN Lion NORTH'!AQ34+'GEN Lion SOUTH'!AQ34</f>
        <v>255</v>
      </c>
      <c r="AQ32" s="166">
        <f>'GEN Lion NORTH'!AR34+'GEN Lion SOUTH'!AR34</f>
        <v>362</v>
      </c>
      <c r="AR32" s="165">
        <f>'GEN Lion NORTH'!AS34+'GEN Lion SOUTH'!AS34</f>
        <v>180</v>
      </c>
      <c r="AS32" s="165">
        <f>'GEN Lion NORTH'!AT34+'GEN Lion SOUTH'!AT34</f>
        <v>109</v>
      </c>
      <c r="AT32" s="165">
        <f>'GEN Lion NORTH'!AU34+'GEN Lion SOUTH'!AU34</f>
        <v>105</v>
      </c>
      <c r="AU32" s="165">
        <f>'GEN Lion NORTH'!AV34+'GEN Lion SOUTH'!AV34</f>
        <v>110</v>
      </c>
      <c r="BA32" s="110">
        <f>SUM(AO32:INDEX(AO32:AQ32,IF($A$2&lt;3,$A$2,3)))</f>
        <v>763</v>
      </c>
      <c r="BB32" s="110">
        <f>SUM(AR32:INDEX(AR32:AT32,IF($A$2&lt;7,$A$2-3,3)))</f>
        <v>394</v>
      </c>
      <c r="BC32" s="110">
        <f>SUM(AU32:INDEX(AU32:AW32,IF(AND($A$2&gt;6,$A$2&lt;10),$A$2-6,0)))</f>
        <v>110</v>
      </c>
      <c r="BD32" s="110">
        <f>SUM(AX32:INDEX(AX32:AZ32,IF($A$2&gt;9,$A$2-9,0)))</f>
        <v>0</v>
      </c>
      <c r="BE32" s="110">
        <f>SUM($AO32:INDEX(AO32:AZ32,$A$2))</f>
        <v>1267</v>
      </c>
      <c r="BF32" s="122">
        <f t="shared" si="63"/>
        <v>1.1774193548387097</v>
      </c>
      <c r="BG32" s="111">
        <f t="shared" si="63"/>
        <v>2.1074380165289255</v>
      </c>
      <c r="BH32" s="111">
        <f t="shared" si="63"/>
        <v>1.4140625</v>
      </c>
      <c r="BI32" s="111">
        <f t="shared" si="63"/>
        <v>0.97826086956521741</v>
      </c>
      <c r="BJ32" s="111">
        <f t="shared" si="63"/>
        <v>0.8257575757575758</v>
      </c>
      <c r="BK32" s="111">
        <f t="shared" si="63"/>
        <v>0.92105263157894735</v>
      </c>
      <c r="BL32" s="111">
        <f t="shared" si="63"/>
        <v>0.97345132743362828</v>
      </c>
      <c r="BM32" s="111">
        <f t="shared" si="63"/>
        <v>0</v>
      </c>
      <c r="BN32" s="111">
        <f t="shared" si="63"/>
        <v>0</v>
      </c>
      <c r="BO32" s="111">
        <f t="shared" si="63"/>
        <v>0</v>
      </c>
      <c r="BP32" s="111">
        <f t="shared" si="63"/>
        <v>0</v>
      </c>
      <c r="BQ32" s="111">
        <f t="shared" si="63"/>
        <v>0</v>
      </c>
      <c r="BR32" s="111">
        <f>BA32/SUM(N32:INDEX(N32:P32,IF($A$2&lt;3,$A$2,3)))</f>
        <v>1.5229540918163673</v>
      </c>
      <c r="BS32" s="111">
        <f>BB32/SUM(Q32:INDEX(Q32:S32,IF($A$2&lt;7,$A$2-3,3)))</f>
        <v>0.91627906976744189</v>
      </c>
      <c r="BT32" s="111">
        <f t="shared" si="64"/>
        <v>0.24229074889867841</v>
      </c>
      <c r="BU32" s="111">
        <f t="shared" si="64"/>
        <v>0</v>
      </c>
      <c r="BV32" s="111">
        <f t="shared" si="65"/>
        <v>1.2136015325670497</v>
      </c>
    </row>
    <row r="33" spans="1:76" outlineLevel="1" x14ac:dyDescent="0.25">
      <c r="A33" t="s">
        <v>1</v>
      </c>
      <c r="B33">
        <f>'Agency North'!C35+'Agency South'!C35</f>
        <v>63</v>
      </c>
      <c r="C33">
        <f>'Agency North'!D35+'Agency South'!D35</f>
        <v>59</v>
      </c>
      <c r="D33">
        <f>'Agency North'!E35+'Agency South'!E35</f>
        <v>70</v>
      </c>
      <c r="E33">
        <f>'Agency North'!F35+'Agency South'!F35</f>
        <v>112</v>
      </c>
      <c r="F33">
        <f>'Agency North'!G35+'Agency South'!G35</f>
        <v>142</v>
      </c>
      <c r="G33">
        <f>'Agency North'!H35+'Agency South'!H35</f>
        <v>150</v>
      </c>
      <c r="H33" s="22">
        <f>'Agency North'!I35+'Agency South'!I35</f>
        <v>146</v>
      </c>
      <c r="I33" s="22">
        <f>'Agency North'!J35+'Agency South'!J35</f>
        <v>126</v>
      </c>
      <c r="J33" s="22">
        <f>'Agency North'!K35+'Agency South'!K35</f>
        <v>213</v>
      </c>
      <c r="K33" s="22">
        <f>'Agency North'!L35+'Agency South'!L35</f>
        <v>185</v>
      </c>
      <c r="L33" s="22">
        <f>'Agency North'!M35+'Agency South'!M35</f>
        <v>224</v>
      </c>
      <c r="M33" s="22">
        <f>'Agency North'!N35+'Agency South'!N35</f>
        <v>252</v>
      </c>
      <c r="N33" s="22">
        <f>'Agency North'!O35+'Agency South'!O35</f>
        <v>99</v>
      </c>
      <c r="O33" s="22">
        <f>'Agency North'!P35+'Agency South'!P35</f>
        <v>110</v>
      </c>
      <c r="P33" s="22">
        <f>'Agency North'!Q35+'Agency South'!Q35</f>
        <v>189</v>
      </c>
      <c r="Q33" s="22">
        <f>'Agency North'!R35+'Agency South'!R35</f>
        <v>184</v>
      </c>
      <c r="R33" s="22">
        <f>'Agency North'!S35+'Agency South'!S35</f>
        <v>186</v>
      </c>
      <c r="S33" s="22">
        <f>'Agency North'!T35+'Agency South'!T35</f>
        <v>236</v>
      </c>
      <c r="T33" s="22">
        <f>'Agency North'!U35+'Agency South'!U35</f>
        <v>167</v>
      </c>
      <c r="U33" s="22">
        <f>'Agency North'!V35+'Agency South'!V35</f>
        <v>137</v>
      </c>
      <c r="V33" s="22">
        <f>'Agency North'!W35+'Agency South'!W35</f>
        <v>138</v>
      </c>
      <c r="W33" s="22">
        <f>'Agency North'!X35+'Agency South'!X35</f>
        <v>112</v>
      </c>
      <c r="X33" s="22">
        <f>'Agency North'!Y35+'Agency South'!Y35</f>
        <v>143</v>
      </c>
      <c r="Y33" s="22">
        <f>'Agency North'!Z35+'Agency South'!Z35</f>
        <v>248</v>
      </c>
      <c r="Z33" s="22">
        <f>SUM(N33:INDEX(N33:Y33,$A$2))</f>
        <v>1171</v>
      </c>
      <c r="AA33" s="22">
        <f t="shared" si="66"/>
        <v>398</v>
      </c>
      <c r="AB33" s="22">
        <f t="shared" si="67"/>
        <v>606</v>
      </c>
      <c r="AC33" s="22">
        <f t="shared" si="68"/>
        <v>442</v>
      </c>
      <c r="AD33" s="22">
        <f t="shared" si="69"/>
        <v>503</v>
      </c>
      <c r="AE33" s="22">
        <f>SUM(B33                                                                                : INDEX(B33:M33,$A$2))</f>
        <v>742</v>
      </c>
      <c r="AF33" s="22">
        <f t="shared" si="59"/>
        <v>192</v>
      </c>
      <c r="AG33" s="22">
        <f t="shared" si="60"/>
        <v>404</v>
      </c>
      <c r="AH33" s="22">
        <f t="shared" si="70"/>
        <v>485</v>
      </c>
      <c r="AI33" s="22">
        <f t="shared" si="61"/>
        <v>661</v>
      </c>
      <c r="AJ33" s="31">
        <f t="shared" si="71"/>
        <v>0.57816711590296488</v>
      </c>
      <c r="AK33" s="31">
        <f t="shared" si="62"/>
        <v>1.0729166666666665</v>
      </c>
      <c r="AL33" s="31">
        <f t="shared" si="62"/>
        <v>0.5</v>
      </c>
      <c r="AM33" s="31">
        <f t="shared" si="62"/>
        <v>-8.8659793814433008E-2</v>
      </c>
      <c r="AN33" s="31">
        <f>AD33/SUM(K33:INDEX(K33:M33,MOD($A$2,3)))-1</f>
        <v>1.7189189189189191</v>
      </c>
      <c r="AO33" s="166">
        <f>'GEN Lion NORTH'!AP35+'GEN Lion SOUTH'!AP35</f>
        <v>73</v>
      </c>
      <c r="AP33" s="166">
        <f>'GEN Lion NORTH'!AQ35+'GEN Lion SOUTH'!AQ35</f>
        <v>107</v>
      </c>
      <c r="AQ33" s="166">
        <f>'GEN Lion NORTH'!AR35+'GEN Lion SOUTH'!AR35</f>
        <v>166</v>
      </c>
      <c r="AR33" s="165">
        <f>'GEN Lion NORTH'!AS35+'GEN Lion SOUTH'!AS35</f>
        <v>139</v>
      </c>
      <c r="AS33" s="165">
        <f>'GEN Lion NORTH'!AT35+'GEN Lion SOUTH'!AT35</f>
        <v>118</v>
      </c>
      <c r="AT33" s="165">
        <f>'GEN Lion NORTH'!AU35+'GEN Lion SOUTH'!AU35</f>
        <v>117</v>
      </c>
      <c r="AU33" s="165">
        <f>'GEN Lion NORTH'!AV35+'GEN Lion SOUTH'!AV35</f>
        <v>95</v>
      </c>
      <c r="BA33" s="110">
        <f>SUM(AO33:INDEX(AO33:AQ33,IF($A$2&lt;3,$A$2,3)))</f>
        <v>346</v>
      </c>
      <c r="BB33" s="110">
        <f>SUM(AR33:INDEX(AR33:AT33,IF($A$2&lt;7,$A$2-3,3)))</f>
        <v>374</v>
      </c>
      <c r="BC33" s="110">
        <f>SUM(AU33:INDEX(AU33:AW33,IF(AND($A$2&gt;6,$A$2&lt;10),$A$2-6,0)))</f>
        <v>95</v>
      </c>
      <c r="BD33" s="110">
        <f>SUM(AX33:INDEX(AX33:AZ33,IF($A$2&gt;9,$A$2-9,0)))</f>
        <v>0</v>
      </c>
      <c r="BE33" s="110">
        <f>SUM($AO33:INDEX(AO33:AZ33,$A$2))</f>
        <v>815</v>
      </c>
      <c r="BF33" s="122">
        <f t="shared" si="63"/>
        <v>0.73737373737373735</v>
      </c>
      <c r="BG33" s="111">
        <f t="shared" si="63"/>
        <v>0.97272727272727277</v>
      </c>
      <c r="BH33" s="111">
        <f t="shared" si="63"/>
        <v>0.87830687830687826</v>
      </c>
      <c r="BI33" s="111">
        <f t="shared" si="63"/>
        <v>0.75543478260869568</v>
      </c>
      <c r="BJ33" s="111">
        <f t="shared" si="63"/>
        <v>0.63440860215053763</v>
      </c>
      <c r="BK33" s="111">
        <f t="shared" si="63"/>
        <v>0.49576271186440679</v>
      </c>
      <c r="BL33" s="111">
        <f t="shared" si="63"/>
        <v>0.56886227544910184</v>
      </c>
      <c r="BM33" s="111">
        <f t="shared" si="63"/>
        <v>0</v>
      </c>
      <c r="BN33" s="111">
        <f t="shared" si="63"/>
        <v>0</v>
      </c>
      <c r="BO33" s="111">
        <f t="shared" si="63"/>
        <v>0</v>
      </c>
      <c r="BP33" s="111">
        <f t="shared" si="63"/>
        <v>0</v>
      </c>
      <c r="BQ33" s="111">
        <f t="shared" si="63"/>
        <v>0</v>
      </c>
      <c r="BR33" s="111">
        <f>BA33/SUM(N33:INDEX(N33:P33,IF($A$2&lt;3,$A$2,3)))</f>
        <v>0.8693467336683417</v>
      </c>
      <c r="BS33" s="111">
        <f>BB33/SUM(Q33:INDEX(Q33:S33,IF($A$2&lt;7,$A$2-3,3)))</f>
        <v>0.61716171617161719</v>
      </c>
      <c r="BT33" s="111">
        <f t="shared" si="64"/>
        <v>0.21493212669683259</v>
      </c>
      <c r="BU33" s="111">
        <f t="shared" si="64"/>
        <v>0</v>
      </c>
      <c r="BV33" s="111">
        <f t="shared" si="65"/>
        <v>0.69598633646456021</v>
      </c>
    </row>
    <row r="34" spans="1:76" outlineLevel="1" x14ac:dyDescent="0.25">
      <c r="A34" t="s">
        <v>2</v>
      </c>
      <c r="B34">
        <f>'Agency North'!C36+'Agency South'!C36</f>
        <v>23</v>
      </c>
      <c r="C34">
        <f>'Agency North'!D36+'Agency South'!D36</f>
        <v>17</v>
      </c>
      <c r="D34">
        <f>'Agency North'!E36+'Agency South'!E36</f>
        <v>20</v>
      </c>
      <c r="E34">
        <f>'Agency North'!F36+'Agency South'!F36</f>
        <v>21</v>
      </c>
      <c r="F34">
        <f>'Agency North'!G36+'Agency South'!G36</f>
        <v>41</v>
      </c>
      <c r="G34">
        <f>'Agency North'!H36+'Agency South'!H36</f>
        <v>40</v>
      </c>
      <c r="H34" s="22">
        <f>'Agency North'!I36+'Agency South'!I36</f>
        <v>44</v>
      </c>
      <c r="I34" s="22">
        <f>'Agency North'!J36+'Agency South'!J36</f>
        <v>52</v>
      </c>
      <c r="J34" s="22">
        <f>'Agency North'!K36+'Agency South'!K36</f>
        <v>113</v>
      </c>
      <c r="K34" s="22">
        <f>'Agency North'!L36+'Agency South'!L36</f>
        <v>77</v>
      </c>
      <c r="L34" s="22">
        <f>'Agency North'!M36+'Agency South'!M36</f>
        <v>125</v>
      </c>
      <c r="M34" s="22">
        <f>'Agency North'!N36+'Agency South'!N36</f>
        <v>140</v>
      </c>
      <c r="N34" s="22">
        <f>'Agency North'!O36+'Agency South'!O36</f>
        <v>57</v>
      </c>
      <c r="O34" s="22">
        <f>'Agency North'!P36+'Agency South'!P36</f>
        <v>52</v>
      </c>
      <c r="P34" s="22">
        <f>'Agency North'!Q36+'Agency South'!Q36</f>
        <v>106</v>
      </c>
      <c r="Q34" s="22">
        <f>'Agency North'!R36+'Agency South'!R36</f>
        <v>85</v>
      </c>
      <c r="R34" s="22">
        <f>'Agency North'!S36+'Agency South'!S36</f>
        <v>109</v>
      </c>
      <c r="S34" s="22">
        <f>'Agency North'!T36+'Agency South'!T36</f>
        <v>175</v>
      </c>
      <c r="T34" s="22">
        <f>'Agency North'!U36+'Agency South'!U36</f>
        <v>122</v>
      </c>
      <c r="U34" s="22">
        <f>'Agency North'!V36+'Agency South'!V36</f>
        <v>137</v>
      </c>
      <c r="V34" s="22">
        <f>'Agency North'!W36+'Agency South'!W36</f>
        <v>152</v>
      </c>
      <c r="W34" s="22">
        <f>'Agency North'!X36+'Agency South'!X36</f>
        <v>154</v>
      </c>
      <c r="X34" s="22">
        <f>'Agency North'!Y36+'Agency South'!Y36</f>
        <v>155</v>
      </c>
      <c r="Y34" s="22">
        <f>'Agency North'!Z36+'Agency South'!Z36</f>
        <v>255</v>
      </c>
      <c r="Z34" s="22">
        <f>SUM(N34:INDEX(N34:Y34,$A$2))</f>
        <v>706</v>
      </c>
      <c r="AA34" s="22">
        <f t="shared" si="66"/>
        <v>215</v>
      </c>
      <c r="AB34" s="22">
        <f t="shared" si="67"/>
        <v>369</v>
      </c>
      <c r="AC34" s="22">
        <f t="shared" si="68"/>
        <v>411</v>
      </c>
      <c r="AD34" s="22">
        <f t="shared" si="69"/>
        <v>564</v>
      </c>
      <c r="AE34" s="22">
        <f>SUM(B34                                                                                : INDEX(B34:M34,$A$2))</f>
        <v>206</v>
      </c>
      <c r="AF34" s="22">
        <f t="shared" si="59"/>
        <v>60</v>
      </c>
      <c r="AG34" s="22">
        <f t="shared" si="60"/>
        <v>102</v>
      </c>
      <c r="AH34" s="22">
        <f t="shared" si="70"/>
        <v>209</v>
      </c>
      <c r="AI34" s="22">
        <f t="shared" si="61"/>
        <v>342</v>
      </c>
      <c r="AJ34" s="31">
        <f t="shared" si="71"/>
        <v>2.4271844660194173</v>
      </c>
      <c r="AK34" s="31">
        <f t="shared" si="62"/>
        <v>2.5833333333333335</v>
      </c>
      <c r="AL34" s="31">
        <f t="shared" si="62"/>
        <v>2.6176470588235294</v>
      </c>
      <c r="AM34" s="31">
        <f t="shared" si="62"/>
        <v>0.96650717703349276</v>
      </c>
      <c r="AN34" s="31">
        <f>AD34/SUM(K34:INDEX(K34:M34,MOD($A$2,3)))-1</f>
        <v>6.3246753246753249</v>
      </c>
      <c r="AO34" s="166">
        <f>'GEN Lion NORTH'!AP36+'GEN Lion SOUTH'!AP36</f>
        <v>105</v>
      </c>
      <c r="AP34" s="166">
        <f>'GEN Lion NORTH'!AQ36+'GEN Lion SOUTH'!AQ36</f>
        <v>115</v>
      </c>
      <c r="AQ34" s="166">
        <f>'GEN Lion NORTH'!AR36+'GEN Lion SOUTH'!AR36</f>
        <v>135</v>
      </c>
      <c r="AR34" s="165">
        <f>'GEN Lion NORTH'!AS36+'GEN Lion SOUTH'!AS36</f>
        <v>131</v>
      </c>
      <c r="AS34" s="165">
        <f>'GEN Lion NORTH'!AT36+'GEN Lion SOUTH'!AT36</f>
        <v>112</v>
      </c>
      <c r="AT34" s="165">
        <f>'GEN Lion NORTH'!AU36+'GEN Lion SOUTH'!AU36</f>
        <v>101</v>
      </c>
      <c r="AU34" s="165">
        <f>'GEN Lion NORTH'!AV36+'GEN Lion SOUTH'!AV36</f>
        <v>96</v>
      </c>
      <c r="BA34" s="110">
        <f>SUM(AO34:INDEX(AO34:AQ34,IF($A$2&lt;3,$A$2,3)))</f>
        <v>355</v>
      </c>
      <c r="BB34" s="110">
        <f>SUM(AR34:INDEX(AR34:AT34,IF($A$2&lt;7,$A$2-3,3)))</f>
        <v>344</v>
      </c>
      <c r="BC34" s="110">
        <f>SUM(AU34:INDEX(AU34:AW34,IF(AND($A$2&gt;6,$A$2&lt;10),$A$2-6,0)))</f>
        <v>96</v>
      </c>
      <c r="BD34" s="110">
        <f>SUM(AX34:INDEX(AX34:AZ34,IF($A$2&gt;9,$A$2-9,0)))</f>
        <v>0</v>
      </c>
      <c r="BE34" s="110">
        <f>SUM($AO34:INDEX(AO34:AZ34,$A$2))</f>
        <v>795</v>
      </c>
      <c r="BF34" s="122">
        <f t="shared" si="63"/>
        <v>1.8421052631578947</v>
      </c>
      <c r="BG34" s="111">
        <f t="shared" si="63"/>
        <v>2.2115384615384617</v>
      </c>
      <c r="BH34" s="111">
        <f t="shared" si="63"/>
        <v>1.2735849056603774</v>
      </c>
      <c r="BI34" s="111">
        <f t="shared" si="63"/>
        <v>1.5411764705882354</v>
      </c>
      <c r="BJ34" s="111">
        <f t="shared" si="63"/>
        <v>1.0275229357798166</v>
      </c>
      <c r="BK34" s="111">
        <f t="shared" si="63"/>
        <v>0.57714285714285718</v>
      </c>
      <c r="BL34" s="111">
        <f t="shared" si="63"/>
        <v>0.78688524590163933</v>
      </c>
      <c r="BM34" s="111">
        <f t="shared" si="63"/>
        <v>0</v>
      </c>
      <c r="BN34" s="111">
        <f t="shared" si="63"/>
        <v>0</v>
      </c>
      <c r="BO34" s="111">
        <f t="shared" si="63"/>
        <v>0</v>
      </c>
      <c r="BP34" s="111">
        <f t="shared" si="63"/>
        <v>0</v>
      </c>
      <c r="BQ34" s="111">
        <f t="shared" si="63"/>
        <v>0</v>
      </c>
      <c r="BR34" s="111">
        <f>BA34/SUM(N34:INDEX(N34:P34,IF($A$2&lt;3,$A$2,3)))</f>
        <v>1.6511627906976745</v>
      </c>
      <c r="BS34" s="111">
        <f>BB34/SUM(Q34:INDEX(Q34:S34,IF($A$2&lt;7,$A$2-3,3)))</f>
        <v>0.9322493224932249</v>
      </c>
      <c r="BT34" s="111">
        <f t="shared" si="64"/>
        <v>0.23357664233576642</v>
      </c>
      <c r="BU34" s="111">
        <f t="shared" si="64"/>
        <v>0</v>
      </c>
      <c r="BV34" s="111">
        <f t="shared" si="65"/>
        <v>1.1260623229461757</v>
      </c>
    </row>
    <row r="35" spans="1:76" outlineLevel="1" x14ac:dyDescent="0.25">
      <c r="A35" s="135" t="s">
        <v>136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31"/>
      <c r="AK35" s="31"/>
      <c r="AL35" s="31"/>
      <c r="AM35" s="31"/>
      <c r="AN35" s="31"/>
      <c r="AO35" s="166"/>
      <c r="AP35" s="166">
        <f>'GEN Lion NORTH'!AQ37+'GEN Lion SOUTH'!AQ37</f>
        <v>98</v>
      </c>
      <c r="AQ35" s="166">
        <f>'GEN Lion NORTH'!AR37+'GEN Lion SOUTH'!AR37</f>
        <v>76</v>
      </c>
      <c r="AR35" s="165">
        <f>'GEN Lion NORTH'!AS37+'GEN Lion SOUTH'!AS37</f>
        <v>150</v>
      </c>
      <c r="AS35" s="165">
        <f>'GEN Lion NORTH'!AT37+'GEN Lion SOUTH'!AT37</f>
        <v>67</v>
      </c>
      <c r="AT35" s="165">
        <f>'GEN Lion NORTH'!AU37+'GEN Lion SOUTH'!AU37</f>
        <v>57</v>
      </c>
      <c r="AU35" s="165">
        <f>'GEN Lion NORTH'!AV37+'GEN Lion SOUTH'!AV37</f>
        <v>52</v>
      </c>
      <c r="BA35" s="110">
        <f>SUM(AO35:INDEX(AO35:AQ35,IF($A$2&lt;3,$A$2,3)))</f>
        <v>174</v>
      </c>
      <c r="BB35" s="110">
        <f>SUM(AR35:INDEX(AR35:AT35,IF($A$2&lt;7,$A$2-3,3)))</f>
        <v>274</v>
      </c>
      <c r="BC35" s="110">
        <f>SUM(AU35:INDEX(AU35:AW35,IF(AND($A$2&gt;6,$A$2&lt;10),$A$2-6,0)))</f>
        <v>52</v>
      </c>
      <c r="BD35" s="110"/>
      <c r="BE35" s="110">
        <f>SUM($AO35:INDEX(AO35:AZ35,$A$2))</f>
        <v>500</v>
      </c>
      <c r="BF35" s="122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</row>
    <row r="36" spans="1:76" s="17" customFormat="1" x14ac:dyDescent="0.25">
      <c r="A36" s="1" t="s">
        <v>137</v>
      </c>
      <c r="B36" s="1">
        <f>SUM(B28:B34)</f>
        <v>557</v>
      </c>
      <c r="C36" s="1">
        <f t="shared" ref="C36:AI36" si="72">SUM(C28:C34)</f>
        <v>465</v>
      </c>
      <c r="D36" s="1">
        <f t="shared" si="72"/>
        <v>642</v>
      </c>
      <c r="E36" s="1">
        <f t="shared" si="72"/>
        <v>744</v>
      </c>
      <c r="F36" s="1">
        <f t="shared" si="72"/>
        <v>881</v>
      </c>
      <c r="G36" s="1">
        <f t="shared" si="72"/>
        <v>998</v>
      </c>
      <c r="H36" s="7">
        <f t="shared" si="72"/>
        <v>1018</v>
      </c>
      <c r="I36" s="7">
        <f t="shared" si="72"/>
        <v>832</v>
      </c>
      <c r="J36" s="7">
        <f t="shared" si="72"/>
        <v>1364</v>
      </c>
      <c r="K36" s="7">
        <f t="shared" si="72"/>
        <v>1130</v>
      </c>
      <c r="L36" s="7">
        <f t="shared" si="72"/>
        <v>1365</v>
      </c>
      <c r="M36" s="7">
        <f t="shared" si="72"/>
        <v>1568</v>
      </c>
      <c r="N36" s="7">
        <f t="shared" si="72"/>
        <v>635</v>
      </c>
      <c r="O36" s="7">
        <f t="shared" si="72"/>
        <v>620</v>
      </c>
      <c r="P36" s="7">
        <f t="shared" si="72"/>
        <v>1116</v>
      </c>
      <c r="Q36" s="7">
        <f t="shared" si="72"/>
        <v>979</v>
      </c>
      <c r="R36" s="7">
        <f t="shared" si="72"/>
        <v>1088</v>
      </c>
      <c r="S36" s="7">
        <f t="shared" si="72"/>
        <v>1647</v>
      </c>
      <c r="T36" s="7">
        <f t="shared" si="72"/>
        <v>1310</v>
      </c>
      <c r="U36" s="7">
        <f t="shared" si="72"/>
        <v>1420</v>
      </c>
      <c r="V36" s="7">
        <f t="shared" si="72"/>
        <v>1734</v>
      </c>
      <c r="W36" s="7">
        <f t="shared" si="72"/>
        <v>1466</v>
      </c>
      <c r="X36" s="7">
        <f t="shared" si="72"/>
        <v>1539</v>
      </c>
      <c r="Y36" s="7">
        <f t="shared" si="72"/>
        <v>2520</v>
      </c>
      <c r="Z36" s="7">
        <f>SUM(N36:INDEX(N36:Y36,$A$2))</f>
        <v>7395</v>
      </c>
      <c r="AA36" s="7">
        <f t="shared" si="72"/>
        <v>2371</v>
      </c>
      <c r="AB36" s="7">
        <f t="shared" si="72"/>
        <v>3714</v>
      </c>
      <c r="AC36" s="7">
        <f t="shared" si="72"/>
        <v>4464</v>
      </c>
      <c r="AD36" s="7">
        <f t="shared" si="72"/>
        <v>5525</v>
      </c>
      <c r="AE36" s="7">
        <f t="shared" si="72"/>
        <v>5305</v>
      </c>
      <c r="AF36" s="7">
        <f t="shared" si="72"/>
        <v>1664</v>
      </c>
      <c r="AG36" s="7">
        <f t="shared" si="72"/>
        <v>2623</v>
      </c>
      <c r="AH36" s="7">
        <f t="shared" si="72"/>
        <v>3214</v>
      </c>
      <c r="AI36" s="7">
        <f t="shared" si="72"/>
        <v>4063</v>
      </c>
      <c r="AJ36" s="32">
        <f t="shared" si="71"/>
        <v>0.39396795475966062</v>
      </c>
      <c r="AK36" s="32">
        <f t="shared" si="62"/>
        <v>0.42487980769230771</v>
      </c>
      <c r="AL36" s="32">
        <f t="shared" si="62"/>
        <v>0.41593595120091509</v>
      </c>
      <c r="AM36" s="32">
        <f t="shared" si="62"/>
        <v>0.38892345986309884</v>
      </c>
      <c r="AN36" s="31">
        <f>AD36/SUM(K36:INDEX(K36:M36,MOD($A$2,3)))-1</f>
        <v>3.889380530973451</v>
      </c>
      <c r="AO36" s="7">
        <f t="shared" ref="AO36:AQ36" si="73">SUM(AO28:AO34)</f>
        <v>1021</v>
      </c>
      <c r="AP36" s="7">
        <f t="shared" si="73"/>
        <v>1442</v>
      </c>
      <c r="AQ36" s="7">
        <f t="shared" si="73"/>
        <v>1915</v>
      </c>
      <c r="AR36" s="7">
        <f t="shared" ref="AR36:AT36" si="74">SUM(AR28:AR34)</f>
        <v>1683</v>
      </c>
      <c r="AS36" s="7">
        <f t="shared" si="74"/>
        <v>1467</v>
      </c>
      <c r="AT36" s="7">
        <f t="shared" si="74"/>
        <v>1888</v>
      </c>
      <c r="AU36" s="7">
        <f t="shared" ref="AU36" si="75">SUM(AU28:AU34)</f>
        <v>1431</v>
      </c>
      <c r="BA36" s="116">
        <f>SUM(AO36:INDEX(AO36:AQ36,IF($A$2&lt;3,$A$2,3)))</f>
        <v>4378</v>
      </c>
      <c r="BB36" s="116">
        <f>SUM(AR36:INDEX(AR36:AT36,IF($A$2&lt;7,$A$2-3,3)))</f>
        <v>5038</v>
      </c>
      <c r="BC36" s="116">
        <f>SUM(AU36:INDEX(AU36:AW36,IF(AND($A$2&gt;6,$A$2&lt;10),$A$2-6,0)))</f>
        <v>1431</v>
      </c>
      <c r="BD36" s="116">
        <f>SUM(AX36:INDEX(AX36:AZ36,IF($A$2&gt;9,$A$2-9,0)))</f>
        <v>0</v>
      </c>
      <c r="BE36" s="116">
        <f>SUM($AO36:INDEX(AO36:AZ36,$A$2))</f>
        <v>10847</v>
      </c>
      <c r="BF36" s="123">
        <f t="shared" si="63"/>
        <v>1.6078740157480316</v>
      </c>
      <c r="BG36" s="118">
        <f t="shared" si="63"/>
        <v>2.3258064516129031</v>
      </c>
      <c r="BH36" s="118">
        <f t="shared" si="63"/>
        <v>1.7159498207885304</v>
      </c>
      <c r="BI36" s="118">
        <f t="shared" si="63"/>
        <v>1.7191011235955056</v>
      </c>
      <c r="BJ36" s="118">
        <f t="shared" si="63"/>
        <v>1.3483455882352942</v>
      </c>
      <c r="BK36" s="118">
        <f t="shared" si="63"/>
        <v>1.1463266545233759</v>
      </c>
      <c r="BL36" s="118">
        <f t="shared" si="63"/>
        <v>1.0923664122137404</v>
      </c>
      <c r="BM36" s="118">
        <f t="shared" si="63"/>
        <v>0</v>
      </c>
      <c r="BN36" s="118">
        <f t="shared" si="63"/>
        <v>0</v>
      </c>
      <c r="BO36" s="118">
        <f t="shared" si="63"/>
        <v>0</v>
      </c>
      <c r="BP36" s="118">
        <f t="shared" si="63"/>
        <v>0</v>
      </c>
      <c r="BQ36" s="118">
        <f t="shared" si="63"/>
        <v>0</v>
      </c>
      <c r="BR36" s="118">
        <f>BA36/SUM(N36:INDEX(N36:P36,IF($A$2&lt;3,$A$2,3)))</f>
        <v>1.8464782792070855</v>
      </c>
      <c r="BS36" s="118">
        <f>BB36/SUM(Q36:INDEX(Q36:S36,IF($A$2&lt;7,$A$2-3,3)))</f>
        <v>1.3564889606892838</v>
      </c>
      <c r="BT36" s="118">
        <f t="shared" si="64"/>
        <v>0.32056451612903225</v>
      </c>
      <c r="BU36" s="118">
        <f t="shared" si="64"/>
        <v>0</v>
      </c>
      <c r="BV36" s="118">
        <f t="shared" si="65"/>
        <v>1.4668018931710616</v>
      </c>
    </row>
    <row r="37" spans="1:76" x14ac:dyDescent="0.25">
      <c r="A37" t="s">
        <v>39</v>
      </c>
      <c r="G37" s="8">
        <f>2*SUM(E36:G36)/SUM(D24,E24,E24,F24,F24,G24)</f>
        <v>0.28723171265878228</v>
      </c>
      <c r="L37" s="8"/>
      <c r="M37" s="8">
        <f>2*SUM(K36:L36)/SUM(J24,K24,K24,L24)</f>
        <v>0.33805297744055279</v>
      </c>
      <c r="S37" s="8">
        <f>2*SUM(Q36:S36)/SUM(P24,Q24,Q24,R24,R24,S24)</f>
        <v>0.25600551438910907</v>
      </c>
      <c r="V37" s="8">
        <f>2*SUM(T36:V36)/SUM(S24,T24,T24,U24,U24,V24)</f>
        <v>0.22244923383580417</v>
      </c>
      <c r="Y37" s="8">
        <f>2*SUM(W36:Y36)/SUM(V24,W24,W24,X24,X24,Y24)</f>
        <v>0.21060054508376375</v>
      </c>
      <c r="AP37" s="22"/>
      <c r="BF37" s="124"/>
    </row>
    <row r="38" spans="1:76" x14ac:dyDescent="0.25"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BF38" s="124"/>
    </row>
    <row r="39" spans="1:76" s="17" customFormat="1" x14ac:dyDescent="0.25">
      <c r="A39" s="2" t="s">
        <v>11</v>
      </c>
      <c r="B39" s="3">
        <f t="shared" ref="B39:Y39" si="76">B3</f>
        <v>42005</v>
      </c>
      <c r="C39" s="3">
        <f t="shared" si="76"/>
        <v>42036</v>
      </c>
      <c r="D39" s="3">
        <f t="shared" si="76"/>
        <v>42064</v>
      </c>
      <c r="E39" s="3">
        <f t="shared" si="76"/>
        <v>42095</v>
      </c>
      <c r="F39" s="3">
        <f t="shared" si="76"/>
        <v>42125</v>
      </c>
      <c r="G39" s="3">
        <f t="shared" si="76"/>
        <v>42156</v>
      </c>
      <c r="H39" s="3">
        <f t="shared" si="76"/>
        <v>42186</v>
      </c>
      <c r="I39" s="3">
        <f t="shared" si="76"/>
        <v>42217</v>
      </c>
      <c r="J39" s="3">
        <f t="shared" si="76"/>
        <v>42248</v>
      </c>
      <c r="K39" s="3">
        <f t="shared" si="76"/>
        <v>42278</v>
      </c>
      <c r="L39" s="3">
        <f t="shared" si="76"/>
        <v>42309</v>
      </c>
      <c r="M39" s="3">
        <f t="shared" si="76"/>
        <v>42339</v>
      </c>
      <c r="N39" s="3">
        <f t="shared" si="76"/>
        <v>42370</v>
      </c>
      <c r="O39" s="3">
        <f t="shared" si="76"/>
        <v>42401</v>
      </c>
      <c r="P39" s="3">
        <f t="shared" si="76"/>
        <v>42430</v>
      </c>
      <c r="Q39" s="3">
        <f t="shared" si="76"/>
        <v>42461</v>
      </c>
      <c r="R39" s="3">
        <f t="shared" si="76"/>
        <v>42491</v>
      </c>
      <c r="S39" s="3">
        <f t="shared" si="76"/>
        <v>42522</v>
      </c>
      <c r="T39" s="3">
        <f t="shared" si="76"/>
        <v>42552</v>
      </c>
      <c r="U39" s="3">
        <f t="shared" si="76"/>
        <v>42583</v>
      </c>
      <c r="V39" s="3">
        <f t="shared" si="76"/>
        <v>42614</v>
      </c>
      <c r="W39" s="3">
        <f t="shared" si="76"/>
        <v>42644</v>
      </c>
      <c r="X39" s="3">
        <f t="shared" si="76"/>
        <v>42675</v>
      </c>
      <c r="Y39" s="3">
        <f t="shared" si="76"/>
        <v>42705</v>
      </c>
      <c r="Z39" s="29" t="str">
        <f>Z27</f>
        <v>YTD 7/16</v>
      </c>
      <c r="AA39" s="29" t="s">
        <v>19</v>
      </c>
      <c r="AB39" s="29" t="s">
        <v>20</v>
      </c>
      <c r="AC39" s="29" t="s">
        <v>21</v>
      </c>
      <c r="AD39" s="29" t="s">
        <v>22</v>
      </c>
      <c r="AE39" s="26" t="str">
        <f t="shared" ref="AE39:AI39" si="77">AE15</f>
        <v>YTD 7/15</v>
      </c>
      <c r="AF39" s="26" t="str">
        <f t="shared" si="77"/>
        <v>Q1 '15</v>
      </c>
      <c r="AG39" s="26" t="str">
        <f t="shared" si="77"/>
        <v>Q2 '15</v>
      </c>
      <c r="AH39" s="26" t="str">
        <f t="shared" si="77"/>
        <v>Q3 '15</v>
      </c>
      <c r="AI39" s="26" t="str">
        <f t="shared" si="77"/>
        <v>Q4 '15</v>
      </c>
      <c r="AJ39" s="30" t="s">
        <v>27</v>
      </c>
      <c r="AK39" s="30" t="s">
        <v>29</v>
      </c>
      <c r="AL39" s="30" t="s">
        <v>30</v>
      </c>
      <c r="AM39" s="30" t="s">
        <v>31</v>
      </c>
      <c r="AN39" s="30" t="s">
        <v>32</v>
      </c>
      <c r="AO39" s="108">
        <v>42736</v>
      </c>
      <c r="AP39" s="108">
        <v>42767</v>
      </c>
      <c r="AQ39" s="108">
        <v>42795</v>
      </c>
      <c r="AR39" s="108">
        <v>42826</v>
      </c>
      <c r="AS39" s="108">
        <v>42856</v>
      </c>
      <c r="AT39" s="108">
        <v>42887</v>
      </c>
      <c r="AU39" s="108">
        <v>42917</v>
      </c>
      <c r="AV39" s="108">
        <v>42948</v>
      </c>
      <c r="AW39" s="108">
        <v>42979</v>
      </c>
      <c r="AX39" s="108">
        <v>43009</v>
      </c>
      <c r="AY39" s="108">
        <v>43040</v>
      </c>
      <c r="AZ39" s="108">
        <v>43070</v>
      </c>
      <c r="BA39" s="29" t="s">
        <v>123</v>
      </c>
      <c r="BB39" s="29" t="s">
        <v>124</v>
      </c>
      <c r="BC39" s="29" t="s">
        <v>125</v>
      </c>
      <c r="BD39" s="29" t="s">
        <v>126</v>
      </c>
      <c r="BE39" s="29" t="str">
        <f>"YTD " &amp; A38 &amp;"/17"</f>
        <v>YTD /17</v>
      </c>
      <c r="BF39" s="121">
        <v>42736</v>
      </c>
      <c r="BG39" s="108">
        <v>42767</v>
      </c>
      <c r="BH39" s="108">
        <v>42795</v>
      </c>
      <c r="BI39" s="108">
        <v>42826</v>
      </c>
      <c r="BJ39" s="108">
        <v>42856</v>
      </c>
      <c r="BK39" s="108">
        <v>42887</v>
      </c>
      <c r="BL39" s="108">
        <v>42917</v>
      </c>
      <c r="BM39" s="108">
        <v>42948</v>
      </c>
      <c r="BN39" s="108">
        <v>42979</v>
      </c>
      <c r="BO39" s="108">
        <v>43009</v>
      </c>
      <c r="BP39" s="108">
        <v>43040</v>
      </c>
      <c r="BQ39" s="108">
        <v>43070</v>
      </c>
      <c r="BR39" s="29" t="s">
        <v>127</v>
      </c>
      <c r="BS39" s="29" t="s">
        <v>128</v>
      </c>
      <c r="BT39" s="29" t="s">
        <v>96</v>
      </c>
      <c r="BU39" s="29" t="s">
        <v>129</v>
      </c>
      <c r="BV39" s="112" t="s">
        <v>130</v>
      </c>
    </row>
    <row r="40" spans="1:76" outlineLevel="1" x14ac:dyDescent="0.25">
      <c r="A40" t="s">
        <v>157</v>
      </c>
      <c r="B40" s="8">
        <f t="shared" ref="B40:M46" si="78">IFERROR(B28/B16,"")</f>
        <v>0.73076923076923073</v>
      </c>
      <c r="C40" s="8">
        <f t="shared" si="78"/>
        <v>0.52631578947368418</v>
      </c>
      <c r="D40" s="8">
        <f t="shared" si="78"/>
        <v>0.65079365079365081</v>
      </c>
      <c r="E40" s="8">
        <f t="shared" si="78"/>
        <v>0.75714285714285712</v>
      </c>
      <c r="F40" s="8">
        <f t="shared" si="78"/>
        <v>0.83098591549295775</v>
      </c>
      <c r="G40" s="8">
        <f t="shared" si="78"/>
        <v>0.76056338028169013</v>
      </c>
      <c r="H40" s="8">
        <f t="shared" si="78"/>
        <v>0.68421052631578949</v>
      </c>
      <c r="I40" s="8">
        <f t="shared" si="78"/>
        <v>0.61842105263157898</v>
      </c>
      <c r="J40" s="8">
        <f t="shared" si="78"/>
        <v>0.8441558441558441</v>
      </c>
      <c r="K40" s="8">
        <f t="shared" si="78"/>
        <v>0.79220779220779225</v>
      </c>
      <c r="L40" s="8">
        <f t="shared" si="78"/>
        <v>0.73972602739726023</v>
      </c>
      <c r="M40" s="8">
        <f t="shared" si="78"/>
        <v>0.75</v>
      </c>
      <c r="N40" s="8">
        <f t="shared" ref="N40:Y46" si="79">N28*2/SUM(M16:N16)</f>
        <v>0.46632124352331605</v>
      </c>
      <c r="O40" s="8">
        <f t="shared" ref="O40:Y40" si="80">O28*2/SUM(N16:O16)</f>
        <v>0.35193133047210301</v>
      </c>
      <c r="P40" s="8">
        <f t="shared" si="80"/>
        <v>0.55555555555555558</v>
      </c>
      <c r="Q40" s="8">
        <f t="shared" si="80"/>
        <v>0.43404255319148938</v>
      </c>
      <c r="R40" s="8">
        <f t="shared" si="80"/>
        <v>0.4366812227074236</v>
      </c>
      <c r="S40" s="8">
        <f t="shared" si="80"/>
        <v>0.58447488584474883</v>
      </c>
      <c r="T40" s="8">
        <f t="shared" si="80"/>
        <v>0.44660194174757284</v>
      </c>
      <c r="U40" s="8">
        <f t="shared" si="80"/>
        <v>0.48205128205128206</v>
      </c>
      <c r="V40" s="8">
        <f t="shared" si="80"/>
        <v>0.5368421052631579</v>
      </c>
      <c r="W40" s="8">
        <f t="shared" si="80"/>
        <v>0.44919786096256686</v>
      </c>
      <c r="X40" s="8">
        <f t="shared" si="80"/>
        <v>0.45901639344262296</v>
      </c>
      <c r="Y40" s="8">
        <f t="shared" si="80"/>
        <v>0.58959537572254339</v>
      </c>
      <c r="Z40" s="139">
        <f>2*SUM(N28:INDEX(N28:Y28,$A$2))/(SUM(N16:INDEX(N16:Y16,$A$2))*2+M16-INDEX(N16:Y16,$A$2))</f>
        <v>0.46739832149774047</v>
      </c>
      <c r="AA40" s="8">
        <f>AVERAGE(N40:P40)</f>
        <v>0.45793604318365827</v>
      </c>
      <c r="AB40" s="8">
        <f>2*SUM(Q28:INDEX(Q28:S28,$B$2))/(P16+SUM(Q16:INDEX(Q16:S16,$B$2))*2-INDEX(Q16:S16,$B$2))</f>
        <v>0.43404255319148938</v>
      </c>
      <c r="AC40" s="8">
        <f>IFERROR(AVERAGE(T40:V40),"")</f>
        <v>0.48849844302067097</v>
      </c>
      <c r="AD40" s="8">
        <f>IFERROR(AVERAGE(W40:Y40),"")</f>
        <v>0.49926987670924444</v>
      </c>
      <c r="AE40" s="8">
        <f>AVERAGE(B40:INDEX(B40:M40,$A$2))</f>
        <v>0.70582590718140847</v>
      </c>
      <c r="AF40" s="8">
        <f>AVERAGE(B40:D40)</f>
        <v>0.63595955701218854</v>
      </c>
      <c r="AG40" s="8">
        <f>AVERAGE(E40:G40)</f>
        <v>0.782897384305835</v>
      </c>
      <c r="AH40" s="8">
        <f>AVERAGE(H40:J40)</f>
        <v>0.7155958077010709</v>
      </c>
      <c r="AI40" s="8">
        <f>AVERAGE(K40:M40)</f>
        <v>0.76064460653501753</v>
      </c>
      <c r="AJ40" s="31">
        <f>Z40/AE40-1</f>
        <v>-0.33779942512423011</v>
      </c>
      <c r="AK40" s="31">
        <f t="shared" ref="AK40:AN49" si="81">AA40/AF40-1</f>
        <v>-0.27992898583819592</v>
      </c>
      <c r="AL40" s="31">
        <f t="shared" si="81"/>
        <v>-0.44559457996358209</v>
      </c>
      <c r="AM40" s="31">
        <f t="shared" si="81"/>
        <v>-0.31735424136982415</v>
      </c>
      <c r="AN40" s="31">
        <f t="shared" si="81"/>
        <v>-0.34362266895760896</v>
      </c>
      <c r="AO40" s="170">
        <f t="shared" ref="AO40:AO46" si="82">IFERROR(AO28/AVERAGE(Y16,AO16),"")</f>
        <v>0.71052631578947367</v>
      </c>
      <c r="AP40" s="170">
        <f>IFERROR(AP28/AVERAGE(AO16,AP16),"")</f>
        <v>0.69444444444444442</v>
      </c>
      <c r="AQ40" s="170">
        <f t="shared" ref="AQ40:AZ47" si="83">IFERROR(AQ28/AVERAGE(AP16:AQ16),"")</f>
        <v>0.74125874125874125</v>
      </c>
      <c r="AR40" s="167">
        <f t="shared" si="83"/>
        <v>0.83447332421340625</v>
      </c>
      <c r="AS40" s="167">
        <f>IFERROR(AS28/AVERAGE(AR16:AS16),"")</f>
        <v>0.43090128755364809</v>
      </c>
      <c r="AT40" s="167">
        <f t="shared" si="83"/>
        <v>0.41348713398402842</v>
      </c>
      <c r="AU40" s="167">
        <f t="shared" si="83"/>
        <v>0.33648393194706994</v>
      </c>
      <c r="AV40" s="8">
        <f t="shared" si="83"/>
        <v>0</v>
      </c>
      <c r="AW40" s="8" t="str">
        <f t="shared" si="83"/>
        <v/>
      </c>
      <c r="AX40" s="8" t="str">
        <f t="shared" si="83"/>
        <v/>
      </c>
      <c r="AY40" s="8" t="str">
        <f t="shared" si="83"/>
        <v/>
      </c>
      <c r="AZ40" s="8" t="str">
        <f t="shared" si="83"/>
        <v/>
      </c>
      <c r="BA40" s="8">
        <f t="shared" ref="BA40:BA42" si="84">IFERROR(BA28/(AVERAGE(Y16,AO16)+AVERAGE(AO16,AP16)+AVERAGE(AQ16,AP16)),"")</f>
        <v>0.71571072319202</v>
      </c>
      <c r="BB40" s="8">
        <f>IFERROR(BB28*2/(AQ16+2*SUM(AR16:INDEX(AR16:AT16,$B$2))-INDEX(AR16:AT16,$B$2)),"")</f>
        <v>2.1586867305061559</v>
      </c>
      <c r="BC40" s="8">
        <f>IFERROR(BC28*2/(AT16+2*SUM(AU16:INDEX(AU16:AW16,$B$2))-INDEX(AU16:AW16,$B$2)),"")</f>
        <v>0.33648393194706994</v>
      </c>
      <c r="BE40" s="8">
        <f>2*SUM(AO28:INDEX(AO28:AZ28,$A$2))/(SUM(AO16:INDEX(AO16:AZ16,$A$2))*2+Y16-INDEX(AO16:AZ16,$A$2))</f>
        <v>0.51361867704280151</v>
      </c>
      <c r="BF40" s="122">
        <f t="shared" ref="BF40:BK48" si="85">AO40/N40</f>
        <v>1.5236842105263158</v>
      </c>
      <c r="BG40" s="111">
        <f t="shared" si="85"/>
        <v>1.9732384823848237</v>
      </c>
      <c r="BH40" s="111">
        <f t="shared" si="85"/>
        <v>1.3342657342657342</v>
      </c>
      <c r="BI40" s="111">
        <f t="shared" si="85"/>
        <v>1.9225610900995143</v>
      </c>
      <c r="BJ40" s="111">
        <f t="shared" si="85"/>
        <v>0.98676394849785409</v>
      </c>
      <c r="BK40" s="111">
        <f t="shared" si="85"/>
        <v>0.70745064330079865</v>
      </c>
      <c r="BL40" s="111"/>
      <c r="BM40" s="111"/>
      <c r="BN40" s="111"/>
      <c r="BO40" s="111"/>
      <c r="BP40" s="111"/>
      <c r="BQ40" s="111"/>
      <c r="BR40" s="111">
        <f>BA40/((N28+O28+P28)/(SUM(M16,N16,N16,O16,O16,P16)/2))</f>
        <v>1.5641360175719643</v>
      </c>
      <c r="BS40" s="111">
        <f t="shared" ref="BS40:BU48" si="86">BB40/AB40</f>
        <v>4.9734449183230058</v>
      </c>
      <c r="BT40" s="111">
        <f t="shared" si="86"/>
        <v>0.68881270095027003</v>
      </c>
      <c r="BU40" s="111">
        <f t="shared" si="86"/>
        <v>0</v>
      </c>
      <c r="BV40" s="111">
        <f t="shared" ref="BV40:BV48" si="87">BE40/Z40</f>
        <v>1.0988885783691982</v>
      </c>
      <c r="BX40" s="8"/>
    </row>
    <row r="41" spans="1:76" outlineLevel="1" x14ac:dyDescent="0.25">
      <c r="A41" t="s">
        <v>5</v>
      </c>
      <c r="B41" s="8">
        <f t="shared" si="78"/>
        <v>0.28110599078341014</v>
      </c>
      <c r="C41" s="8">
        <f t="shared" si="78"/>
        <v>0.34123222748815168</v>
      </c>
      <c r="D41" s="8">
        <f t="shared" si="78"/>
        <v>0.30973451327433627</v>
      </c>
      <c r="E41" s="8">
        <f t="shared" si="78"/>
        <v>0.28620689655172415</v>
      </c>
      <c r="F41" s="8">
        <f t="shared" si="78"/>
        <v>0.33829787234042552</v>
      </c>
      <c r="G41" s="8">
        <f t="shared" si="78"/>
        <v>0.40836653386454186</v>
      </c>
      <c r="H41" s="8">
        <f t="shared" si="78"/>
        <v>0.4859437751004016</v>
      </c>
      <c r="I41" s="8">
        <f t="shared" si="78"/>
        <v>0.35860655737704916</v>
      </c>
      <c r="J41" s="8">
        <f t="shared" si="78"/>
        <v>0.46864111498257838</v>
      </c>
      <c r="K41" s="8">
        <f t="shared" si="78"/>
        <v>0.43534482758620691</v>
      </c>
      <c r="L41" s="8">
        <f t="shared" si="78"/>
        <v>0.46708074534161492</v>
      </c>
      <c r="M41" s="8">
        <f t="shared" si="78"/>
        <v>0.46621621621621623</v>
      </c>
      <c r="N41" s="8">
        <f t="shared" si="79"/>
        <v>0.14805520702634881</v>
      </c>
      <c r="O41" s="8">
        <f t="shared" si="79"/>
        <v>0.31421446384039903</v>
      </c>
      <c r="P41" s="8">
        <f t="shared" si="79"/>
        <v>0.68486916951080778</v>
      </c>
      <c r="Q41" s="8">
        <f t="shared" si="79"/>
        <v>0.3973941368078176</v>
      </c>
      <c r="R41" s="8">
        <f t="shared" si="79"/>
        <v>0.46249033255993816</v>
      </c>
      <c r="S41" s="8">
        <f t="shared" si="79"/>
        <v>0.5625</v>
      </c>
      <c r="T41" s="8">
        <f t="shared" si="79"/>
        <v>0.3225516621743037</v>
      </c>
      <c r="U41" s="8">
        <f t="shared" si="79"/>
        <v>0.41354903943377147</v>
      </c>
      <c r="V41" s="8">
        <f t="shared" si="79"/>
        <v>0.47779215178956447</v>
      </c>
      <c r="W41" s="8">
        <f t="shared" si="79"/>
        <v>0.35385242560130453</v>
      </c>
      <c r="X41" s="8">
        <f t="shared" si="79"/>
        <v>0.32586068855084066</v>
      </c>
      <c r="Y41" s="8">
        <f t="shared" si="79"/>
        <v>0.55108579565681737</v>
      </c>
      <c r="Z41" s="139">
        <f>2*SUM(N29:INDEX(N29:Y29,$A$2))/(SUM(N17:INDEX(N17:Y17,$A$2))*2+M17-INDEX(N17:Y17,$A$2))</f>
        <v>0.42853922452660054</v>
      </c>
      <c r="AA41" s="8">
        <f t="shared" ref="AA41:AA48" si="88">AVERAGE(N41:P41)</f>
        <v>0.3823796134591852</v>
      </c>
      <c r="AB41" s="8">
        <f>2*SUM(Q29:INDEX(Q29:S29,$B$2))/(P17+SUM(Q17:INDEX(Q17:S17,$B$2))*2-INDEX(Q17:S17,$B$2))</f>
        <v>0.3973941368078176</v>
      </c>
      <c r="AC41" s="8">
        <f t="shared" ref="AC41:AC48" si="89">IFERROR(AVERAGE(T41:V41),"")</f>
        <v>0.40463095113254655</v>
      </c>
      <c r="AD41" s="8">
        <f t="shared" ref="AD41:AD48" si="90">IFERROR(AVERAGE(W41:Y41),"")</f>
        <v>0.41026630326965413</v>
      </c>
      <c r="AE41" s="8">
        <f>AVERAGE(B41:INDEX(B41:M41,$A$2))</f>
        <v>0.350126829914713</v>
      </c>
      <c r="AF41" s="8">
        <f t="shared" ref="AF41:AF48" si="91">AVERAGE(B41:D41)</f>
        <v>0.31069091051529935</v>
      </c>
      <c r="AG41" s="8">
        <f t="shared" ref="AG41:AG48" si="92">AVERAGE(E41:G41)</f>
        <v>0.34429043425223055</v>
      </c>
      <c r="AH41" s="8">
        <f t="shared" ref="AH41:AH48" si="93">AVERAGE(H41:J41)</f>
        <v>0.4377304824866764</v>
      </c>
      <c r="AI41" s="8">
        <f t="shared" ref="AI41:AI48" si="94">AVERAGE(K41:M41)</f>
        <v>0.45621392971467939</v>
      </c>
      <c r="AJ41" s="31">
        <f t="shared" ref="AJ41:AJ49" si="95">Z41/AE41-1</f>
        <v>0.22395425860676799</v>
      </c>
      <c r="AK41" s="31">
        <f t="shared" si="81"/>
        <v>0.23073962101107459</v>
      </c>
      <c r="AL41" s="31">
        <f t="shared" si="81"/>
        <v>0.1542410048972862</v>
      </c>
      <c r="AM41" s="31">
        <f t="shared" si="81"/>
        <v>-7.5616235739619397E-2</v>
      </c>
      <c r="AN41" s="31">
        <f t="shared" si="81"/>
        <v>-0.10071508880441538</v>
      </c>
      <c r="AO41" s="170">
        <f t="shared" si="82"/>
        <v>0.15952143569292124</v>
      </c>
      <c r="AP41" s="170">
        <f t="shared" ref="AP41:AP46" si="96">IFERROR(AP29/AVERAGE(AO17,AP17),"")</f>
        <v>0.41827541827541825</v>
      </c>
      <c r="AQ41" s="170">
        <f t="shared" si="83"/>
        <v>0.52626892252894031</v>
      </c>
      <c r="AR41" s="167">
        <f t="shared" si="83"/>
        <v>0.42990654205607476</v>
      </c>
      <c r="AS41" s="167">
        <f t="shared" si="83"/>
        <v>0.4580886278697277</v>
      </c>
      <c r="AT41" s="167">
        <f t="shared" si="83"/>
        <v>0.68955111278762726</v>
      </c>
      <c r="AU41" s="167">
        <f t="shared" si="83"/>
        <v>0.3576388888888889</v>
      </c>
      <c r="AV41" s="8">
        <f t="shared" si="83"/>
        <v>0</v>
      </c>
      <c r="AW41" s="8" t="str">
        <f t="shared" si="83"/>
        <v/>
      </c>
      <c r="AX41" s="8" t="str">
        <f t="shared" si="83"/>
        <v/>
      </c>
      <c r="AY41" s="8" t="str">
        <f t="shared" si="83"/>
        <v/>
      </c>
      <c r="AZ41" s="8" t="str">
        <f t="shared" si="83"/>
        <v/>
      </c>
      <c r="BA41" s="8">
        <f t="shared" si="84"/>
        <v>0.37065105063727177</v>
      </c>
      <c r="BB41" s="8">
        <f>IFERROR(BB29*2/(AQ17+2*SUM(AR17:INDEX(AR17:AT17,$B$2))-INDEX(AR17:AT17,$B$2)),"")</f>
        <v>1.6850467289719626</v>
      </c>
      <c r="BC41" s="8">
        <f>IFERROR(BC29*2/(AT17+2*SUM(AU17:INDEX(AU17:AW17,$B$2))-INDEX(AU17:AW17,$B$2)),"")</f>
        <v>0.3576388888888889</v>
      </c>
      <c r="BE41" s="8">
        <f>2*SUM(AO29:INDEX(AO29:AZ29,$A$2))/(SUM(AO17:INDEX(AO17:AZ17,$A$2))*2+Y17-INDEX(AO17:AZ17,$A$2))</f>
        <v>0.44221498371335505</v>
      </c>
      <c r="BF41" s="122">
        <f t="shared" si="85"/>
        <v>1.0774456292140528</v>
      </c>
      <c r="BG41" s="111">
        <f t="shared" si="85"/>
        <v>1.3311781168924024</v>
      </c>
      <c r="BH41" s="111">
        <f t="shared" si="85"/>
        <v>0.76842256296169187</v>
      </c>
      <c r="BI41" s="111">
        <f t="shared" si="85"/>
        <v>1.0818140033706143</v>
      </c>
      <c r="BJ41" s="111">
        <f t="shared" si="85"/>
        <v>0.99048260173170211</v>
      </c>
      <c r="BK41" s="111">
        <f t="shared" si="85"/>
        <v>1.2258686449557818</v>
      </c>
      <c r="BL41" s="111"/>
      <c r="BM41" s="111"/>
      <c r="BN41" s="111"/>
      <c r="BO41" s="111"/>
      <c r="BP41" s="111"/>
      <c r="BQ41" s="111"/>
      <c r="BR41" s="111">
        <f t="shared" ref="BR41:BR46" si="97">BA41/((N29+O29+P29)/(SUM(M17,N17,N17,O17,O17,P17)/2))</f>
        <v>0.90997899784115077</v>
      </c>
      <c r="BS41" s="111">
        <f t="shared" si="86"/>
        <v>4.2402405392982994</v>
      </c>
      <c r="BT41" s="111">
        <f t="shared" si="86"/>
        <v>0.88386439022489838</v>
      </c>
      <c r="BU41" s="111">
        <f t="shared" si="86"/>
        <v>0</v>
      </c>
      <c r="BV41" s="111">
        <f t="shared" si="87"/>
        <v>1.0319125027629894</v>
      </c>
      <c r="BX41" s="8"/>
    </row>
    <row r="42" spans="1:76" outlineLevel="1" x14ac:dyDescent="0.25">
      <c r="A42" t="s">
        <v>6</v>
      </c>
      <c r="B42" s="8">
        <f t="shared" si="78"/>
        <v>0.26044226044226043</v>
      </c>
      <c r="C42" s="8">
        <f t="shared" si="78"/>
        <v>0.24537037037037038</v>
      </c>
      <c r="D42" s="8">
        <f t="shared" si="78"/>
        <v>0.34134615384615385</v>
      </c>
      <c r="E42" s="8">
        <f t="shared" si="78"/>
        <v>0.31180400890868598</v>
      </c>
      <c r="F42" s="8">
        <f t="shared" si="78"/>
        <v>0.28774422735346361</v>
      </c>
      <c r="G42" s="8">
        <f t="shared" si="78"/>
        <v>0.33710407239819007</v>
      </c>
      <c r="H42" s="8">
        <f t="shared" si="78"/>
        <v>0.34782608695652173</v>
      </c>
      <c r="I42" s="8">
        <f t="shared" si="78"/>
        <v>0.26938775510204083</v>
      </c>
      <c r="J42" s="8">
        <f t="shared" si="78"/>
        <v>0.36864406779661019</v>
      </c>
      <c r="K42" s="8">
        <f t="shared" si="78"/>
        <v>0.35802469135802467</v>
      </c>
      <c r="L42" s="8">
        <f t="shared" si="78"/>
        <v>0.26769911504424782</v>
      </c>
      <c r="M42" s="8">
        <f t="shared" si="78"/>
        <v>0.41397153945666237</v>
      </c>
      <c r="N42" s="8">
        <f t="shared" si="79"/>
        <v>0.15260454878943508</v>
      </c>
      <c r="O42" s="8">
        <f t="shared" si="79"/>
        <v>0.14088050314465408</v>
      </c>
      <c r="P42" s="8">
        <f t="shared" si="79"/>
        <v>0.24685138539042822</v>
      </c>
      <c r="Q42" s="8">
        <f t="shared" si="79"/>
        <v>0.38940092165898615</v>
      </c>
      <c r="R42" s="8">
        <f t="shared" si="79"/>
        <v>0.26557377049180325</v>
      </c>
      <c r="S42" s="8">
        <f t="shared" si="79"/>
        <v>0.36221701795472289</v>
      </c>
      <c r="T42" s="8">
        <f t="shared" si="79"/>
        <v>0.29600394671928959</v>
      </c>
      <c r="U42" s="8">
        <f t="shared" si="79"/>
        <v>0.20689655172413793</v>
      </c>
      <c r="V42" s="8">
        <f t="shared" si="79"/>
        <v>0.31697341513292432</v>
      </c>
      <c r="W42" s="8">
        <f t="shared" si="79"/>
        <v>0.26117136659436008</v>
      </c>
      <c r="X42" s="8">
        <f t="shared" si="79"/>
        <v>0.2565573770491803</v>
      </c>
      <c r="Y42" s="8">
        <f t="shared" si="79"/>
        <v>0.30551053484602919</v>
      </c>
      <c r="Z42" s="139">
        <f>2*SUM(N30:INDEX(N30:Y30,$A$2))/(SUM(N18:INDEX(N18:Y18,$A$2))*2+M18-INDEX(N18:Y18,$A$2))</f>
        <v>0.26965161614891209</v>
      </c>
      <c r="AA42" s="8">
        <f t="shared" si="88"/>
        <v>0.18011214577483914</v>
      </c>
      <c r="AB42" s="8">
        <f>2*SUM(Q30:INDEX(Q30:S30,$B$2))/(P18+SUM(Q18:INDEX(Q18:S18,$B$2))*2-INDEX(Q18:S18,$B$2))</f>
        <v>0.38940092165898615</v>
      </c>
      <c r="AC42" s="8">
        <f t="shared" si="89"/>
        <v>0.27329130452545064</v>
      </c>
      <c r="AD42" s="8">
        <f t="shared" si="90"/>
        <v>0.27441309282985654</v>
      </c>
      <c r="AE42" s="8">
        <f>AVERAGE(B42:INDEX(B42:M42,$A$2))</f>
        <v>0.3045195971822352</v>
      </c>
      <c r="AF42" s="8">
        <f t="shared" si="91"/>
        <v>0.28238626155292823</v>
      </c>
      <c r="AG42" s="8">
        <f t="shared" si="92"/>
        <v>0.31221743622011322</v>
      </c>
      <c r="AH42" s="8">
        <f t="shared" si="93"/>
        <v>0.32861930328505756</v>
      </c>
      <c r="AI42" s="8">
        <f t="shared" si="94"/>
        <v>0.34656511528631162</v>
      </c>
      <c r="AJ42" s="31">
        <f t="shared" si="95"/>
        <v>-0.11450159975240248</v>
      </c>
      <c r="AK42" s="31">
        <f t="shared" si="81"/>
        <v>-0.36217808619885583</v>
      </c>
      <c r="AL42" s="31">
        <f t="shared" si="81"/>
        <v>0.24721068231582866</v>
      </c>
      <c r="AM42" s="31">
        <f t="shared" si="81"/>
        <v>-0.16836502970616185</v>
      </c>
      <c r="AN42" s="31">
        <f t="shared" si="81"/>
        <v>-0.20819182102863221</v>
      </c>
      <c r="AO42" s="170">
        <f t="shared" si="82"/>
        <v>0.15649676956209618</v>
      </c>
      <c r="AP42" s="170">
        <f t="shared" si="96"/>
        <v>0.11682476285571643</v>
      </c>
      <c r="AQ42" s="170">
        <f t="shared" si="83"/>
        <v>0.35400516795865633</v>
      </c>
      <c r="AR42" s="167">
        <f t="shared" si="83"/>
        <v>0.23839854413102821</v>
      </c>
      <c r="AS42" s="167">
        <f t="shared" si="83"/>
        <v>0.20343839541547279</v>
      </c>
      <c r="AT42" s="167">
        <f t="shared" si="83"/>
        <v>0.21503017004936917</v>
      </c>
      <c r="AU42" s="167">
        <f t="shared" si="83"/>
        <v>0.1875</v>
      </c>
      <c r="AV42" s="8">
        <f t="shared" si="83"/>
        <v>0</v>
      </c>
      <c r="AW42" s="8" t="str">
        <f t="shared" si="83"/>
        <v/>
      </c>
      <c r="AX42" s="8" t="str">
        <f t="shared" si="83"/>
        <v/>
      </c>
      <c r="AY42" s="8" t="str">
        <f t="shared" si="83"/>
        <v/>
      </c>
      <c r="AZ42" s="8" t="str">
        <f t="shared" si="83"/>
        <v/>
      </c>
      <c r="BA42" s="8">
        <f t="shared" si="84"/>
        <v>0.19220451317658199</v>
      </c>
      <c r="BB42" s="8">
        <f>IFERROR(BB30*2/(AQ18+2*SUM(AR18:INDEX(AR18:AT18,$B$2))-INDEX(AR18:AT18,$B$2)),"")</f>
        <v>0.61055505004549593</v>
      </c>
      <c r="BC42" s="8">
        <f>IFERROR(BC30*2/(AT18+2*SUM(AU18:INDEX(AU18:AW18,$B$2))-INDEX(AU18:AW18,$B$2)),"")</f>
        <v>0.1875</v>
      </c>
      <c r="BE42" s="8">
        <f>2*SUM(AO30:INDEX(AO30:AZ30,$A$2))/(SUM(AO18:INDEX(AO18:AZ18,$A$2))*2+Y18-INDEX(AO18:AZ18,$A$2))</f>
        <v>0.20247274660994416</v>
      </c>
      <c r="BF42" s="122">
        <f t="shared" si="85"/>
        <v>1.0255052736208514</v>
      </c>
      <c r="BG42" s="111">
        <f t="shared" si="85"/>
        <v>0.82924720062763002</v>
      </c>
      <c r="BH42" s="111">
        <f t="shared" si="85"/>
        <v>1.4340821599957811</v>
      </c>
      <c r="BI42" s="111">
        <f t="shared" si="85"/>
        <v>0.61221874646666419</v>
      </c>
      <c r="BJ42" s="111">
        <f t="shared" si="85"/>
        <v>0.76603346421875562</v>
      </c>
      <c r="BK42" s="111">
        <f t="shared" si="85"/>
        <v>0.59365010308888344</v>
      </c>
      <c r="BL42" s="111"/>
      <c r="BM42" s="111"/>
      <c r="BN42" s="111"/>
      <c r="BO42" s="111"/>
      <c r="BP42" s="111"/>
      <c r="BQ42" s="111"/>
      <c r="BR42" s="111">
        <f t="shared" si="97"/>
        <v>1.1748385913066195</v>
      </c>
      <c r="BS42" s="111">
        <f t="shared" si="86"/>
        <v>1.5679342705310371</v>
      </c>
      <c r="BT42" s="111">
        <f t="shared" si="86"/>
        <v>0.68608110428386793</v>
      </c>
      <c r="BU42" s="111">
        <f t="shared" si="86"/>
        <v>0</v>
      </c>
      <c r="BV42" s="111">
        <f t="shared" si="87"/>
        <v>0.75086791431700839</v>
      </c>
      <c r="BX42" s="8"/>
    </row>
    <row r="43" spans="1:76" outlineLevel="1" x14ac:dyDescent="0.25">
      <c r="A43" t="s">
        <v>7</v>
      </c>
      <c r="B43" s="8">
        <f t="shared" si="78"/>
        <v>0.21869488536155202</v>
      </c>
      <c r="C43" s="8">
        <f t="shared" si="78"/>
        <v>0.15064935064935064</v>
      </c>
      <c r="D43" s="8">
        <f t="shared" si="78"/>
        <v>0.21917808219178081</v>
      </c>
      <c r="E43" s="8">
        <f t="shared" si="78"/>
        <v>0.17944535073409462</v>
      </c>
      <c r="F43" s="8">
        <f t="shared" si="78"/>
        <v>0.25515947467166977</v>
      </c>
      <c r="G43" s="8">
        <f t="shared" si="78"/>
        <v>0.31846344485749689</v>
      </c>
      <c r="H43" s="8">
        <f t="shared" si="78"/>
        <v>0.28192771084337348</v>
      </c>
      <c r="I43" s="8">
        <f t="shared" si="78"/>
        <v>0.19347037484885127</v>
      </c>
      <c r="J43" s="8">
        <f t="shared" si="78"/>
        <v>0.32296650717703351</v>
      </c>
      <c r="K43" s="8">
        <f t="shared" si="78"/>
        <v>0.24764150943396226</v>
      </c>
      <c r="L43" s="8">
        <f t="shared" si="78"/>
        <v>0.29327453142227122</v>
      </c>
      <c r="M43" s="8">
        <f t="shared" si="78"/>
        <v>0.34606205250596661</v>
      </c>
      <c r="N43" s="8">
        <f t="shared" si="79"/>
        <v>0.15241057542768274</v>
      </c>
      <c r="O43" s="8">
        <f t="shared" si="79"/>
        <v>0.15180102915951973</v>
      </c>
      <c r="P43" s="8">
        <f t="shared" si="79"/>
        <v>0.1540041067761807</v>
      </c>
      <c r="Q43" s="8">
        <f t="shared" si="79"/>
        <v>0.11513463324048283</v>
      </c>
      <c r="R43" s="8">
        <f t="shared" si="79"/>
        <v>0.25380710659898476</v>
      </c>
      <c r="S43" s="8">
        <f t="shared" si="79"/>
        <v>0.25799793601651189</v>
      </c>
      <c r="T43" s="8">
        <f t="shared" si="79"/>
        <v>0.17298679164891351</v>
      </c>
      <c r="U43" s="8">
        <f t="shared" si="79"/>
        <v>0.19660582772974705</v>
      </c>
      <c r="V43" s="8">
        <f t="shared" si="79"/>
        <v>0.17437722419928825</v>
      </c>
      <c r="W43" s="8">
        <f t="shared" si="79"/>
        <v>0.12512873326467558</v>
      </c>
      <c r="X43" s="8">
        <f t="shared" si="79"/>
        <v>0.16029776674937965</v>
      </c>
      <c r="Y43" s="8">
        <f t="shared" si="79"/>
        <v>0.2209796466114963</v>
      </c>
      <c r="Z43" s="139">
        <f>2*SUM(N31:INDEX(N31:Y31,$A$2))/(SUM(N19:INDEX(N19:Y19,$A$2))*2+M19-INDEX(N19:Y19,$A$2))</f>
        <v>0.17862463734023368</v>
      </c>
      <c r="AA43" s="8">
        <f t="shared" si="88"/>
        <v>0.15273857045446107</v>
      </c>
      <c r="AB43" s="8">
        <f>2*SUM(Q31:INDEX(Q31:S31,$B$2))/(P19+SUM(Q19:INDEX(Q19:S19,$B$2))*2-INDEX(Q19:S19,$B$2))</f>
        <v>0.11513463324048283</v>
      </c>
      <c r="AC43" s="8">
        <f t="shared" si="89"/>
        <v>0.18132328119264959</v>
      </c>
      <c r="AD43" s="8">
        <f t="shared" si="90"/>
        <v>0.16880204887518382</v>
      </c>
      <c r="AE43" s="8">
        <f>AVERAGE(B43:INDEX(B43:M43,$A$2))</f>
        <v>0.23193118561561693</v>
      </c>
      <c r="AF43" s="8">
        <f t="shared" si="91"/>
        <v>0.19617410606756117</v>
      </c>
      <c r="AG43" s="8">
        <f t="shared" si="92"/>
        <v>0.25102275675442043</v>
      </c>
      <c r="AH43" s="8">
        <f t="shared" si="93"/>
        <v>0.26612153095641938</v>
      </c>
      <c r="AI43" s="8">
        <f t="shared" si="94"/>
        <v>0.29565936445406665</v>
      </c>
      <c r="AJ43" s="31">
        <f t="shared" si="95"/>
        <v>-0.22983777767483582</v>
      </c>
      <c r="AK43" s="31">
        <f t="shared" si="81"/>
        <v>-0.22141319506327284</v>
      </c>
      <c r="AL43" s="31">
        <f t="shared" si="81"/>
        <v>-0.54133786621935287</v>
      </c>
      <c r="AM43" s="31">
        <f t="shared" si="81"/>
        <v>-0.31864482914633663</v>
      </c>
      <c r="AN43" s="31">
        <f t="shared" si="81"/>
        <v>-0.42906577917166311</v>
      </c>
      <c r="AO43" s="170">
        <f t="shared" si="82"/>
        <v>0.10175288584865327</v>
      </c>
      <c r="AP43" s="170">
        <f t="shared" si="96"/>
        <v>0.16510538641686182</v>
      </c>
      <c r="AQ43" s="170">
        <f t="shared" si="83"/>
        <v>0.12029109589041095</v>
      </c>
      <c r="AR43" s="167">
        <f t="shared" si="83"/>
        <v>0.12291169451073986</v>
      </c>
      <c r="AS43" s="167">
        <f t="shared" si="83"/>
        <v>0.13220815752461323</v>
      </c>
      <c r="AT43" s="167">
        <f t="shared" si="83"/>
        <v>0.10727228799226866</v>
      </c>
      <c r="AU43" s="167">
        <f t="shared" si="83"/>
        <v>0.10455402856372946</v>
      </c>
      <c r="AV43" s="8">
        <f t="shared" si="83"/>
        <v>0</v>
      </c>
      <c r="AW43" s="8" t="str">
        <f t="shared" si="83"/>
        <v/>
      </c>
      <c r="AX43" s="8" t="str">
        <f t="shared" si="83"/>
        <v/>
      </c>
      <c r="AY43" s="8" t="str">
        <f t="shared" si="83"/>
        <v/>
      </c>
      <c r="AZ43" s="8" t="str">
        <f t="shared" si="83"/>
        <v/>
      </c>
      <c r="BA43" s="8">
        <f>IFERROR(BA31/(AVERAGE(Y19,AO19)+AVERAGE(AO19,AP19)+AVERAGE(AQ19,AP19)),"")</f>
        <v>0.13016443277601217</v>
      </c>
      <c r="BB43" s="8">
        <f>IFERROR(BB31*2/(AQ19+2*SUM(AR19:INDEX(AR19:AT19,$B$2))-INDEX(AR19:AT19,$B$2)),"")</f>
        <v>0.39558472553699287</v>
      </c>
      <c r="BC43" s="8">
        <f>IFERROR(BC31*2/(AT19+2*SUM(AU19:INDEX(AU19:AW19,$B$2))-INDEX(AU19:AW19,$B$2)),"")</f>
        <v>0.10455402856372946</v>
      </c>
      <c r="BE43" s="8">
        <f>2*SUM(AO31:INDEX(AO31:AZ31,$A$2))/(SUM(AO19:INDEX(AO19:AZ19,$A$2))*2+Y19-INDEX(AO19:AZ19,$A$2))</f>
        <v>0.12308850193287947</v>
      </c>
      <c r="BF43" s="122">
        <f t="shared" si="85"/>
        <v>0.66762352653759238</v>
      </c>
      <c r="BG43" s="111">
        <f t="shared" si="85"/>
        <v>1.0876433930059937</v>
      </c>
      <c r="BH43" s="111">
        <f t="shared" si="85"/>
        <v>0.7810901826484018</v>
      </c>
      <c r="BI43" s="111">
        <f t="shared" si="85"/>
        <v>1.0675475402263452</v>
      </c>
      <c r="BJ43" s="111">
        <f t="shared" si="85"/>
        <v>0.52090014064697621</v>
      </c>
      <c r="BK43" s="111">
        <f t="shared" si="85"/>
        <v>0.4157873882580333</v>
      </c>
      <c r="BL43" s="111"/>
      <c r="BM43" s="111"/>
      <c r="BN43" s="111"/>
      <c r="BO43" s="111"/>
      <c r="BP43" s="111"/>
      <c r="BQ43" s="111"/>
      <c r="BR43" s="111">
        <f t="shared" si="97"/>
        <v>0.85252211298128633</v>
      </c>
      <c r="BS43" s="111">
        <f t="shared" si="86"/>
        <v>3.4358447532527525</v>
      </c>
      <c r="BT43" s="111">
        <f t="shared" si="86"/>
        <v>0.57661668085878337</v>
      </c>
      <c r="BU43" s="111">
        <f t="shared" si="86"/>
        <v>0</v>
      </c>
      <c r="BV43" s="111">
        <f t="shared" si="87"/>
        <v>0.68909028320896037</v>
      </c>
      <c r="BX43" s="8"/>
    </row>
    <row r="44" spans="1:76" outlineLevel="1" x14ac:dyDescent="0.25">
      <c r="A44" t="s">
        <v>8</v>
      </c>
      <c r="B44" s="8">
        <f t="shared" si="78"/>
        <v>0.15976331360946747</v>
      </c>
      <c r="C44" s="8">
        <f t="shared" si="78"/>
        <v>0.12720156555772993</v>
      </c>
      <c r="D44" s="8">
        <f t="shared" si="78"/>
        <v>0.21088435374149661</v>
      </c>
      <c r="E44" s="8">
        <f t="shared" si="78"/>
        <v>0.21547799696509864</v>
      </c>
      <c r="F44" s="8">
        <f t="shared" si="78"/>
        <v>0.27245508982035926</v>
      </c>
      <c r="G44" s="8">
        <f t="shared" si="78"/>
        <v>0.28830645161290325</v>
      </c>
      <c r="H44" s="8">
        <f t="shared" si="78"/>
        <v>0.27049180327868855</v>
      </c>
      <c r="I44" s="8">
        <f t="shared" si="78"/>
        <v>0.22116903633491311</v>
      </c>
      <c r="J44" s="8">
        <f t="shared" si="78"/>
        <v>0.36568213783403658</v>
      </c>
      <c r="K44" s="8">
        <f t="shared" si="78"/>
        <v>0.24552429667519182</v>
      </c>
      <c r="L44" s="8">
        <f t="shared" si="78"/>
        <v>0.27486187845303867</v>
      </c>
      <c r="M44" s="8">
        <f t="shared" si="78"/>
        <v>0.31700680272108844</v>
      </c>
      <c r="N44" s="8">
        <f t="shared" si="79"/>
        <v>0.15224063842848373</v>
      </c>
      <c r="O44" s="8">
        <f t="shared" si="79"/>
        <v>0.13496932515337423</v>
      </c>
      <c r="P44" s="8">
        <f t="shared" si="79"/>
        <v>0.25184456468273486</v>
      </c>
      <c r="Q44" s="8">
        <f t="shared" si="79"/>
        <v>0.16524472384373598</v>
      </c>
      <c r="R44" s="8">
        <f t="shared" si="79"/>
        <v>0.12979351032448377</v>
      </c>
      <c r="S44" s="8">
        <f t="shared" si="79"/>
        <v>0.15099337748344371</v>
      </c>
      <c r="T44" s="8">
        <f t="shared" si="79"/>
        <v>0.17397998460354119</v>
      </c>
      <c r="U44" s="8">
        <f t="shared" si="79"/>
        <v>0.18213866039952997</v>
      </c>
      <c r="V44" s="8">
        <f t="shared" si="79"/>
        <v>0.16511318242343542</v>
      </c>
      <c r="W44" s="8">
        <f t="shared" si="79"/>
        <v>0.11564407324124638</v>
      </c>
      <c r="X44" s="8">
        <f t="shared" si="79"/>
        <v>8.2213438735177863E-2</v>
      </c>
      <c r="Y44" s="8">
        <f t="shared" si="79"/>
        <v>0.15712187958883994</v>
      </c>
      <c r="Z44" s="139">
        <f>2*SUM(N32:INDEX(N32:Y32,$A$2))/(SUM(N20:INDEX(N20:Y20,$A$2))*2+M20-INDEX(N20:Y20,$A$2))</f>
        <v>0.16670658682634731</v>
      </c>
      <c r="AA44" s="8">
        <f t="shared" si="88"/>
        <v>0.17968484275486429</v>
      </c>
      <c r="AB44" s="8">
        <f>2*SUM(Q32:INDEX(Q32:S32,$B$2))/(P20+SUM(Q20:INDEX(Q20:S20,$B$2))*2-INDEX(Q20:S20,$B$2))</f>
        <v>0.16524472384373598</v>
      </c>
      <c r="AC44" s="8">
        <f t="shared" si="89"/>
        <v>0.17374394247550221</v>
      </c>
      <c r="AD44" s="8">
        <f t="shared" si="90"/>
        <v>0.11832646385508806</v>
      </c>
      <c r="AE44" s="8">
        <f>AVERAGE(B44:INDEX(B44:M44,$A$2))</f>
        <v>0.22065436779796335</v>
      </c>
      <c r="AF44" s="8">
        <f t="shared" si="91"/>
        <v>0.16594974430289799</v>
      </c>
      <c r="AG44" s="8">
        <f t="shared" si="92"/>
        <v>0.25874651279945371</v>
      </c>
      <c r="AH44" s="8">
        <f t="shared" si="93"/>
        <v>0.28578099248254607</v>
      </c>
      <c r="AI44" s="8">
        <f t="shared" si="94"/>
        <v>0.27913099261643964</v>
      </c>
      <c r="AJ44" s="31">
        <f t="shared" si="95"/>
        <v>-0.24448997547608931</v>
      </c>
      <c r="AK44" s="31">
        <f t="shared" si="81"/>
        <v>8.2766614131664307E-2</v>
      </c>
      <c r="AL44" s="31">
        <f t="shared" si="81"/>
        <v>-0.36136444098934783</v>
      </c>
      <c r="AM44" s="31">
        <f t="shared" si="81"/>
        <v>-0.39203814443287888</v>
      </c>
      <c r="AN44" s="31">
        <f t="shared" si="81"/>
        <v>-0.57608983959125171</v>
      </c>
      <c r="AO44" s="170">
        <f t="shared" si="82"/>
        <v>6.5412186379928322E-2</v>
      </c>
      <c r="AP44" s="170">
        <f t="shared" si="96"/>
        <v>0.13403416557161629</v>
      </c>
      <c r="AQ44" s="170">
        <f t="shared" si="83"/>
        <v>0.23483619850794679</v>
      </c>
      <c r="AR44" s="167">
        <f t="shared" si="83"/>
        <v>0.1256106071179344</v>
      </c>
      <c r="AS44" s="167">
        <f t="shared" si="83"/>
        <v>0.10064635272391505</v>
      </c>
      <c r="AT44" s="167">
        <f t="shared" si="83"/>
        <v>0.11804384485666104</v>
      </c>
      <c r="AU44" s="167">
        <f t="shared" si="83"/>
        <v>0.13390139987827146</v>
      </c>
      <c r="AV44" s="8">
        <f t="shared" si="83"/>
        <v>0</v>
      </c>
      <c r="AW44" s="8" t="str">
        <f t="shared" si="83"/>
        <v/>
      </c>
      <c r="AX44" s="8" t="str">
        <f t="shared" si="83"/>
        <v/>
      </c>
      <c r="AY44" s="8" t="str">
        <f t="shared" si="83"/>
        <v/>
      </c>
      <c r="AZ44" s="8" t="str">
        <f t="shared" si="83"/>
        <v/>
      </c>
      <c r="BA44" s="8">
        <f t="shared" ref="BA44:BA48" si="98">IFERROR(BA32/(AVERAGE(Y20,AO20)+AVERAGE(AO20,AP20)+AVERAGE(AQ20,AP20)),"")</f>
        <v>0.13442565186751232</v>
      </c>
      <c r="BB44" s="8">
        <f>IFERROR(BB32*2/(AQ20+2*SUM(AR20:INDEX(AR20:AT20,$B$2))-INDEX(AR20:AT20,$B$2)),"")</f>
        <v>0.27494766224703421</v>
      </c>
      <c r="BC44" s="8">
        <f>IFERROR(BC32*2/(AT20+2*SUM(AU20:INDEX(AU20:AW20,$B$2))-INDEX(AU20:AW20,$B$2)),"")</f>
        <v>0.13390139987827146</v>
      </c>
      <c r="BE44" s="8">
        <f>2*SUM(AO32:INDEX(AO32:AZ32,$A$2))/(SUM(AO20:INDEX(AO20:AZ20,$A$2))*2+Y20-INDEX(AO20:AZ20,$A$2))</f>
        <v>0.12794102797132181</v>
      </c>
      <c r="BF44" s="122">
        <f t="shared" si="85"/>
        <v>0.42966311134235174</v>
      </c>
      <c r="BG44" s="111">
        <f t="shared" si="85"/>
        <v>0.99307131764424805</v>
      </c>
      <c r="BH44" s="111">
        <f t="shared" si="85"/>
        <v>0.93246482727862467</v>
      </c>
      <c r="BI44" s="111">
        <f t="shared" si="85"/>
        <v>0.76014897296641271</v>
      </c>
      <c r="BJ44" s="111">
        <f t="shared" si="85"/>
        <v>0.7754343993956182</v>
      </c>
      <c r="BK44" s="111">
        <f t="shared" si="85"/>
        <v>0.78178160409455333</v>
      </c>
      <c r="BL44" s="111"/>
      <c r="BM44" s="111"/>
      <c r="BN44" s="111"/>
      <c r="BO44" s="111"/>
      <c r="BP44" s="111"/>
      <c r="BQ44" s="111"/>
      <c r="BR44" s="111">
        <f t="shared" si="97"/>
        <v>0.73182827438850273</v>
      </c>
      <c r="BS44" s="111">
        <f t="shared" si="86"/>
        <v>1.6638816408264814</v>
      </c>
      <c r="BT44" s="111">
        <f t="shared" si="86"/>
        <v>0.77068240751559713</v>
      </c>
      <c r="BU44" s="111">
        <f t="shared" si="86"/>
        <v>0</v>
      </c>
      <c r="BV44" s="111">
        <f t="shared" si="87"/>
        <v>0.76746234451188011</v>
      </c>
      <c r="BX44" s="8"/>
    </row>
    <row r="45" spans="1:76" outlineLevel="1" x14ac:dyDescent="0.25">
      <c r="A45" t="s">
        <v>1</v>
      </c>
      <c r="B45" s="8">
        <f t="shared" si="78"/>
        <v>0.17166212534059946</v>
      </c>
      <c r="C45" s="8">
        <f t="shared" si="78"/>
        <v>0.13501144164759726</v>
      </c>
      <c r="D45" s="8">
        <f t="shared" si="78"/>
        <v>0.13358778625954199</v>
      </c>
      <c r="E45" s="8">
        <f t="shared" si="78"/>
        <v>0.18791946308724833</v>
      </c>
      <c r="F45" s="8">
        <f t="shared" si="78"/>
        <v>0.25912408759124089</v>
      </c>
      <c r="G45" s="8">
        <f t="shared" si="78"/>
        <v>0.27422303473491771</v>
      </c>
      <c r="H45" s="8">
        <f t="shared" si="78"/>
        <v>0.27969348659003829</v>
      </c>
      <c r="I45" s="8">
        <f t="shared" si="78"/>
        <v>0.22661870503597123</v>
      </c>
      <c r="J45" s="8">
        <f t="shared" si="78"/>
        <v>0.41682974559686886</v>
      </c>
      <c r="K45" s="8">
        <f t="shared" si="78"/>
        <v>0.30629139072847683</v>
      </c>
      <c r="L45" s="8">
        <f t="shared" si="78"/>
        <v>0.31504922644163152</v>
      </c>
      <c r="M45" s="8">
        <f t="shared" si="78"/>
        <v>0.35146443514644349</v>
      </c>
      <c r="N45" s="8">
        <f t="shared" si="79"/>
        <v>0.13077939233817701</v>
      </c>
      <c r="O45" s="8">
        <f t="shared" si="79"/>
        <v>0.13165769000598443</v>
      </c>
      <c r="P45" s="8">
        <f t="shared" si="79"/>
        <v>0.20792079207920791</v>
      </c>
      <c r="Q45" s="8">
        <f t="shared" si="79"/>
        <v>0.18163869693978282</v>
      </c>
      <c r="R45" s="8">
        <f t="shared" si="79"/>
        <v>0.17621980104216012</v>
      </c>
      <c r="S45" s="8">
        <f t="shared" si="79"/>
        <v>0.21156432093231733</v>
      </c>
      <c r="T45" s="8">
        <f t="shared" si="79"/>
        <v>0.13830227743271223</v>
      </c>
      <c r="U45" s="8">
        <f t="shared" si="79"/>
        <v>0.11882046834345186</v>
      </c>
      <c r="V45" s="8">
        <f t="shared" si="79"/>
        <v>0.13398058252427184</v>
      </c>
      <c r="W45" s="8">
        <f t="shared" si="79"/>
        <v>0.11239337681886603</v>
      </c>
      <c r="X45" s="8">
        <f t="shared" si="79"/>
        <v>0.13240740740740742</v>
      </c>
      <c r="Y45" s="8">
        <f t="shared" si="79"/>
        <v>0.21205643437366395</v>
      </c>
      <c r="Z45" s="139">
        <f>2*SUM(N33:INDEX(N33:Y33,$A$2))/(SUM(N21:INDEX(N21:Y21,$A$2))*2+M21-INDEX(N21:Y21,$A$2))</f>
        <v>0.16988248948208326</v>
      </c>
      <c r="AA45" s="8">
        <f t="shared" si="88"/>
        <v>0.15678595814112309</v>
      </c>
      <c r="AB45" s="8">
        <f>2*SUM(Q33:INDEX(Q33:S33,$B$2))/(P21+SUM(Q21:INDEX(Q21:S21,$B$2))*2-INDEX(Q21:S21,$B$2))</f>
        <v>0.18163869693978282</v>
      </c>
      <c r="AC45" s="8">
        <f t="shared" si="89"/>
        <v>0.1303677761001453</v>
      </c>
      <c r="AD45" s="8">
        <f t="shared" si="90"/>
        <v>0.15228573953331245</v>
      </c>
      <c r="AE45" s="8">
        <f>AVERAGE(B45:INDEX(B45:M45,$A$2))</f>
        <v>0.2058887750358834</v>
      </c>
      <c r="AF45" s="8">
        <f t="shared" si="91"/>
        <v>0.14675378441591289</v>
      </c>
      <c r="AG45" s="8">
        <f t="shared" si="92"/>
        <v>0.2404221951378023</v>
      </c>
      <c r="AH45" s="8">
        <f t="shared" si="93"/>
        <v>0.30771397907429282</v>
      </c>
      <c r="AI45" s="8">
        <f t="shared" si="94"/>
        <v>0.32426835077218397</v>
      </c>
      <c r="AJ45" s="31">
        <f t="shared" si="95"/>
        <v>-0.17488221758337619</v>
      </c>
      <c r="AK45" s="31">
        <f t="shared" si="81"/>
        <v>6.8360579354997508E-2</v>
      </c>
      <c r="AL45" s="31">
        <f t="shared" si="81"/>
        <v>-0.2445011292086684</v>
      </c>
      <c r="AM45" s="31">
        <f t="shared" si="81"/>
        <v>-0.57633456727466381</v>
      </c>
      <c r="AN45" s="31">
        <f t="shared" si="81"/>
        <v>-0.53037125217224357</v>
      </c>
      <c r="AO45" s="170">
        <f t="shared" si="82"/>
        <v>5.1013277428371771E-2</v>
      </c>
      <c r="AP45" s="170">
        <f t="shared" si="96"/>
        <v>8.2529888160431927E-2</v>
      </c>
      <c r="AQ45" s="170">
        <f t="shared" si="83"/>
        <v>0.16767676767676767</v>
      </c>
      <c r="AR45" s="167">
        <f t="shared" si="83"/>
        <v>0.13865336658354116</v>
      </c>
      <c r="AS45" s="167">
        <f t="shared" si="83"/>
        <v>0.11329812770043207</v>
      </c>
      <c r="AT45" s="167">
        <f t="shared" si="83"/>
        <v>0.10051546391752578</v>
      </c>
      <c r="AU45" s="167">
        <f t="shared" si="83"/>
        <v>8.1510081510081517E-2</v>
      </c>
      <c r="AV45" s="8">
        <f t="shared" si="83"/>
        <v>0</v>
      </c>
      <c r="AW45" s="8" t="str">
        <f t="shared" si="83"/>
        <v/>
      </c>
      <c r="AX45" s="8" t="str">
        <f t="shared" si="83"/>
        <v/>
      </c>
      <c r="AY45" s="8" t="str">
        <f t="shared" si="83"/>
        <v/>
      </c>
      <c r="AZ45" s="8" t="str">
        <f t="shared" si="83"/>
        <v/>
      </c>
      <c r="BA45" s="8">
        <f t="shared" si="98"/>
        <v>9.3073301950235374E-2</v>
      </c>
      <c r="BB45" s="8">
        <f>IFERROR(BB33*2/(AQ21+2*SUM(AR21:INDEX(AR21:AT21,$B$2))-INDEX(AR21:AT21,$B$2)),"")</f>
        <v>0.37306733167082295</v>
      </c>
      <c r="BC45" s="8">
        <f>IFERROR(BC33*2/(AT21+2*SUM(AU21:INDEX(AU21:AW21,$B$2))-INDEX(AU21:AW21,$B$2)),"")</f>
        <v>8.1510081510081517E-2</v>
      </c>
      <c r="BE45" s="8">
        <f>2*SUM(AO33:INDEX(AO33:AZ33,$A$2))/(SUM(AO21:INDEX(AO21:AZ21,$A$2))*2+Y21-INDEX(AO21:AZ21,$A$2))</f>
        <v>0.10072920528982821</v>
      </c>
      <c r="BF45" s="122">
        <f t="shared" si="85"/>
        <v>0.39007122235633768</v>
      </c>
      <c r="BG45" s="111">
        <f t="shared" si="85"/>
        <v>0.62685201416400804</v>
      </c>
      <c r="BH45" s="111">
        <f t="shared" si="85"/>
        <v>0.80644540644540652</v>
      </c>
      <c r="BI45" s="111">
        <f t="shared" si="85"/>
        <v>0.7633470671148217</v>
      </c>
      <c r="BJ45" s="111">
        <f t="shared" si="85"/>
        <v>0.64293641821401104</v>
      </c>
      <c r="BK45" s="111">
        <f t="shared" si="85"/>
        <v>0.47510593220338987</v>
      </c>
      <c r="BL45" s="111"/>
      <c r="BM45" s="111"/>
      <c r="BN45" s="111"/>
      <c r="BO45" s="111"/>
      <c r="BP45" s="111"/>
      <c r="BQ45" s="111"/>
      <c r="BR45" s="111">
        <f t="shared" si="97"/>
        <v>0.58498207243345179</v>
      </c>
      <c r="BS45" s="111">
        <f t="shared" si="86"/>
        <v>2.0538978640355632</v>
      </c>
      <c r="BT45" s="111">
        <f t="shared" si="86"/>
        <v>0.6252318168522526</v>
      </c>
      <c r="BU45" s="111">
        <f t="shared" si="86"/>
        <v>0</v>
      </c>
      <c r="BV45" s="111">
        <f t="shared" si="87"/>
        <v>0.59293459612535082</v>
      </c>
      <c r="BX45" s="8"/>
    </row>
    <row r="46" spans="1:76" outlineLevel="1" x14ac:dyDescent="0.25">
      <c r="A46" t="s">
        <v>2</v>
      </c>
      <c r="B46" s="8">
        <f t="shared" si="78"/>
        <v>0.1419753086419753</v>
      </c>
      <c r="C46" s="8">
        <f t="shared" si="78"/>
        <v>0.10119047619047619</v>
      </c>
      <c r="D46" s="8">
        <f t="shared" si="78"/>
        <v>0.11976047904191617</v>
      </c>
      <c r="E46" s="8">
        <f t="shared" si="78"/>
        <v>0.12650602409638553</v>
      </c>
      <c r="F46" s="8">
        <f t="shared" si="78"/>
        <v>0.21243523316062177</v>
      </c>
      <c r="G46" s="8">
        <f t="shared" si="78"/>
        <v>0.16949152542372881</v>
      </c>
      <c r="H46" s="8">
        <f t="shared" si="78"/>
        <v>0.19130434782608696</v>
      </c>
      <c r="I46" s="8">
        <f t="shared" si="78"/>
        <v>0.21224489795918366</v>
      </c>
      <c r="J46" s="8">
        <f t="shared" si="78"/>
        <v>0.40357142857142858</v>
      </c>
      <c r="K46" s="8">
        <f t="shared" si="78"/>
        <v>0.25</v>
      </c>
      <c r="L46" s="8">
        <f t="shared" si="78"/>
        <v>0.38109756097560976</v>
      </c>
      <c r="M46" s="8">
        <f t="shared" si="78"/>
        <v>0.36269430051813473</v>
      </c>
      <c r="N46" s="8">
        <f t="shared" si="79"/>
        <v>0.13443396226415094</v>
      </c>
      <c r="O46" s="8">
        <f t="shared" si="79"/>
        <v>0.10420841683366733</v>
      </c>
      <c r="P46" s="8">
        <f t="shared" si="79"/>
        <v>0.19557195571955718</v>
      </c>
      <c r="Q46" s="8">
        <f t="shared" si="79"/>
        <v>0.14529914529914531</v>
      </c>
      <c r="R46" s="8">
        <f t="shared" si="79"/>
        <v>0.1595900439238653</v>
      </c>
      <c r="S46" s="8">
        <f t="shared" si="79"/>
        <v>0.22996057818659657</v>
      </c>
      <c r="T46" s="8">
        <f t="shared" si="79"/>
        <v>0.14932680538555693</v>
      </c>
      <c r="U46" s="8">
        <f t="shared" si="79"/>
        <v>0.15247634947134112</v>
      </c>
      <c r="V46" s="8">
        <f t="shared" si="79"/>
        <v>0.15478615071283094</v>
      </c>
      <c r="W46" s="8">
        <f t="shared" si="79"/>
        <v>0.14134924277191371</v>
      </c>
      <c r="X46" s="8">
        <f t="shared" si="79"/>
        <v>0.1317467063323417</v>
      </c>
      <c r="Y46" s="8">
        <f t="shared" si="79"/>
        <v>0.2</v>
      </c>
      <c r="Z46" s="139">
        <f>2*SUM(N34:INDEX(N34:Y34,$A$2))/(SUM(N22:INDEX(N22:Y22,$A$2))*2+M22-INDEX(N22:Y22,$A$2))</f>
        <v>0.16376710739967526</v>
      </c>
      <c r="AA46" s="8">
        <f t="shared" si="88"/>
        <v>0.14473811160579184</v>
      </c>
      <c r="AB46" s="8">
        <f>2*SUM(Q34:INDEX(Q34:S34,$B$2))/(P22+SUM(Q22:INDEX(Q22:S22,$B$2))*2-INDEX(Q22:S22,$B$2))</f>
        <v>0.14529914529914531</v>
      </c>
      <c r="AC46" s="8">
        <f t="shared" si="89"/>
        <v>0.15219643518990966</v>
      </c>
      <c r="AD46" s="8">
        <f t="shared" si="90"/>
        <v>0.15769864970141848</v>
      </c>
      <c r="AE46" s="8">
        <f>AVERAGE(B46:INDEX(B46:M46,$A$2))</f>
        <v>0.15180905634017011</v>
      </c>
      <c r="AF46" s="8">
        <f t="shared" si="91"/>
        <v>0.12097542129145589</v>
      </c>
      <c r="AG46" s="8">
        <f t="shared" si="92"/>
        <v>0.16947759422691203</v>
      </c>
      <c r="AH46" s="8">
        <f t="shared" si="93"/>
        <v>0.26904022478556638</v>
      </c>
      <c r="AI46" s="8">
        <f t="shared" si="94"/>
        <v>0.33126395383124813</v>
      </c>
      <c r="AJ46" s="31">
        <f t="shared" si="95"/>
        <v>7.8770340503993674E-2</v>
      </c>
      <c r="AK46" s="31">
        <f t="shared" si="81"/>
        <v>0.19642577029830299</v>
      </c>
      <c r="AL46" s="31">
        <f t="shared" si="81"/>
        <v>-0.14266457485462303</v>
      </c>
      <c r="AM46" s="31">
        <f t="shared" si="81"/>
        <v>-0.43429858746507122</v>
      </c>
      <c r="AN46" s="31">
        <f t="shared" si="81"/>
        <v>-0.52394865822994729</v>
      </c>
      <c r="AO46" s="170">
        <f t="shared" si="82"/>
        <v>7.3658365485794464E-2</v>
      </c>
      <c r="AP46" s="170">
        <f t="shared" si="96"/>
        <v>9.8332620778110308E-2</v>
      </c>
      <c r="AQ46" s="170">
        <f t="shared" si="83"/>
        <v>0.16483516483516483</v>
      </c>
      <c r="AR46" s="167">
        <f t="shared" si="83"/>
        <v>0.16990920881971466</v>
      </c>
      <c r="AS46" s="167">
        <f t="shared" si="83"/>
        <v>0.1492338441039307</v>
      </c>
      <c r="AT46" s="167">
        <f t="shared" si="83"/>
        <v>0.13049095607235142</v>
      </c>
      <c r="AU46" s="167">
        <f t="shared" si="83"/>
        <v>0.11545399879735418</v>
      </c>
      <c r="AV46" s="8">
        <f t="shared" si="83"/>
        <v>0</v>
      </c>
      <c r="AW46" s="8" t="str">
        <f t="shared" si="83"/>
        <v/>
      </c>
      <c r="AX46" s="8" t="str">
        <f t="shared" si="83"/>
        <v/>
      </c>
      <c r="AY46" s="8" t="str">
        <f t="shared" si="83"/>
        <v/>
      </c>
      <c r="AZ46" s="8" t="str">
        <f t="shared" si="83"/>
        <v/>
      </c>
      <c r="BA46" s="8">
        <f t="shared" si="98"/>
        <v>0.10398359695371998</v>
      </c>
      <c r="BB46" s="8">
        <f>IFERROR(BB34*2/(AQ22+2*SUM(AR22:INDEX(AR22:AT22,$B$2))-INDEX(AR22:AT22,$B$2)),"")</f>
        <v>0.4461738002594034</v>
      </c>
      <c r="BC46" s="8">
        <f>IFERROR(BC34*2/(AT22+2*SUM(AU22:INDEX(AU22:AW22,$B$2))-INDEX(AU22:AW22,$B$2)),"")</f>
        <v>0.11545399879735418</v>
      </c>
      <c r="BE46" s="8">
        <f>2*SUM(AO34:INDEX(AO34:AZ34,$A$2))/(SUM(AO22:INDEX(AO22:AZ22,$A$2))*2+Y22-INDEX(AO22:AZ22,$A$2))</f>
        <v>0.12154104876930133</v>
      </c>
      <c r="BF46" s="122">
        <f t="shared" si="85"/>
        <v>0.54791485905222548</v>
      </c>
      <c r="BG46" s="111">
        <f t="shared" si="85"/>
        <v>0.94361495708225085</v>
      </c>
      <c r="BH46" s="111">
        <f t="shared" si="85"/>
        <v>0.84283640887414479</v>
      </c>
      <c r="BI46" s="111">
        <f t="shared" si="85"/>
        <v>1.1693751430533303</v>
      </c>
      <c r="BJ46" s="111">
        <f t="shared" si="85"/>
        <v>0.93510748186224468</v>
      </c>
      <c r="BK46" s="111">
        <f t="shared" si="85"/>
        <v>0.56744924326319679</v>
      </c>
      <c r="BL46" s="111"/>
      <c r="BM46" s="111"/>
      <c r="BN46" s="111"/>
      <c r="BO46" s="111"/>
      <c r="BP46" s="111"/>
      <c r="BQ46" s="111"/>
      <c r="BR46" s="111">
        <f t="shared" si="97"/>
        <v>0.70853939319627801</v>
      </c>
      <c r="BS46" s="111">
        <f t="shared" si="86"/>
        <v>3.0707255664911877</v>
      </c>
      <c r="BT46" s="111">
        <f t="shared" si="86"/>
        <v>0.75858543370803322</v>
      </c>
      <c r="BU46" s="111">
        <f t="shared" si="86"/>
        <v>0</v>
      </c>
      <c r="BV46" s="111">
        <f t="shared" si="87"/>
        <v>0.74215787711679604</v>
      </c>
      <c r="BX46" s="8"/>
    </row>
    <row r="47" spans="1:76" outlineLevel="1" x14ac:dyDescent="0.25">
      <c r="A47" s="135" t="s">
        <v>136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31"/>
      <c r="AK47" s="31"/>
      <c r="AL47" s="31"/>
      <c r="AM47" s="31"/>
      <c r="AN47" s="31"/>
      <c r="AO47" s="170"/>
      <c r="AP47" s="170">
        <f>IFERROR(AP35/(SUM(AO23,AP23)/2),"")</f>
        <v>8.3262531860662709E-2</v>
      </c>
      <c r="AQ47" s="170">
        <f t="shared" ref="AQ47:AT47" si="99">IFERROR(AQ35/AVERAGE(AP23,AQ23),"")</f>
        <v>3.0614300100704935E-2</v>
      </c>
      <c r="AR47" s="167">
        <f t="shared" si="99"/>
        <v>4.9123956115932538E-2</v>
      </c>
      <c r="AS47" s="167">
        <f t="shared" si="99"/>
        <v>1.7778957144752555E-2</v>
      </c>
      <c r="AT47" s="167">
        <f t="shared" si="99"/>
        <v>1.2823397075365579E-2</v>
      </c>
      <c r="AU47" s="167">
        <f t="shared" si="83"/>
        <v>9.716901803232739E-3</v>
      </c>
      <c r="BA47" s="8">
        <f>IFERROR(BA35/(SUM(AO23,AP23,AP23,AQ23)/2),"")</f>
        <v>4.7547479163820197E-2</v>
      </c>
      <c r="BB47" s="8">
        <f>IFERROR(BB35*2/(AQ23+2*SUM(AR23:INDEX(AR23:AT23,$B$2))-INDEX(AR23:AT23,$B$2)),"")</f>
        <v>8.9733093171770098E-2</v>
      </c>
      <c r="BC47" s="8">
        <f>IFERROR(BC35*2/(AT23+2*SUM(AU23:INDEX(AU23:AW23,$B$2))-INDEX(AU23:AW23,$B$2)),"")</f>
        <v>9.716901803232739E-3</v>
      </c>
      <c r="BE47" s="8">
        <f>2*SUM(AO35:INDEX(AO35:AZ35,$A$2))/(SUM(AO23:INDEX(AO23:AZ23,$A$2))*2+Y23-INDEX(AO23:AZ23,$A$2))</f>
        <v>2.4657264029983233E-2</v>
      </c>
      <c r="BF47" s="122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X47" s="8"/>
    </row>
    <row r="48" spans="1:76" s="17" customFormat="1" x14ac:dyDescent="0.25">
      <c r="A48" s="1" t="s">
        <v>3</v>
      </c>
      <c r="B48" s="9">
        <f t="shared" ref="B48:M48" si="100">IFERROR(B36/B24,"")</f>
        <v>0.22315705128205129</v>
      </c>
      <c r="C48" s="9">
        <f t="shared" si="100"/>
        <v>0.17981438515081208</v>
      </c>
      <c r="D48" s="9">
        <f t="shared" si="100"/>
        <v>0.22887700534759359</v>
      </c>
      <c r="E48" s="9">
        <f t="shared" si="100"/>
        <v>0.23747207149696775</v>
      </c>
      <c r="F48" s="9">
        <f t="shared" si="100"/>
        <v>0.28923177938279709</v>
      </c>
      <c r="G48" s="9">
        <f t="shared" si="100"/>
        <v>0.3218316672041277</v>
      </c>
      <c r="H48" s="9">
        <f t="shared" si="100"/>
        <v>0.32555164694595456</v>
      </c>
      <c r="I48" s="9">
        <f t="shared" si="100"/>
        <v>0.25098039215686274</v>
      </c>
      <c r="J48" s="9">
        <f t="shared" si="100"/>
        <v>0.3941057497832996</v>
      </c>
      <c r="K48" s="9">
        <f t="shared" si="100"/>
        <v>0.30958904109589042</v>
      </c>
      <c r="L48" s="9">
        <f t="shared" si="100"/>
        <v>0.34125</v>
      </c>
      <c r="M48" s="9">
        <f t="shared" si="100"/>
        <v>0.38085984940490647</v>
      </c>
      <c r="N48" s="9">
        <f t="shared" ref="N48:Y48" si="101">N36*2/SUM(M24:N24)</f>
        <v>0.15351142270035054</v>
      </c>
      <c r="O48" s="9">
        <f t="shared" si="101"/>
        <v>0.15079654627264988</v>
      </c>
      <c r="P48" s="9">
        <f t="shared" si="101"/>
        <v>0.2659358989634219</v>
      </c>
      <c r="Q48" s="9">
        <f t="shared" si="101"/>
        <v>0.22171894462688257</v>
      </c>
      <c r="R48" s="9">
        <f t="shared" si="101"/>
        <v>0.23063063063063063</v>
      </c>
      <c r="S48" s="9">
        <f t="shared" si="101"/>
        <v>0.30644711135919622</v>
      </c>
      <c r="T48" s="9">
        <f t="shared" si="101"/>
        <v>0.21556689155833469</v>
      </c>
      <c r="U48" s="9">
        <f t="shared" si="101"/>
        <v>0.21345358887636226</v>
      </c>
      <c r="V48" s="9">
        <f t="shared" si="101"/>
        <v>0.23630417007358953</v>
      </c>
      <c r="W48" s="9">
        <f t="shared" si="101"/>
        <v>0.18195358073724713</v>
      </c>
      <c r="X48" s="9">
        <f t="shared" si="101"/>
        <v>0.17629875708803483</v>
      </c>
      <c r="Y48" s="9">
        <f t="shared" si="101"/>
        <v>0.26672311600338694</v>
      </c>
      <c r="Z48" s="9">
        <f>2*SUM(N36:INDEX(N36:Y36,$A$2))/(SUM(N24:INDEX(N24:Y24,$A$2))*2+M24-INDEX(N24:Y24,$A$2))</f>
        <v>0.22389415362257409</v>
      </c>
      <c r="AA48" s="9">
        <f t="shared" si="88"/>
        <v>0.19008128931214077</v>
      </c>
      <c r="AB48" s="9">
        <f>2*SUM(Q36:INDEX(Q36:S36,$B$2))/(P24+SUM(Q24:INDEX(Q24:S24,$B$2))*2-INDEX(Q24:S24,$B$2))</f>
        <v>0.22171894462688257</v>
      </c>
      <c r="AC48" s="9">
        <f t="shared" si="89"/>
        <v>0.22177488350276217</v>
      </c>
      <c r="AD48" s="9">
        <f t="shared" si="90"/>
        <v>0.20832515127622298</v>
      </c>
      <c r="AE48" s="28">
        <f>AVERAGE(B48:INDEX(B48:M48,$A$2))</f>
        <v>0.25799080097290056</v>
      </c>
      <c r="AF48" s="28">
        <f t="shared" si="91"/>
        <v>0.21061614726015232</v>
      </c>
      <c r="AG48" s="28">
        <f t="shared" si="92"/>
        <v>0.28284517269463083</v>
      </c>
      <c r="AH48" s="28">
        <f t="shared" si="93"/>
        <v>0.3235459296287056</v>
      </c>
      <c r="AI48" s="28">
        <f t="shared" si="94"/>
        <v>0.34389963016693231</v>
      </c>
      <c r="AJ48" s="32">
        <f t="shared" si="95"/>
        <v>-0.132162260133872</v>
      </c>
      <c r="AK48" s="32">
        <f t="shared" si="81"/>
        <v>-9.7498972491634084E-2</v>
      </c>
      <c r="AL48" s="32">
        <f t="shared" si="81"/>
        <v>-0.21611197209203281</v>
      </c>
      <c r="AM48" s="32">
        <f t="shared" si="81"/>
        <v>-0.31454899229526301</v>
      </c>
      <c r="AN48" s="32">
        <f t="shared" si="81"/>
        <v>-0.39422688190999255</v>
      </c>
      <c r="AO48" s="28">
        <f t="shared" ref="AO48" si="102">IFERROR(AO36/AVERAGE(Y24,AO24),"")</f>
        <v>0.10274213836477987</v>
      </c>
      <c r="AP48" s="28">
        <f>IFERROR(AP36/AVERAGE(AO24,AP24),"")</f>
        <v>0.16288263865356375</v>
      </c>
      <c r="AQ48" s="28">
        <f t="shared" ref="AQ48:AZ48" si="103">IFERROR(AQ36/AVERAGE(AP24:AQ24),"")</f>
        <v>0.24784831424318904</v>
      </c>
      <c r="AR48" s="28">
        <f t="shared" si="103"/>
        <v>0.22691115006067142</v>
      </c>
      <c r="AS48" s="28">
        <f t="shared" si="103"/>
        <v>0.20322781741359008</v>
      </c>
      <c r="AT48" s="28">
        <f t="shared" si="103"/>
        <v>0.24527443975316662</v>
      </c>
      <c r="AU48" s="28">
        <f t="shared" si="103"/>
        <v>0.18024940168787001</v>
      </c>
      <c r="AV48" s="28">
        <f t="shared" si="103"/>
        <v>0</v>
      </c>
      <c r="AW48" s="28" t="str">
        <f t="shared" si="103"/>
        <v/>
      </c>
      <c r="AX48" s="28" t="str">
        <f t="shared" si="103"/>
        <v/>
      </c>
      <c r="AY48" s="28" t="str">
        <f t="shared" si="103"/>
        <v/>
      </c>
      <c r="AZ48" s="28" t="str">
        <f t="shared" si="103"/>
        <v/>
      </c>
      <c r="BA48" s="28">
        <f t="shared" si="98"/>
        <v>0.16510163291473395</v>
      </c>
      <c r="BB48" s="28">
        <f>IFERROR(BB36*2/(AQ24+2*SUM(AR24:INDEX(AR24:AT24,$B$2))-INDEX(AR24:AT24,$B$2)),"")</f>
        <v>0.67925037076985306</v>
      </c>
      <c r="BC48" s="8">
        <f>IFERROR(BC36*2/(AT24+2*SUM(AU24:INDEX(AU24:AW24,$B$2))-INDEX(AU24:AW24,$B$2)),"")</f>
        <v>0.18024940168787001</v>
      </c>
      <c r="BD48" s="37"/>
      <c r="BE48" s="28">
        <f>2*SUM(AO36:INDEX(AO36:AZ36,$A$2))/(SUM(AO24:INDEX(AO24:AZ24,$A$2))*2+Y24-INDEX(AO24:AZ24,$A$2))</f>
        <v>0.1910053003222455</v>
      </c>
      <c r="BF48" s="123">
        <f t="shared" si="85"/>
        <v>0.6692800871589164</v>
      </c>
      <c r="BG48" s="118">
        <f t="shared" si="85"/>
        <v>1.0801483368131086</v>
      </c>
      <c r="BH48" s="118">
        <f t="shared" si="85"/>
        <v>0.93198517089743982</v>
      </c>
      <c r="BI48" s="118">
        <f t="shared" si="85"/>
        <v>1.0234179602583193</v>
      </c>
      <c r="BJ48" s="118">
        <f t="shared" si="85"/>
        <v>0.88118311456673826</v>
      </c>
      <c r="BK48" s="118">
        <f t="shared" si="85"/>
        <v>0.80038098145318393</v>
      </c>
      <c r="BL48" s="118"/>
      <c r="BM48" s="118"/>
      <c r="BN48" s="118"/>
      <c r="BO48" s="118"/>
      <c r="BP48" s="118"/>
      <c r="BQ48" s="118"/>
      <c r="BR48" s="118">
        <f>BA48/((N36+O36+P36)/(SUM(M24,N24,N24,O24,O24,P24)/2))</f>
        <v>0.86655726309886405</v>
      </c>
      <c r="BS48" s="118">
        <f t="shared" si="86"/>
        <v>3.06356487449876</v>
      </c>
      <c r="BT48" s="118">
        <f t="shared" si="86"/>
        <v>0.81275840997398174</v>
      </c>
      <c r="BU48" s="118">
        <f t="shared" si="86"/>
        <v>0</v>
      </c>
      <c r="BV48" s="118">
        <f t="shared" si="87"/>
        <v>0.85310535014786304</v>
      </c>
      <c r="BX48" s="9"/>
    </row>
    <row r="49" spans="1:76" s="37" customFormat="1" x14ac:dyDescent="0.25">
      <c r="A49" s="36" t="s">
        <v>40</v>
      </c>
      <c r="B49" s="28">
        <f t="shared" ref="B49:R49" si="104">B36/AVERAGE(A24:B24)</f>
        <v>0.22315705128205129</v>
      </c>
      <c r="C49" s="28">
        <f t="shared" si="104"/>
        <v>0.18299881936245574</v>
      </c>
      <c r="D49" s="28">
        <f t="shared" si="104"/>
        <v>0.23817473567056205</v>
      </c>
      <c r="E49" s="28">
        <f t="shared" si="104"/>
        <v>0.25058942404850115</v>
      </c>
      <c r="F49" s="28">
        <f t="shared" si="104"/>
        <v>0.28515941090791391</v>
      </c>
      <c r="G49" s="28">
        <f t="shared" si="104"/>
        <v>0.32471124125589718</v>
      </c>
      <c r="H49" s="28">
        <f t="shared" si="104"/>
        <v>0.32691072575465641</v>
      </c>
      <c r="I49" s="28">
        <f t="shared" si="104"/>
        <v>0.25830487426265136</v>
      </c>
      <c r="J49" s="28">
        <f t="shared" si="104"/>
        <v>0.40259740259740262</v>
      </c>
      <c r="K49" s="28">
        <f t="shared" si="104"/>
        <v>0.31781746589790466</v>
      </c>
      <c r="L49" s="28">
        <f t="shared" si="104"/>
        <v>0.35686274509803922</v>
      </c>
      <c r="M49" s="28">
        <f t="shared" si="104"/>
        <v>0.38634963656523347</v>
      </c>
      <c r="N49" s="28">
        <f t="shared" si="104"/>
        <v>0.15351142270035054</v>
      </c>
      <c r="O49" s="28">
        <f t="shared" si="104"/>
        <v>0.15079654627264988</v>
      </c>
      <c r="P49" s="28">
        <f t="shared" si="104"/>
        <v>0.2659358989634219</v>
      </c>
      <c r="Q49" s="28">
        <f t="shared" si="104"/>
        <v>0.22171894462688257</v>
      </c>
      <c r="R49" s="28">
        <f t="shared" si="104"/>
        <v>0.23063063063063063</v>
      </c>
      <c r="S49" s="28">
        <f>S36/AVERAGE(R24:S24)</f>
        <v>0.30644711135919622</v>
      </c>
      <c r="T49" s="28">
        <f t="shared" ref="T49:Y49" si="105">T36/AVERAGE(S24:T24)</f>
        <v>0.21556689155833469</v>
      </c>
      <c r="U49" s="28">
        <f t="shared" si="105"/>
        <v>0.21345358887636226</v>
      </c>
      <c r="V49" s="28">
        <f t="shared" si="105"/>
        <v>0.23630417007358953</v>
      </c>
      <c r="W49" s="28">
        <f t="shared" si="105"/>
        <v>0.18195358073724713</v>
      </c>
      <c r="X49" s="28">
        <f t="shared" si="105"/>
        <v>0.17629875708803483</v>
      </c>
      <c r="Y49" s="28">
        <f t="shared" si="105"/>
        <v>0.26672311600338694</v>
      </c>
      <c r="Z49" s="32">
        <f>2*SUM(N36:INDEX(N36:Y36,$A$2))/(SUM(N24:INDEX(N24:Y24,$A$2))*2+M24-INDEX(N24:Y24,$A$2))</f>
        <v>0.22389415362257409</v>
      </c>
      <c r="AA49" s="32">
        <f>2*SUM(N36:P36)/(SUM(N24:P24)*2+M24-P24)</f>
        <v>0.19052593515207522</v>
      </c>
      <c r="AB49" s="32">
        <f>2*SUM(Q36:S36)/(SUM(Q24:S24)*2+P24-S24)</f>
        <v>0.25600551438910907</v>
      </c>
      <c r="AC49" s="32">
        <f>2*SUM(T36:V36)/(SUM(T24:V24)*2+S24-V24)</f>
        <v>0.22244923383580417</v>
      </c>
      <c r="AD49" s="32">
        <f>2*SUM(W36:Y36)/(SUM(W24:Y24)*2+V24-Y24)</f>
        <v>0.21060054508376375</v>
      </c>
      <c r="AE49" s="32">
        <f>2*SUM(B36:INDEX(B36:M36,$A$2))/(SUM(B24:INDEX(B24:M24,$A$2))*2+B24-INDEX(B24:M24,$A$2))</f>
        <v>0.26553545060940509</v>
      </c>
      <c r="AF49" s="32">
        <f>2*SUM(B36:D36)/(B24+SUM(B24:D24)*2-D24)</f>
        <v>0.21519560297445844</v>
      </c>
      <c r="AG49" s="32">
        <f>2*SUM(E36:G36)/(D24+SUM(E24:G24)*2-G24)</f>
        <v>0.28723171265878228</v>
      </c>
      <c r="AH49" s="32">
        <f>2*SUM(H36:INDEX(H36:J36,9-6))/(G24+SUM(H24:INDEX(H24:J24,9-6))*2-INDEX(B24:M24,9))</f>
        <v>0.33055641262984675</v>
      </c>
      <c r="AI49" s="32">
        <f>2*SUM(K36:INDEX(K36:M36,2))/(J24+SUM(K24:INDEX(K24:M24,2))*2-INDEX(B24:M24,11))</f>
        <v>0.33805297744055279</v>
      </c>
      <c r="AJ49" s="32">
        <f t="shared" si="95"/>
        <v>-0.15682010402476965</v>
      </c>
      <c r="AK49" s="32">
        <f t="shared" si="81"/>
        <v>-0.11463834521428984</v>
      </c>
      <c r="AL49" s="32">
        <f t="shared" si="81"/>
        <v>-0.10871431284737165</v>
      </c>
      <c r="AM49" s="32">
        <f t="shared" si="81"/>
        <v>-0.32704607946934539</v>
      </c>
      <c r="AN49" s="32">
        <f t="shared" si="81"/>
        <v>-0.37701910902175617</v>
      </c>
      <c r="AO49" s="2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38"/>
      <c r="BB49" s="18"/>
      <c r="BC49" s="18"/>
      <c r="BD49" s="18"/>
      <c r="BE49" s="32">
        <f>2*SUM(AO36:INDEX(AO36:AZ36,A2))/(SUM(AO24:INDEX(AO24:AZ24,A2))*2+Y24-INDEX(AO24:AZ24,A2))</f>
        <v>0.1910053003222455</v>
      </c>
      <c r="BF49" s="124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X49" s="32"/>
    </row>
    <row r="50" spans="1:76" x14ac:dyDescent="0.25">
      <c r="W50" s="104"/>
      <c r="Y50" s="8">
        <f>Y49/M49</f>
        <v>0.69036719789524614</v>
      </c>
      <c r="BF50" s="124"/>
    </row>
    <row r="51" spans="1:76" s="17" customFormat="1" x14ac:dyDescent="0.25">
      <c r="A51" s="2" t="s">
        <v>12</v>
      </c>
      <c r="B51" s="3">
        <f t="shared" ref="B51:Y51" si="106">B15</f>
        <v>42005</v>
      </c>
      <c r="C51" s="3">
        <f t="shared" si="106"/>
        <v>42036</v>
      </c>
      <c r="D51" s="3">
        <f t="shared" si="106"/>
        <v>42064</v>
      </c>
      <c r="E51" s="3">
        <f t="shared" si="106"/>
        <v>42095</v>
      </c>
      <c r="F51" s="3">
        <f t="shared" si="106"/>
        <v>42125</v>
      </c>
      <c r="G51" s="3">
        <f t="shared" si="106"/>
        <v>42156</v>
      </c>
      <c r="H51" s="3">
        <f t="shared" si="106"/>
        <v>42186</v>
      </c>
      <c r="I51" s="3">
        <f t="shared" si="106"/>
        <v>42217</v>
      </c>
      <c r="J51" s="3">
        <f t="shared" si="106"/>
        <v>42248</v>
      </c>
      <c r="K51" s="3">
        <f t="shared" si="106"/>
        <v>42278</v>
      </c>
      <c r="L51" s="3">
        <f t="shared" si="106"/>
        <v>42309</v>
      </c>
      <c r="M51" s="3">
        <f t="shared" si="106"/>
        <v>42339</v>
      </c>
      <c r="N51" s="3">
        <f t="shared" si="106"/>
        <v>42370</v>
      </c>
      <c r="O51" s="3">
        <f t="shared" si="106"/>
        <v>42401</v>
      </c>
      <c r="P51" s="3">
        <f t="shared" si="106"/>
        <v>42430</v>
      </c>
      <c r="Q51" s="3">
        <f t="shared" si="106"/>
        <v>42461</v>
      </c>
      <c r="R51" s="3">
        <f t="shared" si="106"/>
        <v>42491</v>
      </c>
      <c r="S51" s="3">
        <f t="shared" si="106"/>
        <v>42522</v>
      </c>
      <c r="T51" s="3">
        <f t="shared" si="106"/>
        <v>42552</v>
      </c>
      <c r="U51" s="3">
        <f t="shared" si="106"/>
        <v>42583</v>
      </c>
      <c r="V51" s="3">
        <f t="shared" si="106"/>
        <v>42614</v>
      </c>
      <c r="W51" s="3">
        <f t="shared" si="106"/>
        <v>42644</v>
      </c>
      <c r="X51" s="3">
        <f t="shared" si="106"/>
        <v>42675</v>
      </c>
      <c r="Y51" s="3">
        <f t="shared" si="106"/>
        <v>42705</v>
      </c>
      <c r="Z51" s="29" t="s">
        <v>18</v>
      </c>
      <c r="AA51" s="29" t="s">
        <v>19</v>
      </c>
      <c r="AB51" s="29" t="s">
        <v>20</v>
      </c>
      <c r="AC51" s="29" t="s">
        <v>21</v>
      </c>
      <c r="AD51" s="29" t="s">
        <v>22</v>
      </c>
      <c r="AE51" s="26" t="str">
        <f t="shared" ref="AE51:AI51" si="107">AE27</f>
        <v>YTD 7/15</v>
      </c>
      <c r="AF51" s="26" t="str">
        <f t="shared" si="107"/>
        <v>Q1 '15</v>
      </c>
      <c r="AG51" s="26" t="str">
        <f t="shared" si="107"/>
        <v>Q2 '15</v>
      </c>
      <c r="AH51" s="26" t="str">
        <f t="shared" si="107"/>
        <v>Q3 '15</v>
      </c>
      <c r="AI51" s="26" t="str">
        <f t="shared" si="107"/>
        <v>Q4 '15</v>
      </c>
      <c r="AJ51" s="30" t="s">
        <v>27</v>
      </c>
      <c r="AK51" s="30" t="s">
        <v>29</v>
      </c>
      <c r="AL51" s="30" t="s">
        <v>30</v>
      </c>
      <c r="AM51" s="30" t="s">
        <v>31</v>
      </c>
      <c r="AN51" s="30" t="s">
        <v>32</v>
      </c>
      <c r="AO51" s="108">
        <v>42736</v>
      </c>
      <c r="AP51" s="108">
        <v>42767</v>
      </c>
      <c r="AQ51" s="108">
        <v>42795</v>
      </c>
      <c r="AR51" s="108">
        <v>42826</v>
      </c>
      <c r="AS51" s="108">
        <v>42856</v>
      </c>
      <c r="AT51" s="108">
        <v>42887</v>
      </c>
      <c r="AU51" s="108">
        <v>42917</v>
      </c>
      <c r="AV51" s="108">
        <v>42948</v>
      </c>
      <c r="AW51" s="108">
        <v>42979</v>
      </c>
      <c r="AX51" s="108">
        <v>43009</v>
      </c>
      <c r="AY51" s="108">
        <v>43040</v>
      </c>
      <c r="AZ51" s="108">
        <v>43070</v>
      </c>
      <c r="BA51" s="29" t="s">
        <v>123</v>
      </c>
      <c r="BB51" s="29" t="s">
        <v>124</v>
      </c>
      <c r="BC51" s="29" t="s">
        <v>125</v>
      </c>
      <c r="BD51" s="29" t="s">
        <v>126</v>
      </c>
      <c r="BE51" s="29" t="str">
        <f>"YTD " &amp; A50 &amp;"/17"</f>
        <v>YTD /17</v>
      </c>
      <c r="BF51" s="121">
        <v>42736</v>
      </c>
      <c r="BG51" s="108">
        <v>42767</v>
      </c>
      <c r="BH51" s="108">
        <v>42795</v>
      </c>
      <c r="BI51" s="108">
        <v>42826</v>
      </c>
      <c r="BJ51" s="108">
        <v>42856</v>
      </c>
      <c r="BK51" s="108">
        <v>42887</v>
      </c>
      <c r="BL51" s="108">
        <v>42917</v>
      </c>
      <c r="BM51" s="108">
        <v>42948</v>
      </c>
      <c r="BN51" s="108">
        <v>42979</v>
      </c>
      <c r="BO51" s="108">
        <v>43009</v>
      </c>
      <c r="BP51" s="108">
        <v>43040</v>
      </c>
      <c r="BQ51" s="108">
        <v>43070</v>
      </c>
      <c r="BR51" s="29" t="s">
        <v>127</v>
      </c>
      <c r="BS51" s="29" t="s">
        <v>128</v>
      </c>
      <c r="BT51" s="29" t="s">
        <v>96</v>
      </c>
      <c r="BU51" s="29" t="s">
        <v>129</v>
      </c>
      <c r="BV51" s="112" t="s">
        <v>130</v>
      </c>
    </row>
    <row r="52" spans="1:76" outlineLevel="1" x14ac:dyDescent="0.25">
      <c r="A52" t="s">
        <v>157</v>
      </c>
      <c r="B52">
        <f>'Agency North'!C54+'Agency South'!C54</f>
        <v>82</v>
      </c>
      <c r="C52">
        <f>'Agency North'!D54+'Agency South'!D54</f>
        <v>66</v>
      </c>
      <c r="D52">
        <f>'Agency North'!E54+'Agency South'!E54</f>
        <v>156</v>
      </c>
      <c r="E52">
        <f>'Agency North'!F54+'Agency South'!F54</f>
        <v>169</v>
      </c>
      <c r="F52">
        <f>'Agency North'!G54+'Agency South'!G54</f>
        <v>118.5</v>
      </c>
      <c r="G52">
        <f>'Agency North'!H54+'Agency South'!H54</f>
        <v>147.5</v>
      </c>
      <c r="H52">
        <f>'Agency North'!I54+'Agency South'!I54</f>
        <v>172</v>
      </c>
      <c r="I52">
        <f>'Agency North'!J54+'Agency South'!J54</f>
        <v>93.5</v>
      </c>
      <c r="J52">
        <f>'Agency North'!K54+'Agency South'!K54</f>
        <v>193.5</v>
      </c>
      <c r="K52">
        <f>'Agency North'!L54+'Agency South'!L54</f>
        <v>175.5</v>
      </c>
      <c r="L52">
        <f>'Agency North'!M54+'Agency South'!M54</f>
        <v>178</v>
      </c>
      <c r="M52">
        <f>'Agency North'!N54+'Agency South'!N54</f>
        <v>292.5</v>
      </c>
      <c r="N52">
        <f>'Agency North'!O54+'Agency South'!O54</f>
        <v>64</v>
      </c>
      <c r="O52">
        <f>'Agency North'!P54+'Agency South'!P54</f>
        <v>67</v>
      </c>
      <c r="P52">
        <f>'Agency North'!Q54+'Agency South'!Q54</f>
        <v>164</v>
      </c>
      <c r="Q52">
        <f>'Agency North'!R54+'Agency South'!R54</f>
        <v>177</v>
      </c>
      <c r="R52">
        <f>'Agency North'!S54+'Agency South'!S54</f>
        <v>112</v>
      </c>
      <c r="S52">
        <f>'Agency North'!T54+'Agency South'!T54</f>
        <v>134</v>
      </c>
      <c r="T52">
        <f>'Agency North'!U54+'Agency South'!U54</f>
        <v>110</v>
      </c>
      <c r="U52">
        <f>'Agency North'!V54+'Agency South'!V54</f>
        <v>103.5</v>
      </c>
      <c r="V52">
        <f>'Agency North'!W54+'Agency South'!W54</f>
        <v>146.5</v>
      </c>
      <c r="W52">
        <f>'Agency North'!X54+'Agency South'!X54</f>
        <v>117</v>
      </c>
      <c r="X52">
        <f>'Agency North'!Y54+'Agency South'!Y54</f>
        <v>138.5</v>
      </c>
      <c r="Y52">
        <f>'Agency North'!Z54+'Agency South'!Z54</f>
        <v>216</v>
      </c>
      <c r="Z52" s="22">
        <f>SUM(N52:INDEX(N52:Y52,$A$2))</f>
        <v>828</v>
      </c>
      <c r="AA52" s="22">
        <f>SUM(N52:P52)</f>
        <v>295</v>
      </c>
      <c r="AB52" s="22">
        <f>SUM(Q52:S52)</f>
        <v>423</v>
      </c>
      <c r="AC52" s="22">
        <f>SUM(T52:V52)</f>
        <v>360</v>
      </c>
      <c r="AD52" s="22">
        <f>SUM(W52:Y52)</f>
        <v>471.5</v>
      </c>
      <c r="AE52" s="22">
        <f>SUM(B52                                                                                : INDEX(B52:M52,$A$2))</f>
        <v>911</v>
      </c>
      <c r="AF52" s="22">
        <f t="shared" ref="AF52:AF58" si="108">SUM(B52:D52)</f>
        <v>304</v>
      </c>
      <c r="AG52" s="22">
        <f t="shared" ref="AG52:AG58" si="109">SUM(E52:G52)</f>
        <v>435</v>
      </c>
      <c r="AH52" s="22">
        <f>SUM(H52:J52)</f>
        <v>459</v>
      </c>
      <c r="AI52" s="22">
        <f t="shared" ref="AI52:AI58" si="110">SUM(K52:M52)</f>
        <v>646</v>
      </c>
      <c r="AJ52" s="31">
        <f>Z52/AE52-1</f>
        <v>-9.1108671789242646E-2</v>
      </c>
      <c r="AK52" s="31">
        <f t="shared" ref="AK52:AM60" si="111">AA52/AF52-1</f>
        <v>-2.960526315789469E-2</v>
      </c>
      <c r="AL52" s="31">
        <f t="shared" si="111"/>
        <v>-2.7586206896551779E-2</v>
      </c>
      <c r="AM52" s="31">
        <f t="shared" si="111"/>
        <v>-0.21568627450980393</v>
      </c>
      <c r="AN52" s="31">
        <f>AD52/SUM(K52:INDEX(K52:M52,MOD($A$2,3)))-1</f>
        <v>1.6866096866096867</v>
      </c>
      <c r="AO52" s="166">
        <f>'GEN Lion NORTH'!AP54+'GEN Lion SOUTH'!AP54</f>
        <v>224</v>
      </c>
      <c r="AP52" s="166">
        <f>'GEN Lion NORTH'!AQ54+'GEN Lion SOUTH'!AQ54</f>
        <v>287</v>
      </c>
      <c r="AQ52" s="166">
        <f>'GEN Lion NORTH'!AR54+'GEN Lion SOUTH'!AR54</f>
        <v>387</v>
      </c>
      <c r="AR52" s="165">
        <f>'GEN Lion NORTH'!AS54+'GEN Lion SOUTH'!AS54</f>
        <v>781</v>
      </c>
      <c r="AS52" s="165">
        <f>'GEN Lion NORTH'!AT54+'GEN Lion SOUTH'!AT54</f>
        <v>681.5</v>
      </c>
      <c r="AT52" s="165">
        <f>'GEN Lion NORTH'!AU54+'GEN Lion SOUTH'!AU54</f>
        <v>801</v>
      </c>
      <c r="AU52" s="165">
        <f>'GEN Lion NORTH'!AV54+'GEN Lion SOUTH'!AV54</f>
        <v>549.5</v>
      </c>
      <c r="AV52" s="113">
        <f>'GEN Lion NORTH'!AW54+'GEN Lion SOUTH'!AW54</f>
        <v>0</v>
      </c>
      <c r="AW52" s="113">
        <f>'GEN Lion NORTH'!AX54+'GEN Lion SOUTH'!AX54</f>
        <v>0</v>
      </c>
      <c r="AX52" s="113">
        <f>'GEN Lion NORTH'!AY54+'GEN Lion SOUTH'!AY54</f>
        <v>0</v>
      </c>
      <c r="AY52" s="113">
        <f>'GEN Lion NORTH'!AZ54+'GEN Lion SOUTH'!AZ54</f>
        <v>0</v>
      </c>
      <c r="AZ52" s="113">
        <f>'GEN Lion NORTH'!BA54+'GEN Lion SOUTH'!BA54</f>
        <v>0</v>
      </c>
      <c r="BA52" s="110">
        <f>SUM(AO52:INDEX(AO52:AQ52,IF($A$2&lt;3,$A$2,3)))</f>
        <v>898</v>
      </c>
      <c r="BB52" s="110">
        <f>SUM(AR52:INDEX(AR52:AT52,IF(AND($A$2&gt;3,A51&lt;7),$A$2-3,0)))</f>
        <v>2263.5</v>
      </c>
      <c r="BC52" s="110">
        <f>SUM(AU52:INDEX(AU52:AW52,IF(AND($A$2&gt;6,$A$2&lt;10),$A$2-6,0)))</f>
        <v>549.5</v>
      </c>
      <c r="BD52" s="110">
        <f>SUM(AX52:INDEX(AX52:AZ52,IF($A$2&gt;9,$A$2-9,0)))</f>
        <v>0</v>
      </c>
      <c r="BE52" s="110">
        <f>SUM($AO52:INDEX(AO52:AZ52,$A$2))</f>
        <v>3711</v>
      </c>
      <c r="BF52" s="122">
        <f t="shared" ref="BF52:BQ60" si="112">AO52/N52</f>
        <v>3.5</v>
      </c>
      <c r="BG52" s="111">
        <f t="shared" si="112"/>
        <v>4.2835820895522385</v>
      </c>
      <c r="BH52" s="111">
        <f t="shared" si="112"/>
        <v>2.3597560975609757</v>
      </c>
      <c r="BI52" s="111">
        <f t="shared" si="112"/>
        <v>4.4124293785310735</v>
      </c>
      <c r="BJ52" s="111">
        <f t="shared" si="112"/>
        <v>6.0848214285714288</v>
      </c>
      <c r="BK52" s="111">
        <f t="shared" si="112"/>
        <v>5.9776119402985071</v>
      </c>
      <c r="BL52" s="111">
        <f t="shared" si="112"/>
        <v>4.9954545454545451</v>
      </c>
      <c r="BM52" s="111">
        <f t="shared" si="112"/>
        <v>0</v>
      </c>
      <c r="BN52" s="111">
        <f t="shared" si="112"/>
        <v>0</v>
      </c>
      <c r="BO52" s="111">
        <f t="shared" si="112"/>
        <v>0</v>
      </c>
      <c r="BP52" s="111">
        <f t="shared" si="112"/>
        <v>0</v>
      </c>
      <c r="BQ52" s="111">
        <f t="shared" si="112"/>
        <v>0</v>
      </c>
      <c r="BR52" s="111">
        <f>BA52/SUM(N52:INDEX(N52:P52,IF($A$2&lt;3,$A$2,3)))</f>
        <v>3.0440677966101695</v>
      </c>
      <c r="BS52" s="111">
        <f>BB52/SUM(Q52:INDEX(Q52:S52,IF($A$2&lt;7,$A$2-3,3)))</f>
        <v>5.3510638297872344</v>
      </c>
      <c r="BT52" s="111">
        <f t="shared" ref="BT52:BU60" si="113">BC52/AC52</f>
        <v>1.5263888888888888</v>
      </c>
      <c r="BU52" s="111">
        <f t="shared" si="113"/>
        <v>0</v>
      </c>
      <c r="BV52" s="111">
        <f t="shared" ref="BV52:BV60" si="114">BE52/Z52</f>
        <v>4.4818840579710146</v>
      </c>
    </row>
    <row r="53" spans="1:76" outlineLevel="1" x14ac:dyDescent="0.25">
      <c r="A53" t="s">
        <v>5</v>
      </c>
      <c r="B53">
        <f>'Agency North'!C55+'Agency South'!C55</f>
        <v>154</v>
      </c>
      <c r="C53">
        <f>'Agency North'!D55+'Agency South'!D55</f>
        <v>85</v>
      </c>
      <c r="D53">
        <f>'Agency North'!E55+'Agency South'!E55</f>
        <v>199</v>
      </c>
      <c r="E53">
        <f>'Agency North'!F55+'Agency South'!F55</f>
        <v>240</v>
      </c>
      <c r="F53">
        <f>'Agency North'!G55+'Agency South'!G55</f>
        <v>196.5</v>
      </c>
      <c r="G53">
        <f>'Agency North'!H55+'Agency South'!H55</f>
        <v>273</v>
      </c>
      <c r="H53">
        <f>'Agency North'!I55+'Agency South'!I55</f>
        <v>350</v>
      </c>
      <c r="I53">
        <f>'Agency North'!J55+'Agency South'!J55</f>
        <v>227</v>
      </c>
      <c r="J53">
        <f>'Agency North'!K55+'Agency South'!K55</f>
        <v>406</v>
      </c>
      <c r="K53">
        <f>'Agency North'!L55+'Agency South'!L55</f>
        <v>269</v>
      </c>
      <c r="L53">
        <f>'Agency North'!M55+'Agency South'!M55</f>
        <v>631</v>
      </c>
      <c r="M53">
        <f>'Agency North'!N55+'Agency South'!N55</f>
        <v>524</v>
      </c>
      <c r="N53">
        <f>'Agency North'!O55+'Agency South'!O55</f>
        <v>82</v>
      </c>
      <c r="O53">
        <f>'Agency North'!P55+'Agency South'!P55</f>
        <v>82</v>
      </c>
      <c r="P53">
        <f>'Agency North'!Q55+'Agency South'!Q55</f>
        <v>536</v>
      </c>
      <c r="Q53">
        <f>'Agency North'!R55+'Agency South'!R55</f>
        <v>351</v>
      </c>
      <c r="R53">
        <f>'Agency North'!S55+'Agency South'!S55</f>
        <v>406</v>
      </c>
      <c r="S53">
        <f>'Agency North'!T55+'Agency South'!T55</f>
        <v>955</v>
      </c>
      <c r="T53">
        <f>'Agency North'!U55+'Agency South'!U55</f>
        <v>503</v>
      </c>
      <c r="U53">
        <f>'Agency North'!V55+'Agency South'!V55</f>
        <v>579</v>
      </c>
      <c r="V53">
        <f>'Agency North'!W55+'Agency South'!W55</f>
        <v>953.5</v>
      </c>
      <c r="W53">
        <f>'Agency North'!X55+'Agency South'!X55</f>
        <v>636.5</v>
      </c>
      <c r="X53">
        <f>'Agency North'!Y55+'Agency South'!Y55</f>
        <v>738</v>
      </c>
      <c r="Y53">
        <f>'Agency North'!Z55+'Agency South'!Z55</f>
        <v>1430</v>
      </c>
      <c r="Z53" s="22">
        <f>SUM(N53:INDEX(N53:Y53,$A$2))</f>
        <v>2915</v>
      </c>
      <c r="AA53" s="22">
        <f t="shared" ref="AA53:AA58" si="115">SUM(N53:P53)</f>
        <v>700</v>
      </c>
      <c r="AB53" s="22">
        <f t="shared" ref="AB53:AB58" si="116">SUM(Q53:S53)</f>
        <v>1712</v>
      </c>
      <c r="AC53" s="22">
        <f t="shared" ref="AC53:AC58" si="117">SUM(T53:V53)</f>
        <v>2035.5</v>
      </c>
      <c r="AD53" s="22">
        <f t="shared" ref="AD53:AD58" si="118">SUM(W53:Y53)</f>
        <v>2804.5</v>
      </c>
      <c r="AE53" s="22">
        <f>SUM(B53                                                                                : INDEX(B53:M53,$A$2))</f>
        <v>1497.5</v>
      </c>
      <c r="AF53" s="22">
        <f t="shared" si="108"/>
        <v>438</v>
      </c>
      <c r="AG53" s="22">
        <f t="shared" si="109"/>
        <v>709.5</v>
      </c>
      <c r="AH53" s="22">
        <f t="shared" ref="AH53:AH58" si="119">SUM(H53:J53)</f>
        <v>983</v>
      </c>
      <c r="AI53" s="22">
        <f t="shared" si="110"/>
        <v>1424</v>
      </c>
      <c r="AJ53" s="31">
        <f t="shared" ref="AJ53:AJ60" si="120">Z53/AE53-1</f>
        <v>0.94657762938230383</v>
      </c>
      <c r="AK53" s="31">
        <f t="shared" si="111"/>
        <v>0.59817351598173518</v>
      </c>
      <c r="AL53" s="31">
        <f t="shared" si="111"/>
        <v>1.4129668780831572</v>
      </c>
      <c r="AM53" s="31">
        <f t="shared" si="111"/>
        <v>1.0707019328585963</v>
      </c>
      <c r="AN53" s="31">
        <f>AD53/SUM(K53:INDEX(K53:M53,MOD($A$2,3)))-1</f>
        <v>9.425650557620818</v>
      </c>
      <c r="AO53" s="166">
        <f>'GEN Lion NORTH'!AP55+'GEN Lion SOUTH'!AP55</f>
        <v>285</v>
      </c>
      <c r="AP53" s="166">
        <f>'GEN Lion NORTH'!AQ55+'GEN Lion SOUTH'!AQ55</f>
        <v>426</v>
      </c>
      <c r="AQ53" s="166">
        <f>'GEN Lion NORTH'!AR55+'GEN Lion SOUTH'!AR55</f>
        <v>986</v>
      </c>
      <c r="AR53" s="165">
        <f>'GEN Lion NORTH'!AS55+'GEN Lion SOUTH'!AS55</f>
        <v>723</v>
      </c>
      <c r="AS53" s="165">
        <f>'GEN Lion NORTH'!AT55+'GEN Lion SOUTH'!AT55</f>
        <v>676.5</v>
      </c>
      <c r="AT53" s="165">
        <f>'GEN Lion NORTH'!AU55+'GEN Lion SOUTH'!AU55</f>
        <v>1390</v>
      </c>
      <c r="AU53" s="165">
        <f>'GEN Lion NORTH'!AV55+'GEN Lion SOUTH'!AV55</f>
        <v>792</v>
      </c>
      <c r="AV53" s="113">
        <f>'GEN Lion NORTH'!AW55+'GEN Lion SOUTH'!AW55</f>
        <v>0</v>
      </c>
      <c r="AW53" s="113">
        <f>'GEN Lion NORTH'!AX55+'GEN Lion SOUTH'!AX55</f>
        <v>0</v>
      </c>
      <c r="AX53" s="113">
        <f>'GEN Lion NORTH'!AY55+'GEN Lion SOUTH'!AY55</f>
        <v>0</v>
      </c>
      <c r="AY53" s="113">
        <f>'GEN Lion NORTH'!AZ55+'GEN Lion SOUTH'!AZ55</f>
        <v>0</v>
      </c>
      <c r="AZ53" s="113">
        <f>'GEN Lion NORTH'!BA55+'GEN Lion SOUTH'!BA55</f>
        <v>0</v>
      </c>
      <c r="BA53" s="110">
        <f>SUM(AO53:INDEX(AO53:AQ53,IF($A$2&lt;3,$A$2,3)))</f>
        <v>1697</v>
      </c>
      <c r="BB53" s="110">
        <f>SUM(AR53:INDEX(AR53:AT53,IF(AND($A$2&gt;3,A51&lt;7),$A$2-3,0)))</f>
        <v>2789.5</v>
      </c>
      <c r="BC53" s="110">
        <f>SUM(AU53:INDEX(AU53:AW53,IF(AND($A$2&gt;6,$A$2&lt;10),$A$2-6,0)))</f>
        <v>792</v>
      </c>
      <c r="BD53" s="110">
        <f>SUM(AX53:INDEX(AX53:AZ53,IF($A$2&gt;9,$A$2-9,0)))</f>
        <v>0</v>
      </c>
      <c r="BE53" s="110">
        <f>SUM($AO53:INDEX(AO53:AZ53,$A$2))</f>
        <v>5278.5</v>
      </c>
      <c r="BF53" s="122">
        <f t="shared" si="112"/>
        <v>3.475609756097561</v>
      </c>
      <c r="BG53" s="111">
        <f t="shared" si="112"/>
        <v>5.1951219512195124</v>
      </c>
      <c r="BH53" s="111">
        <f t="shared" si="112"/>
        <v>1.8395522388059702</v>
      </c>
      <c r="BI53" s="111">
        <f t="shared" si="112"/>
        <v>2.0598290598290596</v>
      </c>
      <c r="BJ53" s="111">
        <f t="shared" si="112"/>
        <v>1.666256157635468</v>
      </c>
      <c r="BK53" s="111">
        <f t="shared" si="112"/>
        <v>1.455497382198953</v>
      </c>
      <c r="BL53" s="111">
        <f t="shared" si="112"/>
        <v>1.5745526838966202</v>
      </c>
      <c r="BM53" s="111">
        <f t="shared" si="112"/>
        <v>0</v>
      </c>
      <c r="BN53" s="111">
        <f t="shared" si="112"/>
        <v>0</v>
      </c>
      <c r="BO53" s="111">
        <f t="shared" si="112"/>
        <v>0</v>
      </c>
      <c r="BP53" s="111">
        <f t="shared" si="112"/>
        <v>0</v>
      </c>
      <c r="BQ53" s="111">
        <f t="shared" si="112"/>
        <v>0</v>
      </c>
      <c r="BR53" s="111">
        <f>BA53/SUM(N53:INDEX(N53:P53,IF($A$2&lt;3,$A$2,3)))</f>
        <v>2.4242857142857144</v>
      </c>
      <c r="BS53" s="111">
        <f>BB53/SUM(Q53:INDEX(Q53:S53,IF($A$2&lt;7,$A$2-3,3)))</f>
        <v>1.6293808411214954</v>
      </c>
      <c r="BT53" s="111">
        <f t="shared" si="113"/>
        <v>0.38909358879882094</v>
      </c>
      <c r="BU53" s="111">
        <f t="shared" si="113"/>
        <v>0</v>
      </c>
      <c r="BV53" s="111">
        <f t="shared" si="114"/>
        <v>1.8108061749571183</v>
      </c>
    </row>
    <row r="54" spans="1:76" outlineLevel="1" x14ac:dyDescent="0.25">
      <c r="A54" t="s">
        <v>6</v>
      </c>
      <c r="B54">
        <f>'Agency North'!C56+'Agency South'!C56</f>
        <v>143</v>
      </c>
      <c r="C54">
        <f>'Agency North'!D56+'Agency South'!D56</f>
        <v>130</v>
      </c>
      <c r="D54">
        <f>'Agency North'!E56+'Agency South'!E56</f>
        <v>117</v>
      </c>
      <c r="E54">
        <f>'Agency North'!F56+'Agency South'!F56</f>
        <v>198</v>
      </c>
      <c r="F54">
        <f>'Agency North'!G56+'Agency South'!G56</f>
        <v>236.5</v>
      </c>
      <c r="G54">
        <f>'Agency North'!H56+'Agency South'!H56</f>
        <v>219</v>
      </c>
      <c r="H54">
        <f>'Agency North'!I56+'Agency South'!I56</f>
        <v>241</v>
      </c>
      <c r="I54">
        <f>'Agency North'!J56+'Agency South'!J56</f>
        <v>176</v>
      </c>
      <c r="J54">
        <f>'Agency North'!K56+'Agency South'!K56</f>
        <v>299.5</v>
      </c>
      <c r="K54">
        <f>'Agency North'!L56+'Agency South'!L56</f>
        <v>288</v>
      </c>
      <c r="L54">
        <f>'Agency North'!M56+'Agency South'!M56</f>
        <v>231</v>
      </c>
      <c r="M54">
        <f>'Agency North'!N56+'Agency South'!N56</f>
        <v>613.5</v>
      </c>
      <c r="N54">
        <f>'Agency North'!O56+'Agency South'!O56</f>
        <v>135</v>
      </c>
      <c r="O54">
        <f>'Agency North'!P56+'Agency South'!P56</f>
        <v>82</v>
      </c>
      <c r="P54">
        <f>'Agency North'!Q56+'Agency South'!Q56</f>
        <v>90</v>
      </c>
      <c r="Q54">
        <f>'Agency North'!R56+'Agency South'!R56</f>
        <v>250</v>
      </c>
      <c r="R54">
        <f>'Agency North'!S56+'Agency South'!S56</f>
        <v>256</v>
      </c>
      <c r="S54">
        <f>'Agency North'!T56+'Agency South'!T56</f>
        <v>433.5</v>
      </c>
      <c r="T54">
        <f>'Agency North'!U56+'Agency South'!U56</f>
        <v>399</v>
      </c>
      <c r="U54">
        <f>'Agency North'!V56+'Agency South'!V56</f>
        <v>337</v>
      </c>
      <c r="V54">
        <f>'Agency North'!W56+'Agency South'!W56</f>
        <v>559</v>
      </c>
      <c r="W54">
        <f>'Agency North'!X56+'Agency South'!X56</f>
        <v>435.5</v>
      </c>
      <c r="X54">
        <f>'Agency North'!Y56+'Agency South'!Y56</f>
        <v>534.5</v>
      </c>
      <c r="Y54">
        <f>'Agency North'!Z56+'Agency South'!Z56</f>
        <v>679</v>
      </c>
      <c r="Z54" s="22">
        <f>SUM(N54:INDEX(N54:Y54,$A$2))</f>
        <v>1645.5</v>
      </c>
      <c r="AA54" s="22">
        <f t="shared" si="115"/>
        <v>307</v>
      </c>
      <c r="AB54" s="22">
        <f t="shared" si="116"/>
        <v>939.5</v>
      </c>
      <c r="AC54" s="22">
        <f t="shared" si="117"/>
        <v>1295</v>
      </c>
      <c r="AD54" s="22">
        <f t="shared" si="118"/>
        <v>1649</v>
      </c>
      <c r="AE54" s="22">
        <f>SUM(B54                                                                                : INDEX(B54:M54,$A$2))</f>
        <v>1284.5</v>
      </c>
      <c r="AF54" s="22">
        <f t="shared" si="108"/>
        <v>390</v>
      </c>
      <c r="AG54" s="22">
        <f t="shared" si="109"/>
        <v>653.5</v>
      </c>
      <c r="AH54" s="22">
        <f t="shared" si="119"/>
        <v>716.5</v>
      </c>
      <c r="AI54" s="22">
        <f t="shared" si="110"/>
        <v>1132.5</v>
      </c>
      <c r="AJ54" s="31">
        <f t="shared" si="120"/>
        <v>0.28104320747372524</v>
      </c>
      <c r="AK54" s="31">
        <f t="shared" si="111"/>
        <v>-0.21282051282051284</v>
      </c>
      <c r="AL54" s="31">
        <f t="shared" si="111"/>
        <v>0.43764345830145368</v>
      </c>
      <c r="AM54" s="31">
        <f t="shared" si="111"/>
        <v>0.80739706908583386</v>
      </c>
      <c r="AN54" s="31">
        <f>AD54/SUM(K54:INDEX(K54:M54,MOD($A$2,3)))-1</f>
        <v>4.7256944444444446</v>
      </c>
      <c r="AO54" s="166">
        <f>'GEN Lion NORTH'!AP56+'GEN Lion SOUTH'!AP56</f>
        <v>272</v>
      </c>
      <c r="AP54" s="166">
        <f>'GEN Lion NORTH'!AQ56+'GEN Lion SOUTH'!AQ56</f>
        <v>185</v>
      </c>
      <c r="AQ54" s="166">
        <f>'GEN Lion NORTH'!AR56+'GEN Lion SOUTH'!AR56</f>
        <v>482</v>
      </c>
      <c r="AR54" s="165">
        <f>'GEN Lion NORTH'!AS56+'GEN Lion SOUTH'!AS56</f>
        <v>394</v>
      </c>
      <c r="AS54" s="165">
        <f>'GEN Lion NORTH'!AT56+'GEN Lion SOUTH'!AT56</f>
        <v>357</v>
      </c>
      <c r="AT54" s="165">
        <f>'GEN Lion NORTH'!AU56+'GEN Lion SOUTH'!AU56</f>
        <v>303.5</v>
      </c>
      <c r="AU54" s="165">
        <f>'GEN Lion NORTH'!AV56+'GEN Lion SOUTH'!AV56</f>
        <v>349</v>
      </c>
      <c r="AV54" s="113">
        <f>'GEN Lion NORTH'!AW56+'GEN Lion SOUTH'!AW56</f>
        <v>0</v>
      </c>
      <c r="AW54" s="113">
        <f>'GEN Lion NORTH'!AX56+'GEN Lion SOUTH'!AX56</f>
        <v>0</v>
      </c>
      <c r="AX54" s="113">
        <f>'GEN Lion NORTH'!AY56+'GEN Lion SOUTH'!AY56</f>
        <v>0</v>
      </c>
      <c r="AY54" s="113">
        <f>'GEN Lion NORTH'!AZ56+'GEN Lion SOUTH'!AZ56</f>
        <v>0</v>
      </c>
      <c r="AZ54" s="113">
        <f>'GEN Lion NORTH'!BA56+'GEN Lion SOUTH'!BA56</f>
        <v>0</v>
      </c>
      <c r="BA54" s="110">
        <f>SUM(AO54:INDEX(AO54:AQ54,IF($A$2&lt;3,$A$2,3)))</f>
        <v>939</v>
      </c>
      <c r="BB54" s="110">
        <f>SUM(AR54:INDEX(AR54:AT54,IF(AND($A$2&gt;3,A52&lt;7),$A$2-3,0)))</f>
        <v>1054.5</v>
      </c>
      <c r="BC54" s="110">
        <f>SUM(AU54:INDEX(AU54:AW54,IF(AND($A$2&gt;6,$A$2&lt;10),$A$2-6,0)))</f>
        <v>349</v>
      </c>
      <c r="BD54" s="110">
        <f>SUM(AX54:INDEX(AX54:AZ54,IF($A$2&gt;9,$A$2-9,0)))</f>
        <v>0</v>
      </c>
      <c r="BE54" s="110">
        <f>SUM($AO54:INDEX(AO54:AZ54,$A$2))</f>
        <v>2342.5</v>
      </c>
      <c r="BF54" s="122">
        <f t="shared" si="112"/>
        <v>2.0148148148148146</v>
      </c>
      <c r="BG54" s="111">
        <f t="shared" si="112"/>
        <v>2.2560975609756095</v>
      </c>
      <c r="BH54" s="111">
        <f t="shared" si="112"/>
        <v>5.3555555555555552</v>
      </c>
      <c r="BI54" s="111">
        <f t="shared" si="112"/>
        <v>1.5760000000000001</v>
      </c>
      <c r="BJ54" s="111">
        <f t="shared" si="112"/>
        <v>1.39453125</v>
      </c>
      <c r="BK54" s="111">
        <f t="shared" si="112"/>
        <v>0.70011534025374855</v>
      </c>
      <c r="BL54" s="111">
        <f t="shared" si="112"/>
        <v>0.87468671679197996</v>
      </c>
      <c r="BM54" s="111">
        <f t="shared" si="112"/>
        <v>0</v>
      </c>
      <c r="BN54" s="111">
        <f t="shared" si="112"/>
        <v>0</v>
      </c>
      <c r="BO54" s="111">
        <f t="shared" si="112"/>
        <v>0</v>
      </c>
      <c r="BP54" s="111">
        <f t="shared" si="112"/>
        <v>0</v>
      </c>
      <c r="BQ54" s="111">
        <f t="shared" si="112"/>
        <v>0</v>
      </c>
      <c r="BR54" s="111">
        <f>BA54/SUM(N54:INDEX(N54:P54,IF($A$2&lt;3,$A$2,3)))</f>
        <v>3.0586319218241043</v>
      </c>
      <c r="BS54" s="111">
        <f>BB54/SUM(Q54:INDEX(Q54:S54,IF($A$2&lt;7,$A$2-3,3)))</f>
        <v>1.1224055348589674</v>
      </c>
      <c r="BT54" s="111">
        <f t="shared" si="113"/>
        <v>0.26949806949806948</v>
      </c>
      <c r="BU54" s="111">
        <f t="shared" si="113"/>
        <v>0</v>
      </c>
      <c r="BV54" s="111">
        <f t="shared" si="114"/>
        <v>1.4235794591309632</v>
      </c>
    </row>
    <row r="55" spans="1:76" outlineLevel="1" x14ac:dyDescent="0.25">
      <c r="A55" t="s">
        <v>7</v>
      </c>
      <c r="B55">
        <f>'Agency North'!C57+'Agency South'!C57</f>
        <v>157</v>
      </c>
      <c r="C55">
        <f>'Agency North'!D57+'Agency South'!D57</f>
        <v>151</v>
      </c>
      <c r="D55">
        <f>'Agency North'!E57+'Agency South'!E57</f>
        <v>242</v>
      </c>
      <c r="E55">
        <f>'Agency North'!F57+'Agency South'!F57</f>
        <v>159</v>
      </c>
      <c r="F55">
        <f>'Agency North'!G57+'Agency South'!G57</f>
        <v>173.5</v>
      </c>
      <c r="G55">
        <f>'Agency North'!H57+'Agency South'!H57</f>
        <v>346.5</v>
      </c>
      <c r="H55">
        <f>'Agency North'!I57+'Agency South'!I57</f>
        <v>323</v>
      </c>
      <c r="I55">
        <f>'Agency North'!J57+'Agency South'!J57</f>
        <v>189</v>
      </c>
      <c r="J55">
        <f>'Agency North'!K57+'Agency South'!K57</f>
        <v>391</v>
      </c>
      <c r="K55">
        <f>'Agency North'!L57+'Agency South'!L57</f>
        <v>287</v>
      </c>
      <c r="L55">
        <f>'Agency North'!M57+'Agency South'!M57</f>
        <v>508</v>
      </c>
      <c r="M55">
        <f>'Agency North'!N57+'Agency South'!N57</f>
        <v>469.5</v>
      </c>
      <c r="N55">
        <f>'Agency North'!O57+'Agency South'!O57</f>
        <v>180.5</v>
      </c>
      <c r="O55">
        <f>'Agency North'!P57+'Agency South'!P57</f>
        <v>227</v>
      </c>
      <c r="P55">
        <f>'Agency North'!Q57+'Agency South'!Q57</f>
        <v>286</v>
      </c>
      <c r="Q55">
        <f>'Agency North'!R57+'Agency South'!R57</f>
        <v>128</v>
      </c>
      <c r="R55">
        <f>'Agency North'!S57+'Agency South'!S57</f>
        <v>263</v>
      </c>
      <c r="S55">
        <f>'Agency North'!T57+'Agency South'!T57</f>
        <v>426.5</v>
      </c>
      <c r="T55">
        <f>'Agency North'!U57+'Agency South'!U57</f>
        <v>320</v>
      </c>
      <c r="U55">
        <f>'Agency North'!V57+'Agency South'!V57</f>
        <v>454</v>
      </c>
      <c r="V55">
        <f>'Agency North'!W57+'Agency South'!W57</f>
        <v>608</v>
      </c>
      <c r="W55">
        <f>'Agency North'!X57+'Agency South'!X57</f>
        <v>356</v>
      </c>
      <c r="X55">
        <f>'Agency North'!Y57+'Agency South'!Y57</f>
        <v>561</v>
      </c>
      <c r="Y55">
        <f>'Agency North'!Z57+'Agency South'!Z57</f>
        <v>1024.5</v>
      </c>
      <c r="Z55" s="22">
        <f>SUM(N55:INDEX(N55:Y55,$A$2))</f>
        <v>1831</v>
      </c>
      <c r="AA55" s="22">
        <f t="shared" si="115"/>
        <v>693.5</v>
      </c>
      <c r="AB55" s="22">
        <f t="shared" si="116"/>
        <v>817.5</v>
      </c>
      <c r="AC55" s="22">
        <f t="shared" si="117"/>
        <v>1382</v>
      </c>
      <c r="AD55" s="22">
        <f t="shared" si="118"/>
        <v>1941.5</v>
      </c>
      <c r="AE55" s="22">
        <f>SUM(B55                                                                                : INDEX(B55:M55,$A$2))</f>
        <v>1552</v>
      </c>
      <c r="AF55" s="22">
        <f t="shared" si="108"/>
        <v>550</v>
      </c>
      <c r="AG55" s="22">
        <f t="shared" si="109"/>
        <v>679</v>
      </c>
      <c r="AH55" s="22">
        <f t="shared" si="119"/>
        <v>903</v>
      </c>
      <c r="AI55" s="22">
        <f t="shared" si="110"/>
        <v>1264.5</v>
      </c>
      <c r="AJ55" s="31">
        <f t="shared" si="120"/>
        <v>0.17976804123711343</v>
      </c>
      <c r="AK55" s="31">
        <f t="shared" si="111"/>
        <v>0.26090909090909098</v>
      </c>
      <c r="AL55" s="31">
        <f t="shared" si="111"/>
        <v>0.20397643593519876</v>
      </c>
      <c r="AM55" s="31">
        <f t="shared" si="111"/>
        <v>0.53045404208194902</v>
      </c>
      <c r="AN55" s="31">
        <f>AD55/SUM(K55:INDEX(K55:M55,MOD($A$2,3)))-1</f>
        <v>5.7648083623693376</v>
      </c>
      <c r="AO55" s="166">
        <f>'GEN Lion NORTH'!AP57+'GEN Lion SOUTH'!AP57</f>
        <v>412.5</v>
      </c>
      <c r="AP55" s="166">
        <f>'GEN Lion NORTH'!AQ57+'GEN Lion SOUTH'!AQ57</f>
        <v>625</v>
      </c>
      <c r="AQ55" s="166">
        <f>'GEN Lion NORTH'!AR57+'GEN Lion SOUTH'!AR57</f>
        <v>475</v>
      </c>
      <c r="AR55" s="165">
        <f>'GEN Lion NORTH'!AS57+'GEN Lion SOUTH'!AS57</f>
        <v>306</v>
      </c>
      <c r="AS55" s="165">
        <f>'GEN Lion NORTH'!AT57+'GEN Lion SOUTH'!AT57</f>
        <v>352</v>
      </c>
      <c r="AT55" s="165">
        <f>'GEN Lion NORTH'!AU57+'GEN Lion SOUTH'!AU57</f>
        <v>379</v>
      </c>
      <c r="AU55" s="165">
        <f>'GEN Lion NORTH'!AV57+'GEN Lion SOUTH'!AV57</f>
        <v>352.5</v>
      </c>
      <c r="AV55" s="113">
        <f>'GEN Lion NORTH'!AW57+'GEN Lion SOUTH'!AW57</f>
        <v>0</v>
      </c>
      <c r="AW55" s="113">
        <f>'GEN Lion NORTH'!AX57+'GEN Lion SOUTH'!AX57</f>
        <v>0</v>
      </c>
      <c r="AX55" s="113">
        <f>'GEN Lion NORTH'!AY57+'GEN Lion SOUTH'!AY57</f>
        <v>0</v>
      </c>
      <c r="AY55" s="113">
        <f>'GEN Lion NORTH'!AZ57+'GEN Lion SOUTH'!AZ57</f>
        <v>0</v>
      </c>
      <c r="AZ55" s="113">
        <f>'GEN Lion NORTH'!BA57+'GEN Lion SOUTH'!BA57</f>
        <v>0</v>
      </c>
      <c r="BA55" s="110">
        <f>SUM(AO55:INDEX(AO55:AQ55,IF($A$2&lt;3,$A$2,3)))</f>
        <v>1512.5</v>
      </c>
      <c r="BB55" s="110">
        <f>SUM(AR55:INDEX(AR55:AT55,IF(AND($A$2&gt;3,A53&lt;7),$A$2-3,0)))</f>
        <v>1037</v>
      </c>
      <c r="BC55" s="110">
        <f>SUM(AU55:INDEX(AU55:AW55,IF(AND($A$2&gt;6,$A$2&lt;10),$A$2-6,0)))</f>
        <v>352.5</v>
      </c>
      <c r="BD55" s="110">
        <f>SUM(AX55:INDEX(AX55:AZ55,IF($A$2&gt;9,$A$2-9,0)))</f>
        <v>0</v>
      </c>
      <c r="BE55" s="110">
        <f>SUM($AO55:INDEX(AO55:AZ55,$A$2))</f>
        <v>2902</v>
      </c>
      <c r="BF55" s="122">
        <f t="shared" si="112"/>
        <v>2.2853185595567869</v>
      </c>
      <c r="BG55" s="111">
        <f t="shared" si="112"/>
        <v>2.7533039647577091</v>
      </c>
      <c r="BH55" s="111">
        <f t="shared" si="112"/>
        <v>1.6608391608391608</v>
      </c>
      <c r="BI55" s="111">
        <f t="shared" si="112"/>
        <v>2.390625</v>
      </c>
      <c r="BJ55" s="111">
        <f t="shared" si="112"/>
        <v>1.338403041825095</v>
      </c>
      <c r="BK55" s="111">
        <f t="shared" si="112"/>
        <v>0.88862837045720988</v>
      </c>
      <c r="BL55" s="111">
        <f t="shared" si="112"/>
        <v>1.1015625</v>
      </c>
      <c r="BM55" s="111">
        <f t="shared" si="112"/>
        <v>0</v>
      </c>
      <c r="BN55" s="111">
        <f t="shared" si="112"/>
        <v>0</v>
      </c>
      <c r="BO55" s="111">
        <f t="shared" si="112"/>
        <v>0</v>
      </c>
      <c r="BP55" s="111">
        <f t="shared" si="112"/>
        <v>0</v>
      </c>
      <c r="BQ55" s="111">
        <f t="shared" si="112"/>
        <v>0</v>
      </c>
      <c r="BR55" s="111">
        <f>BA55/SUM(N55:INDEX(N55:P55,IF($A$2&lt;3,$A$2,3)))</f>
        <v>2.1809661139149243</v>
      </c>
      <c r="BS55" s="111">
        <f>BB55/SUM(Q55:INDEX(Q55:S55,IF($A$2&lt;7,$A$2-3,3)))</f>
        <v>1.2685015290519879</v>
      </c>
      <c r="BT55" s="111">
        <f t="shared" si="113"/>
        <v>0.25506512301013023</v>
      </c>
      <c r="BU55" s="111">
        <f t="shared" si="113"/>
        <v>0</v>
      </c>
      <c r="BV55" s="111">
        <f t="shared" si="114"/>
        <v>1.5849262697979247</v>
      </c>
    </row>
    <row r="56" spans="1:76" outlineLevel="1" x14ac:dyDescent="0.25">
      <c r="A56" t="s">
        <v>8</v>
      </c>
      <c r="B56">
        <f>'Agency North'!C58+'Agency South'!C58</f>
        <v>90</v>
      </c>
      <c r="C56">
        <f>'Agency North'!D58+'Agency South'!D58</f>
        <v>77</v>
      </c>
      <c r="D56">
        <f>'Agency North'!E58+'Agency South'!E58</f>
        <v>160</v>
      </c>
      <c r="E56">
        <f>'Agency North'!F58+'Agency South'!F58</f>
        <v>209</v>
      </c>
      <c r="F56">
        <f>'Agency North'!G58+'Agency South'!G58</f>
        <v>226</v>
      </c>
      <c r="G56">
        <f>'Agency North'!H58+'Agency South'!H58</f>
        <v>177</v>
      </c>
      <c r="H56">
        <f>'Agency North'!I58+'Agency South'!I58</f>
        <v>168</v>
      </c>
      <c r="I56">
        <f>'Agency North'!J58+'Agency South'!J58</f>
        <v>178</v>
      </c>
      <c r="J56">
        <f>'Agency North'!K58+'Agency South'!K58</f>
        <v>323</v>
      </c>
      <c r="K56">
        <f>'Agency North'!L58+'Agency South'!L58</f>
        <v>235</v>
      </c>
      <c r="L56">
        <f>'Agency North'!M58+'Agency South'!M58</f>
        <v>389</v>
      </c>
      <c r="M56">
        <f>'Agency North'!N58+'Agency South'!N58</f>
        <v>406</v>
      </c>
      <c r="N56">
        <f>'Agency North'!O58+'Agency South'!O58</f>
        <v>150.5</v>
      </c>
      <c r="O56">
        <f>'Agency North'!P58+'Agency South'!P58</f>
        <v>144</v>
      </c>
      <c r="P56">
        <f>'Agency North'!Q58+'Agency South'!Q58</f>
        <v>396</v>
      </c>
      <c r="Q56">
        <f>'Agency North'!R58+'Agency South'!R58</f>
        <v>269</v>
      </c>
      <c r="R56">
        <f>'Agency North'!S58+'Agency South'!S58</f>
        <v>183</v>
      </c>
      <c r="S56">
        <f>'Agency North'!T58+'Agency South'!T58</f>
        <v>172</v>
      </c>
      <c r="T56">
        <f>'Agency North'!U58+'Agency South'!U58</f>
        <v>165</v>
      </c>
      <c r="U56">
        <f>'Agency North'!V58+'Agency South'!V58</f>
        <v>226</v>
      </c>
      <c r="V56">
        <f>'Agency North'!W58+'Agency South'!W58</f>
        <v>328.5</v>
      </c>
      <c r="W56">
        <f>'Agency North'!X58+'Agency South'!X58</f>
        <v>327.5</v>
      </c>
      <c r="X56">
        <f>'Agency North'!Y58+'Agency South'!Y58</f>
        <v>312.5</v>
      </c>
      <c r="Y56">
        <f>'Agency North'!Z58+'Agency South'!Z58</f>
        <v>570.5</v>
      </c>
      <c r="Z56" s="22">
        <f>SUM(N56:INDEX(N56:Y56,$A$2))</f>
        <v>1479.5</v>
      </c>
      <c r="AA56" s="22">
        <f t="shared" si="115"/>
        <v>690.5</v>
      </c>
      <c r="AB56" s="22">
        <f t="shared" si="116"/>
        <v>624</v>
      </c>
      <c r="AC56" s="22">
        <f t="shared" si="117"/>
        <v>719.5</v>
      </c>
      <c r="AD56" s="22">
        <f t="shared" si="118"/>
        <v>1210.5</v>
      </c>
      <c r="AE56" s="22">
        <f>SUM(B56                                                                                : INDEX(B56:M56,$A$2))</f>
        <v>1107</v>
      </c>
      <c r="AF56" s="22">
        <f t="shared" si="108"/>
        <v>327</v>
      </c>
      <c r="AG56" s="22">
        <f t="shared" si="109"/>
        <v>612</v>
      </c>
      <c r="AH56" s="22">
        <f t="shared" si="119"/>
        <v>669</v>
      </c>
      <c r="AI56" s="22">
        <f t="shared" si="110"/>
        <v>1030</v>
      </c>
      <c r="AJ56" s="31">
        <f t="shared" si="120"/>
        <v>0.3364950316169828</v>
      </c>
      <c r="AK56" s="31">
        <f t="shared" si="111"/>
        <v>1.1116207951070338</v>
      </c>
      <c r="AL56" s="31">
        <f t="shared" si="111"/>
        <v>1.9607843137254832E-2</v>
      </c>
      <c r="AM56" s="31">
        <f t="shared" si="111"/>
        <v>7.5485799701046297E-2</v>
      </c>
      <c r="AN56" s="31">
        <f>AD56/SUM(K56:INDEX(K56:M56,MOD($A$2,3)))-1</f>
        <v>4.1510638297872342</v>
      </c>
      <c r="AO56" s="166">
        <f>'GEN Lion NORTH'!AP58+'GEN Lion SOUTH'!AP58</f>
        <v>186.5</v>
      </c>
      <c r="AP56" s="166">
        <f>'GEN Lion NORTH'!AQ58+'GEN Lion SOUTH'!AQ58</f>
        <v>390</v>
      </c>
      <c r="AQ56" s="166">
        <f>'GEN Lion NORTH'!AR58+'GEN Lion SOUTH'!AR58</f>
        <v>631.5</v>
      </c>
      <c r="AR56" s="165">
        <f>'GEN Lion NORTH'!AS58+'GEN Lion SOUTH'!AS58</f>
        <v>224.5</v>
      </c>
      <c r="AS56" s="165">
        <f>'GEN Lion NORTH'!AT58+'GEN Lion SOUTH'!AT58</f>
        <v>153</v>
      </c>
      <c r="AT56" s="165">
        <f>'GEN Lion NORTH'!AU58+'GEN Lion SOUTH'!AU58</f>
        <v>157</v>
      </c>
      <c r="AU56" s="165">
        <f>'GEN Lion NORTH'!AV58+'GEN Lion SOUTH'!AV58</f>
        <v>180</v>
      </c>
      <c r="AV56" s="113">
        <f>'GEN Lion NORTH'!AW58+'GEN Lion SOUTH'!AW58</f>
        <v>0</v>
      </c>
      <c r="AW56" s="113">
        <f>'GEN Lion NORTH'!AX58+'GEN Lion SOUTH'!AX58</f>
        <v>0</v>
      </c>
      <c r="AX56" s="113">
        <f>'GEN Lion NORTH'!AY58+'GEN Lion SOUTH'!AY58</f>
        <v>0</v>
      </c>
      <c r="AY56" s="113">
        <f>'GEN Lion NORTH'!AZ58+'GEN Lion SOUTH'!AZ58</f>
        <v>0</v>
      </c>
      <c r="AZ56" s="113">
        <f>'GEN Lion NORTH'!BA58+'GEN Lion SOUTH'!BA58</f>
        <v>0</v>
      </c>
      <c r="BA56" s="110">
        <f>SUM(AO56:INDEX(AO56:AQ56,IF($A$2&lt;3,$A$2,3)))</f>
        <v>1208</v>
      </c>
      <c r="BB56" s="110">
        <f>SUM(AR56:INDEX(AR56:AT56,IF(AND($A$2&gt;3,A54&lt;7),$A$2-3,0)))</f>
        <v>534.5</v>
      </c>
      <c r="BC56" s="110">
        <f>SUM(AU56:INDEX(AU56:AW56,IF(AND($A$2&gt;6,$A$2&lt;10),$A$2-6,0)))</f>
        <v>180</v>
      </c>
      <c r="BD56" s="110">
        <f>SUM(AX56:INDEX(AX56:AZ56,IF($A$2&gt;9,$A$2-9,0)))</f>
        <v>0</v>
      </c>
      <c r="BE56" s="110">
        <f>SUM($AO56:INDEX(AO56:AZ56,$A$2))</f>
        <v>1922.5</v>
      </c>
      <c r="BF56" s="122">
        <f t="shared" si="112"/>
        <v>1.239202657807309</v>
      </c>
      <c r="BG56" s="111">
        <f t="shared" si="112"/>
        <v>2.7083333333333335</v>
      </c>
      <c r="BH56" s="111">
        <f t="shared" si="112"/>
        <v>1.5946969696969697</v>
      </c>
      <c r="BI56" s="111">
        <f t="shared" si="112"/>
        <v>0.83457249070631967</v>
      </c>
      <c r="BJ56" s="111">
        <f t="shared" si="112"/>
        <v>0.83606557377049184</v>
      </c>
      <c r="BK56" s="111">
        <f t="shared" si="112"/>
        <v>0.91279069767441856</v>
      </c>
      <c r="BL56" s="111">
        <f t="shared" si="112"/>
        <v>1.0909090909090908</v>
      </c>
      <c r="BM56" s="111">
        <f t="shared" si="112"/>
        <v>0</v>
      </c>
      <c r="BN56" s="111">
        <f t="shared" si="112"/>
        <v>0</v>
      </c>
      <c r="BO56" s="111">
        <f t="shared" si="112"/>
        <v>0</v>
      </c>
      <c r="BP56" s="111">
        <f t="shared" si="112"/>
        <v>0</v>
      </c>
      <c r="BQ56" s="111">
        <f t="shared" si="112"/>
        <v>0</v>
      </c>
      <c r="BR56" s="111">
        <f>BA56/SUM(N56:INDEX(N56:P56,IF($A$2&lt;3,$A$2,3)))</f>
        <v>1.7494569152787836</v>
      </c>
      <c r="BS56" s="111">
        <f>BB56/SUM(Q56:INDEX(Q56:S56,IF($A$2&lt;7,$A$2-3,3)))</f>
        <v>0.85657051282051277</v>
      </c>
      <c r="BT56" s="111">
        <f t="shared" si="113"/>
        <v>0.25017373175816537</v>
      </c>
      <c r="BU56" s="111">
        <f t="shared" si="113"/>
        <v>0</v>
      </c>
      <c r="BV56" s="111">
        <f t="shared" si="114"/>
        <v>1.2994254815816153</v>
      </c>
    </row>
    <row r="57" spans="1:76" outlineLevel="1" x14ac:dyDescent="0.25">
      <c r="A57" t="s">
        <v>1</v>
      </c>
      <c r="B57">
        <f>'Agency North'!C59+'Agency South'!C59</f>
        <v>63</v>
      </c>
      <c r="C57">
        <f>'Agency North'!D59+'Agency South'!D59</f>
        <v>70</v>
      </c>
      <c r="D57">
        <f>'Agency North'!E59+'Agency South'!E59</f>
        <v>101</v>
      </c>
      <c r="E57">
        <f>'Agency North'!F59+'Agency South'!F59</f>
        <v>154</v>
      </c>
      <c r="F57">
        <f>'Agency North'!G59+'Agency South'!G59</f>
        <v>169</v>
      </c>
      <c r="G57">
        <f>'Agency North'!H59+'Agency South'!H59</f>
        <v>172.5</v>
      </c>
      <c r="H57">
        <f>'Agency North'!I59+'Agency South'!I59</f>
        <v>204</v>
      </c>
      <c r="I57">
        <f>'Agency North'!J59+'Agency South'!J59</f>
        <v>152</v>
      </c>
      <c r="J57">
        <f>'Agency North'!K59+'Agency South'!K59</f>
        <v>302</v>
      </c>
      <c r="K57">
        <f>'Agency North'!L59+'Agency South'!L59</f>
        <v>231</v>
      </c>
      <c r="L57">
        <f>'Agency North'!M59+'Agency South'!M59</f>
        <v>455</v>
      </c>
      <c r="M57">
        <f>'Agency North'!N59+'Agency South'!N59</f>
        <v>450</v>
      </c>
      <c r="N57">
        <f>'Agency North'!O59+'Agency South'!O59</f>
        <v>116</v>
      </c>
      <c r="O57">
        <f>'Agency North'!P59+'Agency South'!P59</f>
        <v>139</v>
      </c>
      <c r="P57">
        <f>'Agency North'!Q59+'Agency South'!Q59</f>
        <v>298</v>
      </c>
      <c r="Q57">
        <f>'Agency North'!R59+'Agency South'!R59</f>
        <v>217</v>
      </c>
      <c r="R57">
        <f>'Agency North'!S59+'Agency South'!S59</f>
        <v>266</v>
      </c>
      <c r="S57">
        <f>'Agency North'!T59+'Agency South'!T59</f>
        <v>396</v>
      </c>
      <c r="T57">
        <f>'Agency North'!U59+'Agency South'!U59</f>
        <v>225</v>
      </c>
      <c r="U57">
        <f>'Agency North'!V59+'Agency South'!V59</f>
        <v>206.5</v>
      </c>
      <c r="V57">
        <f>'Agency North'!W59+'Agency South'!W59</f>
        <v>265</v>
      </c>
      <c r="W57">
        <f>'Agency North'!X59+'Agency South'!X59</f>
        <v>191</v>
      </c>
      <c r="X57">
        <f>'Agency North'!Y59+'Agency South'!Y59</f>
        <v>329</v>
      </c>
      <c r="Y57">
        <f>'Agency North'!Z59+'Agency South'!Z59</f>
        <v>581.5</v>
      </c>
      <c r="Z57" s="22">
        <f>SUM(N57:INDEX(N57:Y57,$A$2))</f>
        <v>1657</v>
      </c>
      <c r="AA57" s="22">
        <f t="shared" si="115"/>
        <v>553</v>
      </c>
      <c r="AB57" s="22">
        <f t="shared" si="116"/>
        <v>879</v>
      </c>
      <c r="AC57" s="22">
        <f t="shared" si="117"/>
        <v>696.5</v>
      </c>
      <c r="AD57" s="22">
        <f t="shared" si="118"/>
        <v>1101.5</v>
      </c>
      <c r="AE57" s="22">
        <f>SUM(B57                                                                                : INDEX(B57:M57,$A$2))</f>
        <v>933.5</v>
      </c>
      <c r="AF57" s="22">
        <f t="shared" si="108"/>
        <v>234</v>
      </c>
      <c r="AG57" s="22">
        <f t="shared" si="109"/>
        <v>495.5</v>
      </c>
      <c r="AH57" s="22">
        <f t="shared" si="119"/>
        <v>658</v>
      </c>
      <c r="AI57" s="22">
        <f t="shared" si="110"/>
        <v>1136</v>
      </c>
      <c r="AJ57" s="31">
        <f t="shared" si="120"/>
        <v>0.77504017139796466</v>
      </c>
      <c r="AK57" s="31">
        <f t="shared" si="111"/>
        <v>1.3632478632478633</v>
      </c>
      <c r="AL57" s="31">
        <f t="shared" si="111"/>
        <v>0.77396569122098891</v>
      </c>
      <c r="AM57" s="31">
        <f t="shared" si="111"/>
        <v>5.8510638297872397E-2</v>
      </c>
      <c r="AN57" s="31">
        <f>AD57/SUM(K57:INDEX(K57:M57,MOD($A$2,3)))-1</f>
        <v>3.7683982683982684</v>
      </c>
      <c r="AO57" s="166">
        <f>'GEN Lion NORTH'!AP59+'GEN Lion SOUTH'!AP59</f>
        <v>75</v>
      </c>
      <c r="AP57" s="166">
        <f>'GEN Lion NORTH'!AQ59+'GEN Lion SOUTH'!AQ59</f>
        <v>125</v>
      </c>
      <c r="AQ57" s="166">
        <f>'GEN Lion NORTH'!AR59+'GEN Lion SOUTH'!AR59</f>
        <v>228.5</v>
      </c>
      <c r="AR57" s="165">
        <f>'GEN Lion NORTH'!AS59+'GEN Lion SOUTH'!AS59</f>
        <v>237</v>
      </c>
      <c r="AS57" s="165">
        <f>'GEN Lion NORTH'!AT59+'GEN Lion SOUTH'!AT59</f>
        <v>874</v>
      </c>
      <c r="AT57" s="165">
        <f>'GEN Lion NORTH'!AU59+'GEN Lion SOUTH'!AU59</f>
        <v>222</v>
      </c>
      <c r="AU57" s="165">
        <f>'GEN Lion NORTH'!AV59+'GEN Lion SOUTH'!AV59</f>
        <v>184</v>
      </c>
      <c r="AV57" s="113">
        <f>'GEN Lion NORTH'!AW59+'GEN Lion SOUTH'!AW59</f>
        <v>0</v>
      </c>
      <c r="AW57" s="113">
        <f>'GEN Lion NORTH'!AX59+'GEN Lion SOUTH'!AX59</f>
        <v>0</v>
      </c>
      <c r="AX57" s="113">
        <f>'GEN Lion NORTH'!AY59+'GEN Lion SOUTH'!AY59</f>
        <v>0</v>
      </c>
      <c r="AY57" s="113">
        <f>'GEN Lion NORTH'!AZ59+'GEN Lion SOUTH'!AZ59</f>
        <v>0</v>
      </c>
      <c r="AZ57" s="113">
        <f>'GEN Lion NORTH'!BA59+'GEN Lion SOUTH'!BA59</f>
        <v>0</v>
      </c>
      <c r="BA57" s="110">
        <f>SUM(AO57:INDEX(AO57:AQ57,IF($A$2&lt;3,$A$2,3)))</f>
        <v>428.5</v>
      </c>
      <c r="BB57" s="110">
        <f>SUM(AR57:INDEX(AR57:AT57,IF(AND($A$2&gt;3,A55&lt;7),$A$2-3,0)))</f>
        <v>1333</v>
      </c>
      <c r="BC57" s="110">
        <f>SUM(AU57:INDEX(AU57:AW57,IF(AND($A$2&gt;6,$A$2&lt;10),$A$2-6,0)))</f>
        <v>184</v>
      </c>
      <c r="BD57" s="110">
        <f>SUM(AX57:INDEX(AX57:AZ57,IF($A$2&gt;9,$A$2-9,0)))</f>
        <v>0</v>
      </c>
      <c r="BE57" s="110">
        <f>SUM($AO57:INDEX(AO57:AZ57,$A$2))</f>
        <v>1945.5</v>
      </c>
      <c r="BF57" s="122">
        <f t="shared" si="112"/>
        <v>0.64655172413793105</v>
      </c>
      <c r="BG57" s="111">
        <f t="shared" si="112"/>
        <v>0.89928057553956831</v>
      </c>
      <c r="BH57" s="111">
        <f t="shared" si="112"/>
        <v>0.76677852348993292</v>
      </c>
      <c r="BI57" s="111">
        <f t="shared" si="112"/>
        <v>1.0921658986175116</v>
      </c>
      <c r="BJ57" s="111">
        <f t="shared" si="112"/>
        <v>3.2857142857142856</v>
      </c>
      <c r="BK57" s="111">
        <f t="shared" si="112"/>
        <v>0.56060606060606055</v>
      </c>
      <c r="BL57" s="111">
        <f t="shared" si="112"/>
        <v>0.81777777777777783</v>
      </c>
      <c r="BM57" s="111">
        <f t="shared" si="112"/>
        <v>0</v>
      </c>
      <c r="BN57" s="111">
        <f t="shared" si="112"/>
        <v>0</v>
      </c>
      <c r="BO57" s="111">
        <f t="shared" si="112"/>
        <v>0</v>
      </c>
      <c r="BP57" s="111">
        <f t="shared" si="112"/>
        <v>0</v>
      </c>
      <c r="BQ57" s="111">
        <f t="shared" si="112"/>
        <v>0</v>
      </c>
      <c r="BR57" s="111">
        <f>BA57/SUM(N57:INDEX(N57:P57,IF($A$2&lt;3,$A$2,3)))</f>
        <v>0.77486437613019887</v>
      </c>
      <c r="BS57" s="111">
        <f>BB57/SUM(Q57:INDEX(Q57:S57,IF($A$2&lt;7,$A$2-3,3)))</f>
        <v>1.5164960182025029</v>
      </c>
      <c r="BT57" s="111">
        <f t="shared" si="113"/>
        <v>0.26417803302225412</v>
      </c>
      <c r="BU57" s="111">
        <f t="shared" si="113"/>
        <v>0</v>
      </c>
      <c r="BV57" s="111">
        <f t="shared" si="114"/>
        <v>1.1741098370549186</v>
      </c>
    </row>
    <row r="58" spans="1:76" outlineLevel="1" x14ac:dyDescent="0.25">
      <c r="A58" t="s">
        <v>2</v>
      </c>
      <c r="B58">
        <f>'Agency North'!C60+'Agency South'!C60</f>
        <v>26</v>
      </c>
      <c r="C58">
        <f>'Agency North'!D60+'Agency South'!D60</f>
        <v>20</v>
      </c>
      <c r="D58">
        <f>'Agency North'!E60+'Agency South'!E60</f>
        <v>26</v>
      </c>
      <c r="E58">
        <f>'Agency North'!F60+'Agency South'!F60</f>
        <v>21</v>
      </c>
      <c r="F58">
        <f>'Agency North'!G60+'Agency South'!G60</f>
        <v>43</v>
      </c>
      <c r="G58">
        <f>'Agency North'!H60+'Agency South'!H60</f>
        <v>48.5</v>
      </c>
      <c r="H58">
        <f>'Agency North'!I60+'Agency South'!I60</f>
        <v>53</v>
      </c>
      <c r="I58">
        <f>'Agency North'!J60+'Agency South'!J60</f>
        <v>60.5</v>
      </c>
      <c r="J58">
        <f>'Agency North'!K60+'Agency South'!K60</f>
        <v>140</v>
      </c>
      <c r="K58">
        <f>'Agency North'!L60+'Agency South'!L60</f>
        <v>89.5</v>
      </c>
      <c r="L58">
        <f>'Agency North'!M60+'Agency South'!M60</f>
        <v>250</v>
      </c>
      <c r="M58">
        <f>'Agency North'!N60+'Agency South'!N60</f>
        <v>281.5</v>
      </c>
      <c r="N58">
        <f>'Agency North'!O60+'Agency South'!O60</f>
        <v>89</v>
      </c>
      <c r="O58">
        <f>'Agency North'!P60+'Agency South'!P60</f>
        <v>76</v>
      </c>
      <c r="P58">
        <f>'Agency North'!Q60+'Agency South'!Q60</f>
        <v>184</v>
      </c>
      <c r="Q58">
        <f>'Agency North'!R60+'Agency South'!R60</f>
        <v>113</v>
      </c>
      <c r="R58">
        <f>'Agency North'!S60+'Agency South'!S60</f>
        <v>143</v>
      </c>
      <c r="S58">
        <f>'Agency North'!T60+'Agency South'!T60</f>
        <v>271</v>
      </c>
      <c r="T58">
        <f>'Agency North'!U60+'Agency South'!U60</f>
        <v>157</v>
      </c>
      <c r="U58">
        <f>'Agency North'!V60+'Agency South'!V60</f>
        <v>186</v>
      </c>
      <c r="V58">
        <f>'Agency North'!W60+'Agency South'!W60</f>
        <v>286.5</v>
      </c>
      <c r="W58">
        <f>'Agency North'!X60+'Agency South'!X60</f>
        <v>234.5</v>
      </c>
      <c r="X58">
        <f>'Agency North'!Y60+'Agency South'!Y60</f>
        <v>304.5</v>
      </c>
      <c r="Y58">
        <f>'Agency North'!Z60+'Agency South'!Z60</f>
        <v>601.5</v>
      </c>
      <c r="Z58" s="22">
        <f>SUM(N58:INDEX(N58:Y58,$A$2))</f>
        <v>1033</v>
      </c>
      <c r="AA58" s="22">
        <f t="shared" si="115"/>
        <v>349</v>
      </c>
      <c r="AB58" s="22">
        <f t="shared" si="116"/>
        <v>527</v>
      </c>
      <c r="AC58" s="22">
        <f t="shared" si="117"/>
        <v>629.5</v>
      </c>
      <c r="AD58" s="22">
        <f t="shared" si="118"/>
        <v>1140.5</v>
      </c>
      <c r="AE58" s="22">
        <f>SUM(B58                                                                                : INDEX(B58:M58,$A$2))</f>
        <v>237.5</v>
      </c>
      <c r="AF58" s="22">
        <f t="shared" si="108"/>
        <v>72</v>
      </c>
      <c r="AG58" s="22">
        <f t="shared" si="109"/>
        <v>112.5</v>
      </c>
      <c r="AH58" s="22">
        <f t="shared" si="119"/>
        <v>253.5</v>
      </c>
      <c r="AI58" s="22">
        <f t="shared" si="110"/>
        <v>621</v>
      </c>
      <c r="AJ58" s="31">
        <f t="shared" si="120"/>
        <v>3.3494736842105262</v>
      </c>
      <c r="AK58" s="31">
        <f t="shared" si="111"/>
        <v>3.8472222222222223</v>
      </c>
      <c r="AL58" s="31">
        <f t="shared" si="111"/>
        <v>3.6844444444444449</v>
      </c>
      <c r="AM58" s="31">
        <f t="shared" si="111"/>
        <v>1.4832347140039448</v>
      </c>
      <c r="AN58" s="31">
        <f>AD58/SUM(K58:INDEX(K58:M58,MOD($A$2,3)))-1</f>
        <v>11.743016759776536</v>
      </c>
      <c r="AO58" s="166">
        <f>'GEN Lion NORTH'!AP60+'GEN Lion SOUTH'!AP60</f>
        <v>147</v>
      </c>
      <c r="AP58" s="166">
        <f>'GEN Lion NORTH'!AQ60+'GEN Lion SOUTH'!AQ60</f>
        <v>167.5</v>
      </c>
      <c r="AQ58" s="166">
        <f>'GEN Lion NORTH'!AR60+'GEN Lion SOUTH'!AR60</f>
        <v>229.5</v>
      </c>
      <c r="AR58" s="165">
        <f>'GEN Lion NORTH'!AS60+'GEN Lion SOUTH'!AS60</f>
        <v>253</v>
      </c>
      <c r="AS58" s="165">
        <f>'GEN Lion NORTH'!AT60+'GEN Lion SOUTH'!AT60</f>
        <v>228</v>
      </c>
      <c r="AT58" s="165">
        <f>'GEN Lion NORTH'!AU60+'GEN Lion SOUTH'!AU60</f>
        <v>210.5</v>
      </c>
      <c r="AU58" s="165">
        <f>'GEN Lion NORTH'!AV60+'GEN Lion SOUTH'!AV60</f>
        <v>187</v>
      </c>
      <c r="AV58" s="113">
        <f>'GEN Lion NORTH'!AW60+'GEN Lion SOUTH'!AW60</f>
        <v>0</v>
      </c>
      <c r="AW58" s="113">
        <f>'GEN Lion NORTH'!AX60+'GEN Lion SOUTH'!AX60</f>
        <v>0</v>
      </c>
      <c r="AX58" s="113">
        <f>'GEN Lion NORTH'!AY60+'GEN Lion SOUTH'!AY60</f>
        <v>0</v>
      </c>
      <c r="AY58" s="113">
        <f>'GEN Lion NORTH'!AZ60+'GEN Lion SOUTH'!AZ60</f>
        <v>0</v>
      </c>
      <c r="AZ58" s="113">
        <f>'GEN Lion NORTH'!BA60+'GEN Lion SOUTH'!BA60</f>
        <v>0</v>
      </c>
      <c r="BA58" s="110">
        <f>SUM(AO58:INDEX(AO58:AQ58,IF($A$2&lt;3,$A$2,3)))</f>
        <v>544</v>
      </c>
      <c r="BB58" s="110">
        <f>SUM(AR58:INDEX(AR58:AT58,IF(AND($A$2&gt;3,A56&lt;7),$A$2-3,0)))</f>
        <v>691.5</v>
      </c>
      <c r="BC58" s="110">
        <f>SUM(AU58:INDEX(AU58:AW58,IF(AND($A$2&gt;6,$A$2&lt;10),$A$2-6,0)))</f>
        <v>187</v>
      </c>
      <c r="BD58" s="110">
        <f>SUM(AX58:INDEX(AX58:AZ58,IF($A$2&gt;9,$A$2-9,0)))</f>
        <v>0</v>
      </c>
      <c r="BE58" s="110">
        <f>SUM($AO58:INDEX(AO58:AZ58,$A$2))</f>
        <v>1422.5</v>
      </c>
      <c r="BF58" s="122">
        <f t="shared" si="112"/>
        <v>1.651685393258427</v>
      </c>
      <c r="BG58" s="111">
        <f t="shared" si="112"/>
        <v>2.2039473684210527</v>
      </c>
      <c r="BH58" s="111">
        <f t="shared" si="112"/>
        <v>1.2472826086956521</v>
      </c>
      <c r="BI58" s="111">
        <f t="shared" si="112"/>
        <v>2.2389380530973453</v>
      </c>
      <c r="BJ58" s="111">
        <f t="shared" si="112"/>
        <v>1.5944055944055944</v>
      </c>
      <c r="BK58" s="111">
        <f t="shared" si="112"/>
        <v>0.7767527675276753</v>
      </c>
      <c r="BL58" s="111">
        <f t="shared" si="112"/>
        <v>1.1910828025477707</v>
      </c>
      <c r="BM58" s="111">
        <f t="shared" si="112"/>
        <v>0</v>
      </c>
      <c r="BN58" s="111">
        <f t="shared" si="112"/>
        <v>0</v>
      </c>
      <c r="BO58" s="111">
        <f t="shared" si="112"/>
        <v>0</v>
      </c>
      <c r="BP58" s="111">
        <f t="shared" si="112"/>
        <v>0</v>
      </c>
      <c r="BQ58" s="111">
        <f t="shared" si="112"/>
        <v>0</v>
      </c>
      <c r="BR58" s="111">
        <f>BA58/SUM(N58:INDEX(N58:P58,IF($A$2&lt;3,$A$2,3)))</f>
        <v>1.5587392550143266</v>
      </c>
      <c r="BS58" s="111">
        <f>BB58/SUM(Q58:INDEX(Q58:S58,IF($A$2&lt;7,$A$2-3,3)))</f>
        <v>1.3121442125237193</v>
      </c>
      <c r="BT58" s="111">
        <f t="shared" si="113"/>
        <v>0.29706115965051627</v>
      </c>
      <c r="BU58" s="111">
        <f t="shared" si="113"/>
        <v>0</v>
      </c>
      <c r="BV58" s="111">
        <f t="shared" si="114"/>
        <v>1.3770571151984512</v>
      </c>
    </row>
    <row r="59" spans="1:76" outlineLevel="1" x14ac:dyDescent="0.25">
      <c r="A59" s="135" t="s">
        <v>136</v>
      </c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31"/>
      <c r="AK59" s="31"/>
      <c r="AL59" s="31"/>
      <c r="AM59" s="31"/>
      <c r="AN59" s="31"/>
      <c r="AO59" s="166"/>
      <c r="AP59" s="166">
        <f>'GEN Lion NORTH'!AQ61+'GEN Lion SOUTH'!AQ61</f>
        <v>117.5</v>
      </c>
      <c r="AQ59" s="166">
        <f>'GEN Lion NORTH'!AR61+'GEN Lion SOUTH'!AR61</f>
        <v>103.5</v>
      </c>
      <c r="AR59" s="165">
        <f>'GEN Lion NORTH'!AS61+'GEN Lion SOUTH'!AS61</f>
        <v>215.5</v>
      </c>
      <c r="AS59" s="165">
        <f>'GEN Lion NORTH'!AT61+'GEN Lion SOUTH'!AT61</f>
        <v>86</v>
      </c>
      <c r="AT59" s="165">
        <f>'GEN Lion NORTH'!AU61+'GEN Lion SOUTH'!AU61</f>
        <v>62</v>
      </c>
      <c r="AU59" s="165">
        <f>'GEN Lion NORTH'!AV61+'GEN Lion SOUTH'!AV61</f>
        <v>74</v>
      </c>
      <c r="AV59" s="113"/>
      <c r="AW59" s="113"/>
      <c r="AX59" s="113"/>
      <c r="AY59" s="113"/>
      <c r="AZ59" s="113"/>
      <c r="BA59" s="110">
        <f>SUM(AO59:INDEX(AO59:AQ59,IF($A$2&lt;3,$A$2,3)))</f>
        <v>221</v>
      </c>
      <c r="BB59" s="110">
        <f>SUM(AR59:INDEX(AR59:AT59,IF(AND($A$2&gt;3,A57&lt;7),$A$2-3,0)))</f>
        <v>363.5</v>
      </c>
      <c r="BC59" s="110">
        <f>SUM(AU59:INDEX(AU59:AW59,IF(AND($A$2&gt;6,$A$2&lt;10),$A$2-6,0)))</f>
        <v>74</v>
      </c>
      <c r="BD59" s="110"/>
      <c r="BE59" s="110">
        <f>SUM($AO59:INDEX(AO59:AZ59,$A$2))</f>
        <v>658.5</v>
      </c>
      <c r="BF59" s="122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</row>
    <row r="60" spans="1:76" s="17" customFormat="1" x14ac:dyDescent="0.25">
      <c r="A60" s="1" t="s">
        <v>3</v>
      </c>
      <c r="B60" s="1">
        <f>SUM(B52:B58)</f>
        <v>715</v>
      </c>
      <c r="C60" s="1">
        <f t="shared" ref="C60:Y60" si="121">SUM(C52:C58)</f>
        <v>599</v>
      </c>
      <c r="D60" s="1">
        <f t="shared" si="121"/>
        <v>1001</v>
      </c>
      <c r="E60" s="1">
        <f t="shared" si="121"/>
        <v>1150</v>
      </c>
      <c r="F60" s="1">
        <f t="shared" si="121"/>
        <v>1163</v>
      </c>
      <c r="G60" s="1">
        <f t="shared" si="121"/>
        <v>1384</v>
      </c>
      <c r="H60" s="1">
        <f t="shared" si="121"/>
        <v>1511</v>
      </c>
      <c r="I60" s="1">
        <f t="shared" si="121"/>
        <v>1076</v>
      </c>
      <c r="J60" s="1">
        <f t="shared" si="121"/>
        <v>2055</v>
      </c>
      <c r="K60" s="1">
        <f t="shared" si="121"/>
        <v>1575</v>
      </c>
      <c r="L60" s="1">
        <f t="shared" si="121"/>
        <v>2642</v>
      </c>
      <c r="M60" s="1">
        <f t="shared" si="121"/>
        <v>3037</v>
      </c>
      <c r="N60" s="7">
        <f t="shared" si="121"/>
        <v>817</v>
      </c>
      <c r="O60" s="7">
        <f t="shared" si="121"/>
        <v>817</v>
      </c>
      <c r="P60" s="7">
        <f t="shared" si="121"/>
        <v>1954</v>
      </c>
      <c r="Q60" s="7">
        <f t="shared" si="121"/>
        <v>1505</v>
      </c>
      <c r="R60" s="7">
        <f t="shared" si="121"/>
        <v>1629</v>
      </c>
      <c r="S60" s="7">
        <f t="shared" si="121"/>
        <v>2788</v>
      </c>
      <c r="T60" s="7">
        <f t="shared" si="121"/>
        <v>1879</v>
      </c>
      <c r="U60" s="7">
        <f t="shared" si="121"/>
        <v>2092</v>
      </c>
      <c r="V60" s="7">
        <f t="shared" si="121"/>
        <v>3147</v>
      </c>
      <c r="W60" s="7">
        <f t="shared" si="121"/>
        <v>2298</v>
      </c>
      <c r="X60" s="7">
        <f t="shared" si="121"/>
        <v>2918</v>
      </c>
      <c r="Y60" s="7">
        <f t="shared" si="121"/>
        <v>5103</v>
      </c>
      <c r="Z60" s="7">
        <f>SUM(N60:INDEX(N60:Y60,$A$2))</f>
        <v>11389</v>
      </c>
      <c r="AA60" s="7">
        <f t="shared" ref="AA60:AI60" si="122">SUM(AA52:AA58)</f>
        <v>3588</v>
      </c>
      <c r="AB60" s="7">
        <f t="shared" si="122"/>
        <v>5922</v>
      </c>
      <c r="AC60" s="7">
        <f t="shared" si="122"/>
        <v>7118</v>
      </c>
      <c r="AD60" s="7">
        <f t="shared" si="122"/>
        <v>10319</v>
      </c>
      <c r="AE60" s="7">
        <f t="shared" si="122"/>
        <v>7523</v>
      </c>
      <c r="AF60" s="7">
        <f t="shared" si="122"/>
        <v>2315</v>
      </c>
      <c r="AG60" s="7">
        <f t="shared" si="122"/>
        <v>3697</v>
      </c>
      <c r="AH60" s="7">
        <f t="shared" si="122"/>
        <v>4642</v>
      </c>
      <c r="AI60" s="7">
        <f t="shared" si="122"/>
        <v>7254</v>
      </c>
      <c r="AJ60" s="32">
        <f t="shared" si="120"/>
        <v>0.51389073507909089</v>
      </c>
      <c r="AK60" s="32">
        <f t="shared" si="111"/>
        <v>0.54989200863930887</v>
      </c>
      <c r="AL60" s="32">
        <f t="shared" si="111"/>
        <v>0.60183932918582639</v>
      </c>
      <c r="AM60" s="32">
        <f t="shared" si="111"/>
        <v>0.53339077983627736</v>
      </c>
      <c r="AN60" s="31">
        <f>AD60/SUM(K60:INDEX(K60:M60,MOD($A$2,3)))-1</f>
        <v>5.5517460317460321</v>
      </c>
      <c r="AO60" s="114">
        <f t="shared" ref="AO60:AZ60" si="123">SUM(AO52:AO58)</f>
        <v>1602</v>
      </c>
      <c r="AP60" s="114">
        <f>SUM(AP52:AP59)</f>
        <v>2323</v>
      </c>
      <c r="AQ60" s="114">
        <f>SUM(AQ52:AQ59)</f>
        <v>3523</v>
      </c>
      <c r="AR60" s="114">
        <f>SUM(AR52:AR59)</f>
        <v>3134</v>
      </c>
      <c r="AS60" s="114">
        <f t="shared" si="123"/>
        <v>3322</v>
      </c>
      <c r="AT60" s="114">
        <f t="shared" si="123"/>
        <v>3463</v>
      </c>
      <c r="AU60" s="114">
        <f t="shared" si="123"/>
        <v>2594</v>
      </c>
      <c r="AV60" s="114">
        <f t="shared" si="123"/>
        <v>0</v>
      </c>
      <c r="AW60" s="114">
        <f t="shared" si="123"/>
        <v>0</v>
      </c>
      <c r="AX60" s="114">
        <f t="shared" si="123"/>
        <v>0</v>
      </c>
      <c r="AY60" s="114">
        <f t="shared" si="123"/>
        <v>0</v>
      </c>
      <c r="AZ60" s="114">
        <f t="shared" si="123"/>
        <v>0</v>
      </c>
      <c r="BA60" s="116">
        <f>SUM(AO60:INDEX(AO60:AQ60,IF($A$2&lt;3,$A$2,3)))</f>
        <v>7448</v>
      </c>
      <c r="BB60" s="116">
        <f>SUM(AR60:INDEX(AR60:AT60,IF(AND($A$2&gt;3,A57&lt;7),$A$2-3,0)))</f>
        <v>9919</v>
      </c>
      <c r="BC60" s="116">
        <f>SUM(AU60:INDEX(AU60:AW60,IF(AND($A$2&gt;6,$A$2&lt;10),$A$2-6,0)))</f>
        <v>2594</v>
      </c>
      <c r="BD60" s="116">
        <f>SUM(AX60:INDEX(AX60:AZ60,IF($A$2&gt;9,$A$2-9,0)))</f>
        <v>0</v>
      </c>
      <c r="BE60" s="116">
        <f>SUM($AO60:INDEX(AO60:AZ60,$A$2))</f>
        <v>19961</v>
      </c>
      <c r="BF60" s="123">
        <f t="shared" si="112"/>
        <v>1.9608323133414933</v>
      </c>
      <c r="BG60" s="118">
        <f t="shared" si="112"/>
        <v>2.8433292533659729</v>
      </c>
      <c r="BH60" s="118">
        <f t="shared" si="112"/>
        <v>1.8029682702149437</v>
      </c>
      <c r="BI60" s="118">
        <f t="shared" si="112"/>
        <v>2.0823920265780731</v>
      </c>
      <c r="BJ60" s="118">
        <f t="shared" si="112"/>
        <v>2.0392879066912215</v>
      </c>
      <c r="BK60" s="118">
        <f t="shared" si="112"/>
        <v>1.2421090387374463</v>
      </c>
      <c r="BL60" s="118">
        <f t="shared" si="112"/>
        <v>1.3805215540180946</v>
      </c>
      <c r="BM60" s="118">
        <f t="shared" si="112"/>
        <v>0</v>
      </c>
      <c r="BN60" s="118">
        <f t="shared" si="112"/>
        <v>0</v>
      </c>
      <c r="BO60" s="118">
        <f t="shared" si="112"/>
        <v>0</v>
      </c>
      <c r="BP60" s="118">
        <f t="shared" si="112"/>
        <v>0</v>
      </c>
      <c r="BQ60" s="118">
        <f t="shared" si="112"/>
        <v>0</v>
      </c>
      <c r="BR60" s="118">
        <f>BA60/SUM(N60:INDEX(N60:P60,IF($A$2&lt;3,$A$2,3)))</f>
        <v>2.0758082497212933</v>
      </c>
      <c r="BS60" s="118">
        <f>BB60/SUM(Q60:INDEX(Q60:S60,IF($A$2&lt;7,$A$2-3,3)))</f>
        <v>1.6749408983451537</v>
      </c>
      <c r="BT60" s="118">
        <f t="shared" si="113"/>
        <v>0.36442821017139648</v>
      </c>
      <c r="BU60" s="118">
        <f t="shared" si="113"/>
        <v>0</v>
      </c>
      <c r="BV60" s="118">
        <f t="shared" si="114"/>
        <v>1.7526560716480815</v>
      </c>
    </row>
    <row r="61" spans="1:76" x14ac:dyDescent="0.25">
      <c r="BF61" s="124"/>
    </row>
    <row r="62" spans="1:76" x14ac:dyDescent="0.25">
      <c r="BF62" s="124"/>
    </row>
    <row r="63" spans="1:76" s="17" customFormat="1" x14ac:dyDescent="0.25">
      <c r="A63" s="2" t="s">
        <v>13</v>
      </c>
      <c r="B63" s="3">
        <f t="shared" ref="B63:Y63" si="124">B27</f>
        <v>42005</v>
      </c>
      <c r="C63" s="3">
        <f t="shared" si="124"/>
        <v>42036</v>
      </c>
      <c r="D63" s="3">
        <f t="shared" si="124"/>
        <v>42064</v>
      </c>
      <c r="E63" s="3">
        <f t="shared" si="124"/>
        <v>42095</v>
      </c>
      <c r="F63" s="3">
        <f t="shared" si="124"/>
        <v>42125</v>
      </c>
      <c r="G63" s="3">
        <f t="shared" si="124"/>
        <v>42156</v>
      </c>
      <c r="H63" s="3">
        <f t="shared" si="124"/>
        <v>42186</v>
      </c>
      <c r="I63" s="3">
        <f t="shared" si="124"/>
        <v>42217</v>
      </c>
      <c r="J63" s="3">
        <f t="shared" si="124"/>
        <v>42248</v>
      </c>
      <c r="K63" s="3">
        <f t="shared" si="124"/>
        <v>42278</v>
      </c>
      <c r="L63" s="3">
        <f t="shared" si="124"/>
        <v>42309</v>
      </c>
      <c r="M63" s="3">
        <f t="shared" si="124"/>
        <v>42339</v>
      </c>
      <c r="N63" s="3">
        <f t="shared" si="124"/>
        <v>42370</v>
      </c>
      <c r="O63" s="3">
        <f t="shared" si="124"/>
        <v>42401</v>
      </c>
      <c r="P63" s="3">
        <f t="shared" si="124"/>
        <v>42430</v>
      </c>
      <c r="Q63" s="3">
        <f t="shared" si="124"/>
        <v>42461</v>
      </c>
      <c r="R63" s="3">
        <f t="shared" si="124"/>
        <v>42491</v>
      </c>
      <c r="S63" s="3">
        <f t="shared" si="124"/>
        <v>42522</v>
      </c>
      <c r="T63" s="3">
        <f t="shared" si="124"/>
        <v>42552</v>
      </c>
      <c r="U63" s="3">
        <f t="shared" si="124"/>
        <v>42583</v>
      </c>
      <c r="V63" s="3">
        <f t="shared" si="124"/>
        <v>42614</v>
      </c>
      <c r="W63" s="3">
        <f t="shared" si="124"/>
        <v>42644</v>
      </c>
      <c r="X63" s="3">
        <f t="shared" si="124"/>
        <v>42675</v>
      </c>
      <c r="Y63" s="3">
        <f t="shared" si="124"/>
        <v>42705</v>
      </c>
      <c r="Z63" s="29" t="s">
        <v>18</v>
      </c>
      <c r="AA63" s="29" t="s">
        <v>19</v>
      </c>
      <c r="AB63" s="29" t="s">
        <v>20</v>
      </c>
      <c r="AC63" s="29" t="s">
        <v>21</v>
      </c>
      <c r="AD63" s="29" t="s">
        <v>22</v>
      </c>
      <c r="AE63" s="26" t="str">
        <f t="shared" ref="AE63:AI63" si="125">AE39</f>
        <v>YTD 7/15</v>
      </c>
      <c r="AF63" s="26" t="str">
        <f t="shared" si="125"/>
        <v>Q1 '15</v>
      </c>
      <c r="AG63" s="26" t="str">
        <f t="shared" si="125"/>
        <v>Q2 '15</v>
      </c>
      <c r="AH63" s="26" t="str">
        <f t="shared" si="125"/>
        <v>Q3 '15</v>
      </c>
      <c r="AI63" s="26" t="str">
        <f t="shared" si="125"/>
        <v>Q4 '15</v>
      </c>
      <c r="AJ63" s="30" t="s">
        <v>27</v>
      </c>
      <c r="AK63" s="30" t="s">
        <v>29</v>
      </c>
      <c r="AL63" s="30" t="s">
        <v>30</v>
      </c>
      <c r="AM63" s="30" t="s">
        <v>31</v>
      </c>
      <c r="AN63" s="30" t="s">
        <v>32</v>
      </c>
      <c r="AO63" s="108">
        <v>42736</v>
      </c>
      <c r="AP63" s="108">
        <v>42767</v>
      </c>
      <c r="AQ63" s="108">
        <v>42795</v>
      </c>
      <c r="AR63" s="108">
        <v>42826</v>
      </c>
      <c r="AS63" s="108">
        <v>42856</v>
      </c>
      <c r="AT63" s="108">
        <v>42887</v>
      </c>
      <c r="AU63" s="108">
        <v>42917</v>
      </c>
      <c r="AV63" s="108">
        <v>42948</v>
      </c>
      <c r="AW63" s="108">
        <v>42979</v>
      </c>
      <c r="AX63" s="108">
        <v>43009</v>
      </c>
      <c r="AY63" s="108">
        <v>43040</v>
      </c>
      <c r="AZ63" s="108">
        <v>43070</v>
      </c>
      <c r="BA63" s="29" t="s">
        <v>123</v>
      </c>
      <c r="BB63" s="29" t="s">
        <v>124</v>
      </c>
      <c r="BC63" s="29" t="s">
        <v>125</v>
      </c>
      <c r="BD63" s="29" t="s">
        <v>126</v>
      </c>
      <c r="BE63" s="29" t="str">
        <f>"YTD " &amp; A62 &amp;"/17"</f>
        <v>YTD /17</v>
      </c>
      <c r="BF63" s="121">
        <v>42736</v>
      </c>
      <c r="BG63" s="108">
        <v>42767</v>
      </c>
      <c r="BH63" s="108">
        <v>42795</v>
      </c>
      <c r="BI63" s="108">
        <v>42826</v>
      </c>
      <c r="BJ63" s="108">
        <v>42856</v>
      </c>
      <c r="BK63" s="108">
        <v>42887</v>
      </c>
      <c r="BL63" s="108">
        <v>42917</v>
      </c>
      <c r="BM63" s="108">
        <v>42948</v>
      </c>
      <c r="BN63" s="108">
        <v>42979</v>
      </c>
      <c r="BO63" s="108">
        <v>43009</v>
      </c>
      <c r="BP63" s="108">
        <v>43040</v>
      </c>
      <c r="BQ63" s="108">
        <v>43070</v>
      </c>
      <c r="BR63" s="29" t="s">
        <v>127</v>
      </c>
      <c r="BS63" s="29" t="s">
        <v>128</v>
      </c>
      <c r="BT63" s="29" t="s">
        <v>96</v>
      </c>
      <c r="BU63" s="29" t="s">
        <v>129</v>
      </c>
      <c r="BV63" s="112" t="s">
        <v>130</v>
      </c>
    </row>
    <row r="64" spans="1:76" x14ac:dyDescent="0.25">
      <c r="A64" t="s">
        <v>157</v>
      </c>
      <c r="B64" s="12">
        <f t="shared" ref="B64:AI70" si="126">IFERROR(B52/B28,"")</f>
        <v>2.1578947368421053</v>
      </c>
      <c r="C64" s="12">
        <f t="shared" si="126"/>
        <v>2.2000000000000002</v>
      </c>
      <c r="D64" s="12">
        <f t="shared" si="126"/>
        <v>3.8048780487804876</v>
      </c>
      <c r="E64" s="12">
        <f t="shared" si="126"/>
        <v>3.1886792452830188</v>
      </c>
      <c r="F64" s="12">
        <f t="shared" si="126"/>
        <v>2.0084745762711864</v>
      </c>
      <c r="G64" s="12">
        <f t="shared" si="126"/>
        <v>2.7314814814814814</v>
      </c>
      <c r="H64" s="12">
        <f t="shared" si="126"/>
        <v>3.3076923076923075</v>
      </c>
      <c r="I64" s="12">
        <f t="shared" si="126"/>
        <v>1.9893617021276595</v>
      </c>
      <c r="J64" s="12">
        <f t="shared" si="126"/>
        <v>2.976923076923077</v>
      </c>
      <c r="K64" s="12">
        <f t="shared" si="126"/>
        <v>2.877049180327869</v>
      </c>
      <c r="L64" s="12">
        <f t="shared" si="126"/>
        <v>3.2962962962962963</v>
      </c>
      <c r="M64" s="12">
        <f t="shared" si="126"/>
        <v>5.1315789473684212</v>
      </c>
      <c r="N64" s="12">
        <f t="shared" si="126"/>
        <v>1.4222222222222223</v>
      </c>
      <c r="O64" s="12">
        <f t="shared" si="126"/>
        <v>1.6341463414634145</v>
      </c>
      <c r="P64" s="12">
        <f t="shared" si="126"/>
        <v>2.523076923076923</v>
      </c>
      <c r="Q64" s="12">
        <f t="shared" si="126"/>
        <v>3.4705882352941178</v>
      </c>
      <c r="R64" s="12">
        <f t="shared" si="126"/>
        <v>2.2400000000000002</v>
      </c>
      <c r="S64" s="12">
        <f t="shared" si="126"/>
        <v>2.09375</v>
      </c>
      <c r="T64" s="12">
        <f t="shared" si="126"/>
        <v>2.3913043478260869</v>
      </c>
      <c r="U64" s="12">
        <f t="shared" si="126"/>
        <v>2.2021276595744679</v>
      </c>
      <c r="V64" s="12">
        <f t="shared" si="126"/>
        <v>2.8725490196078431</v>
      </c>
      <c r="W64" s="12">
        <f t="shared" si="126"/>
        <v>2.7857142857142856</v>
      </c>
      <c r="X64" s="12">
        <f t="shared" si="126"/>
        <v>3.2976190476190474</v>
      </c>
      <c r="Y64" s="12">
        <f t="shared" si="126"/>
        <v>4.2352941176470589</v>
      </c>
      <c r="Z64" s="21">
        <f t="shared" si="126"/>
        <v>2.2872928176795582</v>
      </c>
      <c r="AA64" s="21">
        <f t="shared" si="126"/>
        <v>1.9536423841059603</v>
      </c>
      <c r="AB64" s="21">
        <f t="shared" si="126"/>
        <v>2.5636363636363635</v>
      </c>
      <c r="AC64" s="21">
        <f t="shared" si="126"/>
        <v>2.5</v>
      </c>
      <c r="AD64" s="21">
        <f t="shared" si="126"/>
        <v>3.4925925925925925</v>
      </c>
      <c r="AE64" s="21">
        <f t="shared" si="126"/>
        <v>2.785932721712538</v>
      </c>
      <c r="AF64" s="21">
        <f t="shared" si="126"/>
        <v>2.7889908256880735</v>
      </c>
      <c r="AG64" s="21">
        <f t="shared" si="126"/>
        <v>2.6204819277108435</v>
      </c>
      <c r="AH64" s="21">
        <f t="shared" si="126"/>
        <v>2.7987804878048781</v>
      </c>
      <c r="AI64" s="21">
        <f t="shared" si="126"/>
        <v>3.7558139534883721</v>
      </c>
      <c r="AJ64" s="31">
        <f>Z64/AE64-1</f>
        <v>-0.17898490517978527</v>
      </c>
      <c r="AK64" s="31">
        <f t="shared" ref="AK64:AN72" si="127">AA64/AF64-1</f>
        <v>-0.29951638201463926</v>
      </c>
      <c r="AL64" s="31">
        <f t="shared" si="127"/>
        <v>-2.1692789968652204E-2</v>
      </c>
      <c r="AM64" s="31">
        <f t="shared" si="127"/>
        <v>-0.10675381263616557</v>
      </c>
      <c r="AN64" s="31">
        <f t="shared" si="127"/>
        <v>-7.0083705997018741E-2</v>
      </c>
      <c r="AO64" s="171">
        <f t="shared" ref="AO64:AT70" si="128">IFERROR(AO52/AO28,"")</f>
        <v>2.7654320987654319</v>
      </c>
      <c r="AP64" s="171">
        <f t="shared" si="128"/>
        <v>2.87</v>
      </c>
      <c r="AQ64" s="171">
        <f t="shared" si="128"/>
        <v>3.6509433962264151</v>
      </c>
      <c r="AR64" s="168">
        <f t="shared" si="128"/>
        <v>2.5606557377049182</v>
      </c>
      <c r="AS64" s="168">
        <f t="shared" si="128"/>
        <v>2.7151394422310755</v>
      </c>
      <c r="AT64" s="168">
        <f t="shared" si="128"/>
        <v>3.4377682403433476</v>
      </c>
      <c r="AU64" s="168">
        <f t="shared" ref="AU64" si="129">IFERROR(AU52/AU28,"")</f>
        <v>3.0870786516853932</v>
      </c>
      <c r="BA64" s="10">
        <f t="shared" ref="BA64:BE71" si="130">IFERROR(BA52/BA28,"")</f>
        <v>3.1289198606271778</v>
      </c>
      <c r="BB64" s="10">
        <f t="shared" si="130"/>
        <v>2.8688212927756656</v>
      </c>
      <c r="BC64" s="10">
        <f t="shared" si="130"/>
        <v>3.0870786516853932</v>
      </c>
      <c r="BD64" s="10" t="str">
        <f t="shared" si="130"/>
        <v/>
      </c>
      <c r="BE64" s="10">
        <f t="shared" si="130"/>
        <v>2.95933014354067</v>
      </c>
      <c r="BF64" s="122">
        <f t="shared" ref="BF64:BQ72" si="131">AO64/N64</f>
        <v>1.9444444444444442</v>
      </c>
      <c r="BG64" s="111">
        <f t="shared" si="131"/>
        <v>1.7562686567164181</v>
      </c>
      <c r="BH64" s="111">
        <f t="shared" si="131"/>
        <v>1.4470202485043719</v>
      </c>
      <c r="BI64" s="111">
        <f t="shared" si="131"/>
        <v>0.73781606001667133</v>
      </c>
      <c r="BJ64" s="111">
        <f t="shared" si="131"/>
        <v>1.2121158224245872</v>
      </c>
      <c r="BK64" s="111">
        <f t="shared" si="131"/>
        <v>1.641919159566972</v>
      </c>
      <c r="BL64" s="111">
        <f t="shared" si="131"/>
        <v>1.2909601634320735</v>
      </c>
      <c r="BM64" s="111">
        <f t="shared" si="131"/>
        <v>0</v>
      </c>
      <c r="BN64" s="111">
        <f t="shared" si="131"/>
        <v>0</v>
      </c>
      <c r="BO64" s="111">
        <f t="shared" si="131"/>
        <v>0</v>
      </c>
      <c r="BP64" s="111">
        <f t="shared" si="131"/>
        <v>0</v>
      </c>
      <c r="BQ64" s="111">
        <f t="shared" si="131"/>
        <v>0</v>
      </c>
      <c r="BR64" s="111">
        <f>BA64/(SUM(N52:INDEX(N52:P52,IF($A$2&lt;3,$A$2,3)))/SUM(N28:INDEX(N28:P28,IF($A$2&lt;3,$A$2,3))))</f>
        <v>1.6015827083210299</v>
      </c>
      <c r="BS64" s="111">
        <f>BB64/(SUM(Q52:INDEX(Q52:S52,$B$2))/SUM(Q28:INDEX(Q28:S28,$B$2)))</f>
        <v>0.8266095250370562</v>
      </c>
      <c r="BV64" s="31">
        <f>BE64/Z64</f>
        <v>1.2938134202436262</v>
      </c>
    </row>
    <row r="65" spans="1:74" x14ac:dyDescent="0.25">
      <c r="A65" t="s">
        <v>5</v>
      </c>
      <c r="B65" s="12">
        <f t="shared" si="126"/>
        <v>1.2622950819672132</v>
      </c>
      <c r="C65" s="12">
        <f t="shared" si="126"/>
        <v>1.1805555555555556</v>
      </c>
      <c r="D65" s="12">
        <f t="shared" si="126"/>
        <v>1.4214285714285715</v>
      </c>
      <c r="E65" s="12">
        <f t="shared" si="126"/>
        <v>1.4457831325301205</v>
      </c>
      <c r="F65" s="12">
        <f t="shared" si="126"/>
        <v>1.2358490566037736</v>
      </c>
      <c r="G65" s="12">
        <f t="shared" si="126"/>
        <v>1.3317073170731708</v>
      </c>
      <c r="H65" s="12">
        <f t="shared" si="126"/>
        <v>1.4462809917355373</v>
      </c>
      <c r="I65" s="12">
        <f t="shared" si="126"/>
        <v>1.2971428571428572</v>
      </c>
      <c r="J65" s="12">
        <f t="shared" si="126"/>
        <v>1.5092936802973977</v>
      </c>
      <c r="K65" s="12">
        <f t="shared" si="126"/>
        <v>1.3316831683168318</v>
      </c>
      <c r="L65" s="12">
        <f t="shared" si="126"/>
        <v>1.678191489361702</v>
      </c>
      <c r="M65" s="12">
        <f t="shared" si="126"/>
        <v>1.8985507246376812</v>
      </c>
      <c r="N65" s="12">
        <f t="shared" si="126"/>
        <v>1.3898305084745763</v>
      </c>
      <c r="O65" s="12">
        <f t="shared" si="126"/>
        <v>1.3015873015873016</v>
      </c>
      <c r="P65" s="12">
        <f t="shared" si="126"/>
        <v>1.7807308970099667</v>
      </c>
      <c r="Q65" s="12">
        <f t="shared" si="126"/>
        <v>1.4385245901639345</v>
      </c>
      <c r="R65" s="12">
        <f t="shared" si="126"/>
        <v>1.3578595317725752</v>
      </c>
      <c r="S65" s="12">
        <f t="shared" si="126"/>
        <v>1.6579861111111112</v>
      </c>
      <c r="T65" s="12">
        <f t="shared" si="126"/>
        <v>1.4011142061281336</v>
      </c>
      <c r="U65" s="12">
        <f t="shared" si="126"/>
        <v>1.4156479217603912</v>
      </c>
      <c r="V65" s="12">
        <f t="shared" si="126"/>
        <v>1.7211191335740073</v>
      </c>
      <c r="W65" s="12">
        <f t="shared" si="126"/>
        <v>1.4665898617511521</v>
      </c>
      <c r="X65" s="12">
        <f t="shared" si="126"/>
        <v>1.8132678132678133</v>
      </c>
      <c r="Y65" s="12">
        <f t="shared" si="126"/>
        <v>1.8475452196382429</v>
      </c>
      <c r="Z65" s="21">
        <f t="shared" si="126"/>
        <v>1.5334034718569174</v>
      </c>
      <c r="AA65" s="21">
        <f t="shared" si="126"/>
        <v>1.6548463356973995</v>
      </c>
      <c r="AB65" s="21">
        <f t="shared" si="126"/>
        <v>1.5299374441465594</v>
      </c>
      <c r="AC65" s="21">
        <f t="shared" si="126"/>
        <v>1.5397125567322238</v>
      </c>
      <c r="AD65" s="21">
        <f t="shared" si="126"/>
        <v>1.7365325077399381</v>
      </c>
      <c r="AE65" s="21">
        <f t="shared" si="126"/>
        <v>1.3539783001808319</v>
      </c>
      <c r="AF65" s="21">
        <f t="shared" si="126"/>
        <v>1.311377245508982</v>
      </c>
      <c r="AG65" s="21">
        <f t="shared" si="126"/>
        <v>1.338679245283019</v>
      </c>
      <c r="AH65" s="21">
        <f t="shared" si="126"/>
        <v>1.4329446064139941</v>
      </c>
      <c r="AI65" s="21">
        <f t="shared" si="126"/>
        <v>1.6674473067915692</v>
      </c>
      <c r="AJ65" s="31">
        <f t="shared" ref="AJ65:AJ72" si="132">Z65/AE65-1</f>
        <v>0.13251702161853118</v>
      </c>
      <c r="AK65" s="31">
        <f t="shared" si="127"/>
        <v>0.26191478566879312</v>
      </c>
      <c r="AL65" s="31">
        <f t="shared" si="127"/>
        <v>0.14287081803759882</v>
      </c>
      <c r="AM65" s="31">
        <f t="shared" si="127"/>
        <v>7.4509474993189828E-2</v>
      </c>
      <c r="AN65" s="31">
        <f t="shared" si="127"/>
        <v>4.1431714613698656E-2</v>
      </c>
      <c r="AO65" s="171">
        <f t="shared" si="128"/>
        <v>1.78125</v>
      </c>
      <c r="AP65" s="171">
        <f t="shared" si="128"/>
        <v>1.3107692307692307</v>
      </c>
      <c r="AQ65" s="171">
        <f t="shared" si="128"/>
        <v>1.6683587140439933</v>
      </c>
      <c r="AR65" s="168">
        <f t="shared" si="128"/>
        <v>1.5717391304347825</v>
      </c>
      <c r="AS65" s="168">
        <f t="shared" si="128"/>
        <v>1.5769230769230769</v>
      </c>
      <c r="AT65" s="168">
        <f t="shared" si="128"/>
        <v>1.5207877461706782</v>
      </c>
      <c r="AU65" s="168">
        <f t="shared" ref="AU65" si="133">IFERROR(AU53/AU29,"")</f>
        <v>1.5378640776699029</v>
      </c>
      <c r="BA65" s="10">
        <f t="shared" si="130"/>
        <v>1.5771375464684014</v>
      </c>
      <c r="BB65" s="10">
        <f t="shared" si="130"/>
        <v>1.5471436494731003</v>
      </c>
      <c r="BC65" s="10">
        <f t="shared" si="130"/>
        <v>1.5378640776699029</v>
      </c>
      <c r="BD65" s="10" t="str">
        <f t="shared" si="130"/>
        <v/>
      </c>
      <c r="BE65" s="10">
        <f t="shared" si="130"/>
        <v>1.5552445492044784</v>
      </c>
      <c r="BF65" s="122">
        <f t="shared" si="131"/>
        <v>1.2816310975609755</v>
      </c>
      <c r="BG65" s="111">
        <f t="shared" si="131"/>
        <v>1.0070544090056284</v>
      </c>
      <c r="BH65" s="111">
        <f t="shared" si="131"/>
        <v>0.93689547187918287</v>
      </c>
      <c r="BI65" s="111">
        <f t="shared" si="131"/>
        <v>1.0926049795615012</v>
      </c>
      <c r="BJ65" s="111">
        <f t="shared" si="131"/>
        <v>1.1613300492610836</v>
      </c>
      <c r="BK65" s="111">
        <f t="shared" si="131"/>
        <v>0.91724999140765517</v>
      </c>
      <c r="BL65" s="111">
        <f t="shared" si="131"/>
        <v>1.0976008029492945</v>
      </c>
      <c r="BM65" s="111">
        <f t="shared" si="131"/>
        <v>0</v>
      </c>
      <c r="BN65" s="111">
        <f t="shared" si="131"/>
        <v>0</v>
      </c>
      <c r="BO65" s="111">
        <f t="shared" si="131"/>
        <v>0</v>
      </c>
      <c r="BP65" s="111">
        <f t="shared" si="131"/>
        <v>0</v>
      </c>
      <c r="BQ65" s="111">
        <f t="shared" si="131"/>
        <v>0</v>
      </c>
      <c r="BR65" s="111">
        <f>BA65/(SUM(N53:INDEX(N53:P53,IF($A$2&lt;3,$A$2,3)))/SUM(N29:INDEX(N29:P29,IF($A$2&lt;3,$A$2,3))))</f>
        <v>0.95304168879447693</v>
      </c>
      <c r="BS65" s="111">
        <f>BB65/(SUM(Q53:INDEX(Q53:S53,$B$2))/SUM(Q29:INDEX(Q29:S29,$B$2)))</f>
        <v>1.0755072663003888</v>
      </c>
      <c r="BV65" s="31">
        <f t="shared" ref="BV65:BV72" si="134">BE65/Z65</f>
        <v>1.014243529343984</v>
      </c>
    </row>
    <row r="66" spans="1:74" x14ac:dyDescent="0.25">
      <c r="A66" t="s">
        <v>6</v>
      </c>
      <c r="B66" s="12">
        <f t="shared" si="126"/>
        <v>1.3490566037735849</v>
      </c>
      <c r="C66" s="12">
        <f t="shared" si="126"/>
        <v>1.2264150943396226</v>
      </c>
      <c r="D66" s="12">
        <f t="shared" si="126"/>
        <v>1.647887323943662</v>
      </c>
      <c r="E66" s="12">
        <f t="shared" si="126"/>
        <v>1.4142857142857144</v>
      </c>
      <c r="F66" s="12">
        <f t="shared" si="126"/>
        <v>1.4598765432098766</v>
      </c>
      <c r="G66" s="12">
        <f t="shared" si="126"/>
        <v>1.4697986577181208</v>
      </c>
      <c r="H66" s="12">
        <f t="shared" si="126"/>
        <v>1.4345238095238095</v>
      </c>
      <c r="I66" s="12">
        <f t="shared" si="126"/>
        <v>1.3333333333333333</v>
      </c>
      <c r="J66" s="12">
        <f t="shared" si="126"/>
        <v>1.7212643678160919</v>
      </c>
      <c r="K66" s="12">
        <f t="shared" si="126"/>
        <v>1.4187192118226601</v>
      </c>
      <c r="L66" s="12">
        <f t="shared" si="126"/>
        <v>1.9090909090909092</v>
      </c>
      <c r="M66" s="12">
        <f t="shared" si="126"/>
        <v>1.9171875</v>
      </c>
      <c r="N66" s="12">
        <f t="shared" si="126"/>
        <v>1.2980769230769231</v>
      </c>
      <c r="O66" s="12">
        <f t="shared" si="126"/>
        <v>1.4642857142857142</v>
      </c>
      <c r="P66" s="12">
        <f t="shared" si="126"/>
        <v>1.8367346938775511</v>
      </c>
      <c r="Q66" s="12">
        <f t="shared" si="126"/>
        <v>1.4792899408284024</v>
      </c>
      <c r="R66" s="12">
        <f t="shared" si="126"/>
        <v>1.5802469135802468</v>
      </c>
      <c r="S66" s="12">
        <f t="shared" si="126"/>
        <v>1.8685344827586208</v>
      </c>
      <c r="T66" s="12">
        <f t="shared" si="126"/>
        <v>1.33</v>
      </c>
      <c r="U66" s="12">
        <f t="shared" si="126"/>
        <v>1.4780701754385965</v>
      </c>
      <c r="V66" s="12">
        <f t="shared" si="126"/>
        <v>1.8032258064516129</v>
      </c>
      <c r="W66" s="12">
        <f t="shared" si="126"/>
        <v>1.4468438538205981</v>
      </c>
      <c r="X66" s="12">
        <f t="shared" si="126"/>
        <v>1.7076677316293929</v>
      </c>
      <c r="Y66" s="12">
        <f t="shared" si="126"/>
        <v>1.8010610079575597</v>
      </c>
      <c r="Z66" s="21">
        <f t="shared" si="126"/>
        <v>1.5349813432835822</v>
      </c>
      <c r="AA66" s="21">
        <f t="shared" si="126"/>
        <v>1.4688995215311005</v>
      </c>
      <c r="AB66" s="21">
        <f t="shared" si="126"/>
        <v>1.6687388987566607</v>
      </c>
      <c r="AC66" s="21">
        <f t="shared" si="126"/>
        <v>1.5453460620525059</v>
      </c>
      <c r="AD66" s="21">
        <f t="shared" si="126"/>
        <v>1.6639757820383452</v>
      </c>
      <c r="AE66" s="21">
        <f t="shared" si="126"/>
        <v>1.4240576496674058</v>
      </c>
      <c r="AF66" s="21">
        <f t="shared" si="126"/>
        <v>1.3780918727915195</v>
      </c>
      <c r="AG66" s="21">
        <f t="shared" si="126"/>
        <v>1.4490022172949002</v>
      </c>
      <c r="AH66" s="21">
        <f t="shared" si="126"/>
        <v>1.5116033755274261</v>
      </c>
      <c r="AI66" s="21">
        <f t="shared" si="126"/>
        <v>1.7585403726708075</v>
      </c>
      <c r="AJ66" s="31">
        <f t="shared" si="132"/>
        <v>7.7892698825839712E-2</v>
      </c>
      <c r="AK66" s="31">
        <f t="shared" si="127"/>
        <v>6.5893755367439466E-2</v>
      </c>
      <c r="AL66" s="31">
        <f t="shared" si="127"/>
        <v>0.15164689110826934</v>
      </c>
      <c r="AM66" s="31">
        <f t="shared" si="127"/>
        <v>2.2322447191748473E-2</v>
      </c>
      <c r="AN66" s="31">
        <f t="shared" si="127"/>
        <v>-5.3774478028526085E-2</v>
      </c>
      <c r="AO66" s="171">
        <f t="shared" si="128"/>
        <v>1.2477064220183487</v>
      </c>
      <c r="AP66" s="171">
        <f t="shared" si="128"/>
        <v>1.5811965811965811</v>
      </c>
      <c r="AQ66" s="171">
        <f t="shared" si="128"/>
        <v>1.7591240875912408</v>
      </c>
      <c r="AR66" s="168">
        <f t="shared" si="128"/>
        <v>1.5038167938931297</v>
      </c>
      <c r="AS66" s="168">
        <f t="shared" si="128"/>
        <v>1.676056338028169</v>
      </c>
      <c r="AT66" s="168">
        <f t="shared" si="128"/>
        <v>1.5484693877551021</v>
      </c>
      <c r="AU66" s="168">
        <f t="shared" ref="AU66" si="135">IFERROR(AU54/AU30,"")</f>
        <v>1.4362139917695473</v>
      </c>
      <c r="BA66" s="10">
        <f t="shared" si="130"/>
        <v>1.541871921182266</v>
      </c>
      <c r="BB66" s="10">
        <f t="shared" si="130"/>
        <v>1.5715350223546944</v>
      </c>
      <c r="BC66" s="10">
        <f t="shared" si="130"/>
        <v>1.4362139917695473</v>
      </c>
      <c r="BD66" s="10" t="str">
        <f t="shared" si="130"/>
        <v/>
      </c>
      <c r="BE66" s="10">
        <f t="shared" si="130"/>
        <v>1.5380827314510834</v>
      </c>
      <c r="BF66" s="122">
        <f t="shared" si="131"/>
        <v>0.96119605844376488</v>
      </c>
      <c r="BG66" s="111">
        <f t="shared" si="131"/>
        <v>1.0798415676464457</v>
      </c>
      <c r="BH66" s="111">
        <f t="shared" si="131"/>
        <v>0.95774533657745331</v>
      </c>
      <c r="BI66" s="111">
        <f t="shared" si="131"/>
        <v>1.0165801526717557</v>
      </c>
      <c r="BJ66" s="111">
        <f t="shared" si="131"/>
        <v>1.0606294014084507</v>
      </c>
      <c r="BK66" s="111">
        <f t="shared" si="131"/>
        <v>0.82870795376974316</v>
      </c>
      <c r="BL66" s="111">
        <f t="shared" si="131"/>
        <v>1.0798601441876294</v>
      </c>
      <c r="BM66" s="111">
        <f t="shared" si="131"/>
        <v>0</v>
      </c>
      <c r="BN66" s="111">
        <f t="shared" si="131"/>
        <v>0</v>
      </c>
      <c r="BO66" s="111">
        <f t="shared" si="131"/>
        <v>0</v>
      </c>
      <c r="BP66" s="111">
        <f t="shared" si="131"/>
        <v>0</v>
      </c>
      <c r="BQ66" s="111">
        <f t="shared" si="131"/>
        <v>0</v>
      </c>
      <c r="BR66" s="111">
        <f>BA66/(SUM(N54:INDEX(N54:P54,IF($A$2&lt;3,$A$2,3)))/SUM(N30:INDEX(N30:P30,IF($A$2&lt;3,$A$2,3))))</f>
        <v>1.0496782785898815</v>
      </c>
      <c r="BS66" s="111">
        <f>BB66/(SUM(Q54:INDEX(Q54:S54,$B$2))/SUM(Q30:INDEX(Q30:S30,$B$2)))</f>
        <v>1.0623576751117734</v>
      </c>
      <c r="BV66" s="31">
        <f t="shared" si="134"/>
        <v>1.0020204728748474</v>
      </c>
    </row>
    <row r="67" spans="1:74" x14ac:dyDescent="0.25">
      <c r="A67" t="s">
        <v>7</v>
      </c>
      <c r="B67" s="12">
        <f t="shared" si="126"/>
        <v>1.2661290322580645</v>
      </c>
      <c r="C67" s="12">
        <f t="shared" si="126"/>
        <v>1.3017241379310345</v>
      </c>
      <c r="D67" s="12">
        <f t="shared" si="126"/>
        <v>1.375</v>
      </c>
      <c r="E67" s="12">
        <f t="shared" si="126"/>
        <v>1.4454545454545455</v>
      </c>
      <c r="F67" s="12">
        <f t="shared" si="126"/>
        <v>1.275735294117647</v>
      </c>
      <c r="G67" s="12">
        <f t="shared" si="126"/>
        <v>1.3482490272373542</v>
      </c>
      <c r="H67" s="12">
        <f t="shared" si="126"/>
        <v>1.3803418803418803</v>
      </c>
      <c r="I67" s="12">
        <f t="shared" si="126"/>
        <v>1.1812499999999999</v>
      </c>
      <c r="J67" s="12">
        <f t="shared" si="126"/>
        <v>1.4481481481481482</v>
      </c>
      <c r="K67" s="12">
        <f t="shared" si="126"/>
        <v>1.3666666666666667</v>
      </c>
      <c r="L67" s="12">
        <f t="shared" si="126"/>
        <v>1.9097744360902256</v>
      </c>
      <c r="M67" s="12">
        <f t="shared" si="126"/>
        <v>1.6189655172413793</v>
      </c>
      <c r="N67" s="12">
        <f t="shared" si="126"/>
        <v>1.227891156462585</v>
      </c>
      <c r="O67" s="12">
        <f t="shared" si="126"/>
        <v>1.2824858757062148</v>
      </c>
      <c r="P67" s="12">
        <f t="shared" si="126"/>
        <v>1.9066666666666667</v>
      </c>
      <c r="Q67" s="12">
        <f t="shared" si="126"/>
        <v>2.064516129032258</v>
      </c>
      <c r="R67" s="12">
        <f t="shared" si="126"/>
        <v>1.7533333333333334</v>
      </c>
      <c r="S67" s="12">
        <f t="shared" si="126"/>
        <v>1.706</v>
      </c>
      <c r="T67" s="12">
        <f t="shared" si="126"/>
        <v>1.5763546798029557</v>
      </c>
      <c r="U67" s="12">
        <f t="shared" si="126"/>
        <v>1.4788273615635179</v>
      </c>
      <c r="V67" s="12">
        <f t="shared" si="126"/>
        <v>1.772594752186589</v>
      </c>
      <c r="W67" s="12">
        <f t="shared" si="126"/>
        <v>1.4650205761316872</v>
      </c>
      <c r="X67" s="12">
        <f t="shared" si="126"/>
        <v>1.736842105263158</v>
      </c>
      <c r="Y67" s="12">
        <f t="shared" si="126"/>
        <v>2.0738866396761133</v>
      </c>
      <c r="Z67" s="21">
        <f t="shared" si="126"/>
        <v>1.6075504828797191</v>
      </c>
      <c r="AA67" s="21">
        <f t="shared" si="126"/>
        <v>1.4630801687763713</v>
      </c>
      <c r="AB67" s="21">
        <f t="shared" si="126"/>
        <v>1.7694805194805194</v>
      </c>
      <c r="AC67" s="21">
        <f t="shared" si="126"/>
        <v>1.6201641266119577</v>
      </c>
      <c r="AD67" s="21">
        <f t="shared" si="126"/>
        <v>1.8316037735849056</v>
      </c>
      <c r="AE67" s="21">
        <f t="shared" si="126"/>
        <v>1.3460537727666955</v>
      </c>
      <c r="AF67" s="21">
        <f t="shared" si="126"/>
        <v>1.3221153846153846</v>
      </c>
      <c r="AG67" s="21">
        <f t="shared" si="126"/>
        <v>1.3499005964214712</v>
      </c>
      <c r="AH67" s="21">
        <f t="shared" si="126"/>
        <v>1.3599397590361446</v>
      </c>
      <c r="AI67" s="21">
        <f t="shared" si="126"/>
        <v>1.6507832898172323</v>
      </c>
      <c r="AJ67" s="31">
        <f t="shared" si="132"/>
        <v>0.19426914095381198</v>
      </c>
      <c r="AK67" s="31">
        <f t="shared" si="127"/>
        <v>0.10662063674721911</v>
      </c>
      <c r="AL67" s="31">
        <f t="shared" si="127"/>
        <v>0.31082282960044361</v>
      </c>
      <c r="AM67" s="31">
        <f t="shared" si="127"/>
        <v>0.19134992255851602</v>
      </c>
      <c r="AN67" s="31">
        <f t="shared" si="127"/>
        <v>0.10953617284779571</v>
      </c>
      <c r="AO67" s="171">
        <f t="shared" si="128"/>
        <v>1.7331932773109244</v>
      </c>
      <c r="AP67" s="171">
        <f t="shared" si="128"/>
        <v>1.4775413711583925</v>
      </c>
      <c r="AQ67" s="171">
        <f t="shared" si="128"/>
        <v>1.6903914590747331</v>
      </c>
      <c r="AR67" s="168">
        <f t="shared" si="128"/>
        <v>1.4854368932038835</v>
      </c>
      <c r="AS67" s="168">
        <f t="shared" si="128"/>
        <v>1.4978723404255319</v>
      </c>
      <c r="AT67" s="168">
        <f t="shared" si="128"/>
        <v>1.7072072072072073</v>
      </c>
      <c r="AU67" s="168">
        <f t="shared" ref="AU67" si="136">IFERROR(AU55/AU31,"")</f>
        <v>1.8170103092783505</v>
      </c>
      <c r="BA67" s="10">
        <f t="shared" si="130"/>
        <v>1.6056263269639066</v>
      </c>
      <c r="BB67" s="10">
        <f t="shared" si="130"/>
        <v>1.5641025641025641</v>
      </c>
      <c r="BC67" s="10">
        <f t="shared" si="130"/>
        <v>1.8170103092783505</v>
      </c>
      <c r="BD67" s="10" t="str">
        <f t="shared" si="130"/>
        <v/>
      </c>
      <c r="BE67" s="10">
        <f t="shared" si="130"/>
        <v>1.6131183991106171</v>
      </c>
      <c r="BF67" s="122">
        <f t="shared" si="131"/>
        <v>1.4115202867850742</v>
      </c>
      <c r="BG67" s="111">
        <f t="shared" si="131"/>
        <v>1.1520917299340769</v>
      </c>
      <c r="BH67" s="111">
        <f t="shared" si="131"/>
        <v>0.88656894706716771</v>
      </c>
      <c r="BI67" s="111">
        <f t="shared" si="131"/>
        <v>0.71950849514563109</v>
      </c>
      <c r="BJ67" s="111">
        <f t="shared" si="131"/>
        <v>0.8542998139309117</v>
      </c>
      <c r="BK67" s="111">
        <f t="shared" si="131"/>
        <v>1.0007076243887498</v>
      </c>
      <c r="BL67" s="111">
        <f t="shared" si="131"/>
        <v>1.1526659149484535</v>
      </c>
      <c r="BM67" s="111">
        <f t="shared" si="131"/>
        <v>0</v>
      </c>
      <c r="BN67" s="111">
        <f t="shared" si="131"/>
        <v>0</v>
      </c>
      <c r="BO67" s="111">
        <f t="shared" si="131"/>
        <v>0</v>
      </c>
      <c r="BP67" s="111">
        <f t="shared" si="131"/>
        <v>0</v>
      </c>
      <c r="BQ67" s="111">
        <f t="shared" si="131"/>
        <v>0</v>
      </c>
      <c r="BR67" s="111">
        <f>BA67/(SUM(N55:INDEX(N55:P55,IF($A$2&lt;3,$A$2,3)))/SUM(N31:INDEX(N31:P31,IF($A$2&lt;3,$A$2,3))))</f>
        <v>1.0974288089126052</v>
      </c>
      <c r="BS67" s="111">
        <f>BB67/(SUM(Q55:INDEX(Q55:S55,$B$2))/SUM(Q31:INDEX(Q31:S31,$B$2)))</f>
        <v>0.75761217948717952</v>
      </c>
      <c r="BV67" s="31">
        <f t="shared" si="134"/>
        <v>1.0034636027236443</v>
      </c>
    </row>
    <row r="68" spans="1:74" x14ac:dyDescent="0.25">
      <c r="A68" t="s">
        <v>8</v>
      </c>
      <c r="B68" s="12">
        <f t="shared" si="126"/>
        <v>1.1111111111111112</v>
      </c>
      <c r="C68" s="12">
        <f t="shared" si="126"/>
        <v>1.1846153846153846</v>
      </c>
      <c r="D68" s="12">
        <f t="shared" si="126"/>
        <v>1.2903225806451613</v>
      </c>
      <c r="E68" s="12">
        <f t="shared" si="126"/>
        <v>1.471830985915493</v>
      </c>
      <c r="F68" s="12">
        <f t="shared" si="126"/>
        <v>1.2417582417582418</v>
      </c>
      <c r="G68" s="12">
        <f t="shared" si="126"/>
        <v>1.2377622377622377</v>
      </c>
      <c r="H68" s="12">
        <f t="shared" si="126"/>
        <v>1.2727272727272727</v>
      </c>
      <c r="I68" s="12">
        <f t="shared" si="126"/>
        <v>1.2714285714285714</v>
      </c>
      <c r="J68" s="12">
        <f t="shared" si="126"/>
        <v>1.2423076923076923</v>
      </c>
      <c r="K68" s="12">
        <f t="shared" si="126"/>
        <v>1.2239583333333333</v>
      </c>
      <c r="L68" s="12">
        <f t="shared" si="126"/>
        <v>1.9547738693467336</v>
      </c>
      <c r="M68" s="12">
        <f t="shared" si="126"/>
        <v>1.742489270386266</v>
      </c>
      <c r="N68" s="12">
        <f t="shared" si="126"/>
        <v>1.2137096774193548</v>
      </c>
      <c r="O68" s="12">
        <f t="shared" si="126"/>
        <v>1.1900826446280992</v>
      </c>
      <c r="P68" s="12">
        <f t="shared" si="126"/>
        <v>1.546875</v>
      </c>
      <c r="Q68" s="12">
        <f t="shared" si="126"/>
        <v>1.4619565217391304</v>
      </c>
      <c r="R68" s="12">
        <f t="shared" si="126"/>
        <v>1.3863636363636365</v>
      </c>
      <c r="S68" s="12">
        <f t="shared" si="126"/>
        <v>1.5087719298245614</v>
      </c>
      <c r="T68" s="12">
        <f t="shared" si="126"/>
        <v>1.4601769911504425</v>
      </c>
      <c r="U68" s="12">
        <f t="shared" si="126"/>
        <v>1.4580645161290322</v>
      </c>
      <c r="V68" s="12">
        <f t="shared" si="126"/>
        <v>1.7661290322580645</v>
      </c>
      <c r="W68" s="12">
        <f t="shared" si="126"/>
        <v>1.8194444444444444</v>
      </c>
      <c r="X68" s="12">
        <f t="shared" si="126"/>
        <v>2.0032051282051282</v>
      </c>
      <c r="Y68" s="12">
        <f t="shared" si="126"/>
        <v>1.7772585669781931</v>
      </c>
      <c r="Z68" s="21">
        <f t="shared" si="126"/>
        <v>1.4171455938697317</v>
      </c>
      <c r="AA68" s="21">
        <f t="shared" si="126"/>
        <v>1.3782435129740518</v>
      </c>
      <c r="AB68" s="21">
        <f t="shared" si="126"/>
        <v>1.4511627906976745</v>
      </c>
      <c r="AC68" s="21">
        <f t="shared" si="126"/>
        <v>1.5848017621145374</v>
      </c>
      <c r="AD68" s="21">
        <f t="shared" si="126"/>
        <v>1.8424657534246576</v>
      </c>
      <c r="AE68" s="21">
        <f t="shared" si="126"/>
        <v>1.2738780207134637</v>
      </c>
      <c r="AF68" s="21">
        <f t="shared" si="126"/>
        <v>1.211111111111111</v>
      </c>
      <c r="AG68" s="21">
        <f t="shared" si="126"/>
        <v>1.310492505353319</v>
      </c>
      <c r="AH68" s="21">
        <f t="shared" si="126"/>
        <v>1.2575187969924813</v>
      </c>
      <c r="AI68" s="21">
        <f t="shared" si="126"/>
        <v>1.6506410256410255</v>
      </c>
      <c r="AJ68" s="31">
        <f t="shared" si="132"/>
        <v>0.11246569202601342</v>
      </c>
      <c r="AK68" s="31">
        <f t="shared" si="127"/>
        <v>0.13799923089600608</v>
      </c>
      <c r="AL68" s="31">
        <f t="shared" si="127"/>
        <v>0.10734154126766993</v>
      </c>
      <c r="AM68" s="31">
        <f t="shared" si="127"/>
        <v>0.2602608930417547</v>
      </c>
      <c r="AN68" s="31">
        <f t="shared" si="127"/>
        <v>0.11621226226891879</v>
      </c>
      <c r="AO68" s="171">
        <f t="shared" si="128"/>
        <v>1.2773972602739727</v>
      </c>
      <c r="AP68" s="171">
        <f t="shared" si="128"/>
        <v>1.5294117647058822</v>
      </c>
      <c r="AQ68" s="171">
        <f t="shared" si="128"/>
        <v>1.7444751381215469</v>
      </c>
      <c r="AR68" s="168">
        <f t="shared" si="128"/>
        <v>1.2472222222222222</v>
      </c>
      <c r="AS68" s="168">
        <f t="shared" si="128"/>
        <v>1.4036697247706422</v>
      </c>
      <c r="AT68" s="168">
        <f t="shared" si="128"/>
        <v>1.4952380952380953</v>
      </c>
      <c r="AU68" s="168">
        <f t="shared" ref="AU68" si="137">IFERROR(AU56/AU32,"")</f>
        <v>1.6363636363636365</v>
      </c>
      <c r="BA68" s="10">
        <f t="shared" si="130"/>
        <v>1.583224115334207</v>
      </c>
      <c r="BB68" s="10">
        <f t="shared" si="130"/>
        <v>1.3565989847715736</v>
      </c>
      <c r="BC68" s="10">
        <f t="shared" si="130"/>
        <v>1.6363636363636365</v>
      </c>
      <c r="BD68" s="10" t="str">
        <f t="shared" si="130"/>
        <v/>
      </c>
      <c r="BE68" s="10">
        <f t="shared" si="130"/>
        <v>1.5173638516179953</v>
      </c>
      <c r="BF68" s="122">
        <f t="shared" si="131"/>
        <v>1.0524734901925092</v>
      </c>
      <c r="BG68" s="111">
        <f t="shared" si="131"/>
        <v>1.2851307189542482</v>
      </c>
      <c r="BH68" s="111">
        <f t="shared" si="131"/>
        <v>1.1277415034321112</v>
      </c>
      <c r="BI68" s="111">
        <f t="shared" si="131"/>
        <v>0.85311854605534909</v>
      </c>
      <c r="BJ68" s="111">
        <f t="shared" si="131"/>
        <v>1.0124830801624305</v>
      </c>
      <c r="BK68" s="111">
        <f t="shared" si="131"/>
        <v>0.99102990033222593</v>
      </c>
      <c r="BL68" s="111">
        <f t="shared" si="131"/>
        <v>1.1206611570247935</v>
      </c>
      <c r="BM68" s="111">
        <f t="shared" si="131"/>
        <v>0</v>
      </c>
      <c r="BN68" s="111">
        <f t="shared" si="131"/>
        <v>0</v>
      </c>
      <c r="BO68" s="111">
        <f t="shared" si="131"/>
        <v>0</v>
      </c>
      <c r="BP68" s="111">
        <f t="shared" si="131"/>
        <v>0</v>
      </c>
      <c r="BQ68" s="111">
        <f t="shared" si="131"/>
        <v>0</v>
      </c>
      <c r="BR68" s="111">
        <f>BA68/(SUM(N56:INDEX(N56:P56,IF($A$2&lt;3,$A$2,3)))/SUM(N32:INDEX(N32:P32,IF($A$2&lt;3,$A$2,3))))</f>
        <v>1.1487259692721763</v>
      </c>
      <c r="BS68" s="111">
        <f>BB68/(SUM(Q56:INDEX(Q56:S56,$B$2))/SUM(Q32:INDEX(Q32:S32,$B$2)))</f>
        <v>0.92793387805936633</v>
      </c>
      <c r="BV68" s="31">
        <f t="shared" si="134"/>
        <v>1.0707183920846144</v>
      </c>
    </row>
    <row r="69" spans="1:74" x14ac:dyDescent="0.25">
      <c r="A69" t="s">
        <v>1</v>
      </c>
      <c r="B69" s="12">
        <f t="shared" si="126"/>
        <v>1</v>
      </c>
      <c r="C69" s="12">
        <f t="shared" si="126"/>
        <v>1.1864406779661016</v>
      </c>
      <c r="D69" s="12">
        <f t="shared" si="126"/>
        <v>1.4428571428571428</v>
      </c>
      <c r="E69" s="12">
        <f t="shared" si="126"/>
        <v>1.375</v>
      </c>
      <c r="F69" s="12">
        <f t="shared" si="126"/>
        <v>1.1901408450704225</v>
      </c>
      <c r="G69" s="12">
        <f t="shared" si="126"/>
        <v>1.1499999999999999</v>
      </c>
      <c r="H69" s="12">
        <f t="shared" si="126"/>
        <v>1.3972602739726028</v>
      </c>
      <c r="I69" s="12">
        <f t="shared" si="126"/>
        <v>1.2063492063492063</v>
      </c>
      <c r="J69" s="12">
        <f t="shared" si="126"/>
        <v>1.4178403755868545</v>
      </c>
      <c r="K69" s="12">
        <f t="shared" si="126"/>
        <v>1.2486486486486486</v>
      </c>
      <c r="L69" s="12">
        <f t="shared" si="126"/>
        <v>2.03125</v>
      </c>
      <c r="M69" s="12">
        <f t="shared" si="126"/>
        <v>1.7857142857142858</v>
      </c>
      <c r="N69" s="12">
        <f t="shared" si="126"/>
        <v>1.1717171717171717</v>
      </c>
      <c r="O69" s="12">
        <f t="shared" si="126"/>
        <v>1.2636363636363637</v>
      </c>
      <c r="P69" s="12">
        <f t="shared" si="126"/>
        <v>1.5767195767195767</v>
      </c>
      <c r="Q69" s="12">
        <f t="shared" si="126"/>
        <v>1.1793478260869565</v>
      </c>
      <c r="R69" s="12">
        <f t="shared" si="126"/>
        <v>1.4301075268817205</v>
      </c>
      <c r="S69" s="12">
        <f t="shared" si="126"/>
        <v>1.6779661016949152</v>
      </c>
      <c r="T69" s="12">
        <f t="shared" si="126"/>
        <v>1.347305389221557</v>
      </c>
      <c r="U69" s="12">
        <f t="shared" si="126"/>
        <v>1.5072992700729928</v>
      </c>
      <c r="V69" s="12">
        <f t="shared" si="126"/>
        <v>1.9202898550724639</v>
      </c>
      <c r="W69" s="12">
        <f t="shared" si="126"/>
        <v>1.7053571428571428</v>
      </c>
      <c r="X69" s="12">
        <f t="shared" si="126"/>
        <v>2.3006993006993008</v>
      </c>
      <c r="Y69" s="12">
        <f t="shared" si="126"/>
        <v>2.344758064516129</v>
      </c>
      <c r="Z69" s="21">
        <f t="shared" si="126"/>
        <v>1.4150298889837745</v>
      </c>
      <c r="AA69" s="21">
        <f t="shared" si="126"/>
        <v>1.3894472361809045</v>
      </c>
      <c r="AB69" s="21">
        <f t="shared" si="126"/>
        <v>1.4504950495049505</v>
      </c>
      <c r="AC69" s="21">
        <f t="shared" si="126"/>
        <v>1.5757918552036199</v>
      </c>
      <c r="AD69" s="21">
        <f t="shared" si="126"/>
        <v>2.1898608349900597</v>
      </c>
      <c r="AE69" s="21">
        <f t="shared" si="126"/>
        <v>1.2580862533692723</v>
      </c>
      <c r="AF69" s="21">
        <f t="shared" si="126"/>
        <v>1.21875</v>
      </c>
      <c r="AG69" s="21">
        <f t="shared" si="126"/>
        <v>1.2264851485148516</v>
      </c>
      <c r="AH69" s="21">
        <f t="shared" si="126"/>
        <v>1.3567010309278351</v>
      </c>
      <c r="AI69" s="21">
        <f t="shared" si="126"/>
        <v>1.718608169440242</v>
      </c>
      <c r="AJ69" s="31">
        <f t="shared" si="132"/>
        <v>0.12474791390033269</v>
      </c>
      <c r="AK69" s="31">
        <f t="shared" si="127"/>
        <v>0.14005927071253699</v>
      </c>
      <c r="AL69" s="31">
        <f t="shared" si="127"/>
        <v>0.18264379414732579</v>
      </c>
      <c r="AM69" s="31">
        <f t="shared" si="127"/>
        <v>0.16148791758929426</v>
      </c>
      <c r="AN69" s="31">
        <f t="shared" si="127"/>
        <v>0.27420599641587096</v>
      </c>
      <c r="AO69" s="171">
        <f t="shared" si="128"/>
        <v>1.0273972602739727</v>
      </c>
      <c r="AP69" s="171">
        <f t="shared" si="128"/>
        <v>1.1682242990654206</v>
      </c>
      <c r="AQ69" s="171">
        <f t="shared" si="128"/>
        <v>1.3765060240963856</v>
      </c>
      <c r="AR69" s="168">
        <f t="shared" si="128"/>
        <v>1.7050359712230216</v>
      </c>
      <c r="AS69" s="168">
        <f t="shared" si="128"/>
        <v>7.406779661016949</v>
      </c>
      <c r="AT69" s="168">
        <f t="shared" si="128"/>
        <v>1.8974358974358974</v>
      </c>
      <c r="AU69" s="168">
        <f t="shared" ref="AU69" si="138">IFERROR(AU57/AU33,"")</f>
        <v>1.9368421052631579</v>
      </c>
      <c r="BA69" s="10">
        <f t="shared" si="130"/>
        <v>1.2384393063583814</v>
      </c>
      <c r="BB69" s="10">
        <f t="shared" si="130"/>
        <v>3.5641711229946522</v>
      </c>
      <c r="BC69" s="10">
        <f t="shared" si="130"/>
        <v>1.9368421052631579</v>
      </c>
      <c r="BD69" s="10" t="str">
        <f t="shared" si="130"/>
        <v/>
      </c>
      <c r="BE69" s="10">
        <f t="shared" si="130"/>
        <v>2.3871165644171781</v>
      </c>
      <c r="BF69" s="122">
        <f t="shared" si="131"/>
        <v>0.87683042040623538</v>
      </c>
      <c r="BG69" s="111">
        <f t="shared" si="131"/>
        <v>0.92449404962011694</v>
      </c>
      <c r="BH69" s="111">
        <f t="shared" si="131"/>
        <v>0.8730189213228754</v>
      </c>
      <c r="BI69" s="111">
        <f t="shared" si="131"/>
        <v>1.445744786659152</v>
      </c>
      <c r="BJ69" s="111">
        <f t="shared" si="131"/>
        <v>5.1791767554479415</v>
      </c>
      <c r="BK69" s="111">
        <f t="shared" si="131"/>
        <v>1.1307951307951307</v>
      </c>
      <c r="BL69" s="111">
        <f t="shared" si="131"/>
        <v>1.4375672514619882</v>
      </c>
      <c r="BM69" s="111">
        <f t="shared" si="131"/>
        <v>0</v>
      </c>
      <c r="BN69" s="111">
        <f t="shared" si="131"/>
        <v>0</v>
      </c>
      <c r="BO69" s="111">
        <f t="shared" si="131"/>
        <v>0</v>
      </c>
      <c r="BP69" s="111">
        <f t="shared" si="131"/>
        <v>0</v>
      </c>
      <c r="BQ69" s="111">
        <f t="shared" si="131"/>
        <v>0</v>
      </c>
      <c r="BR69" s="111">
        <f>BA69/(SUM(N57:INDEX(N57:P57,IF($A$2&lt;3,$A$2,3)))/SUM(N33:INDEX(N33:P33,IF($A$2&lt;3,$A$2,3))))</f>
        <v>0.89131798179138477</v>
      </c>
      <c r="BS69" s="111">
        <f>BB69/(SUM(Q57:INDEX(Q57:S57,$B$2))/SUM(Q33:INDEX(Q33:S33,$B$2)))</f>
        <v>3.0221543162719633</v>
      </c>
      <c r="BV69" s="31">
        <f t="shared" si="134"/>
        <v>1.6869725388850427</v>
      </c>
    </row>
    <row r="70" spans="1:74" x14ac:dyDescent="0.25">
      <c r="A70" t="s">
        <v>2</v>
      </c>
      <c r="B70" s="12">
        <f t="shared" si="126"/>
        <v>1.1304347826086956</v>
      </c>
      <c r="C70" s="12">
        <f t="shared" si="126"/>
        <v>1.1764705882352942</v>
      </c>
      <c r="D70" s="12">
        <f t="shared" si="126"/>
        <v>1.3</v>
      </c>
      <c r="E70" s="12">
        <f t="shared" si="126"/>
        <v>1</v>
      </c>
      <c r="F70" s="12">
        <f t="shared" si="126"/>
        <v>1.0487804878048781</v>
      </c>
      <c r="G70" s="12">
        <f t="shared" si="126"/>
        <v>1.2124999999999999</v>
      </c>
      <c r="H70" s="12">
        <f t="shared" si="126"/>
        <v>1.2045454545454546</v>
      </c>
      <c r="I70" s="12">
        <f t="shared" si="126"/>
        <v>1.1634615384615385</v>
      </c>
      <c r="J70" s="12">
        <f t="shared" si="126"/>
        <v>1.2389380530973451</v>
      </c>
      <c r="K70" s="12">
        <f t="shared" si="126"/>
        <v>1.1623376623376624</v>
      </c>
      <c r="L70" s="12">
        <f t="shared" si="126"/>
        <v>2</v>
      </c>
      <c r="M70" s="12">
        <f t="shared" si="126"/>
        <v>2.0107142857142857</v>
      </c>
      <c r="N70" s="12">
        <f t="shared" si="126"/>
        <v>1.5614035087719298</v>
      </c>
      <c r="O70" s="12">
        <f t="shared" si="126"/>
        <v>1.4615384615384615</v>
      </c>
      <c r="P70" s="12">
        <f t="shared" si="126"/>
        <v>1.7358490566037736</v>
      </c>
      <c r="Q70" s="12">
        <f t="shared" si="126"/>
        <v>1.3294117647058823</v>
      </c>
      <c r="R70" s="12">
        <f t="shared" si="126"/>
        <v>1.3119266055045871</v>
      </c>
      <c r="S70" s="12">
        <f t="shared" si="126"/>
        <v>1.5485714285714285</v>
      </c>
      <c r="T70" s="12">
        <f t="shared" si="126"/>
        <v>1.2868852459016393</v>
      </c>
      <c r="U70" s="12">
        <f t="shared" si="126"/>
        <v>1.3576642335766422</v>
      </c>
      <c r="V70" s="12">
        <f t="shared" si="126"/>
        <v>1.8848684210526316</v>
      </c>
      <c r="W70" s="12">
        <f t="shared" si="126"/>
        <v>1.5227272727272727</v>
      </c>
      <c r="X70" s="12">
        <f t="shared" si="126"/>
        <v>1.9645161290322581</v>
      </c>
      <c r="Y70" s="12">
        <f t="shared" si="126"/>
        <v>2.3588235294117648</v>
      </c>
      <c r="Z70" s="21">
        <f t="shared" si="126"/>
        <v>1.4631728045325778</v>
      </c>
      <c r="AA70" s="21">
        <f t="shared" si="126"/>
        <v>1.6232558139534883</v>
      </c>
      <c r="AB70" s="21">
        <f t="shared" si="126"/>
        <v>1.4281842818428185</v>
      </c>
      <c r="AC70" s="21">
        <f t="shared" si="126"/>
        <v>1.5316301703163018</v>
      </c>
      <c r="AD70" s="21">
        <f t="shared" si="126"/>
        <v>2.022163120567376</v>
      </c>
      <c r="AE70" s="21">
        <f t="shared" si="126"/>
        <v>1.1529126213592233</v>
      </c>
      <c r="AF70" s="21">
        <f t="shared" si="126"/>
        <v>1.2</v>
      </c>
      <c r="AG70" s="21">
        <f t="shared" si="126"/>
        <v>1.1029411764705883</v>
      </c>
      <c r="AH70" s="21">
        <f t="shared" si="126"/>
        <v>1.2129186602870814</v>
      </c>
      <c r="AI70" s="21">
        <f t="shared" si="126"/>
        <v>1.8157894736842106</v>
      </c>
      <c r="AJ70" s="31">
        <f t="shared" si="132"/>
        <v>0.2691098851945728</v>
      </c>
      <c r="AK70" s="31">
        <f t="shared" si="127"/>
        <v>0.3527131782945736</v>
      </c>
      <c r="AL70" s="31">
        <f t="shared" si="127"/>
        <v>0.29488708220415538</v>
      </c>
      <c r="AM70" s="31">
        <f t="shared" si="127"/>
        <v>0.26276412463947563</v>
      </c>
      <c r="AN70" s="31">
        <f t="shared" si="127"/>
        <v>0.1136550519066708</v>
      </c>
      <c r="AO70" s="171">
        <f t="shared" si="128"/>
        <v>1.4</v>
      </c>
      <c r="AP70" s="171">
        <f t="shared" si="128"/>
        <v>1.4565217391304348</v>
      </c>
      <c r="AQ70" s="171">
        <f t="shared" si="128"/>
        <v>1.7</v>
      </c>
      <c r="AR70" s="168">
        <f t="shared" si="128"/>
        <v>1.9312977099236641</v>
      </c>
      <c r="AS70" s="168">
        <f t="shared" si="128"/>
        <v>2.0357142857142856</v>
      </c>
      <c r="AT70" s="168">
        <f t="shared" si="128"/>
        <v>2.0841584158415842</v>
      </c>
      <c r="AU70" s="168">
        <f t="shared" ref="AU70" si="139">IFERROR(AU58/AU34,"")</f>
        <v>1.9479166666666667</v>
      </c>
      <c r="BA70" s="10">
        <f t="shared" si="130"/>
        <v>1.5323943661971831</v>
      </c>
      <c r="BB70" s="10">
        <f t="shared" si="130"/>
        <v>2.0101744186046511</v>
      </c>
      <c r="BC70" s="10">
        <f t="shared" si="130"/>
        <v>1.9479166666666667</v>
      </c>
      <c r="BD70" s="10" t="str">
        <f t="shared" si="130"/>
        <v/>
      </c>
      <c r="BE70" s="10">
        <f t="shared" si="130"/>
        <v>1.7893081761006289</v>
      </c>
      <c r="BF70" s="122">
        <f t="shared" si="131"/>
        <v>0.89662921348314606</v>
      </c>
      <c r="BG70" s="111">
        <f t="shared" si="131"/>
        <v>0.99656750572082387</v>
      </c>
      <c r="BH70" s="111">
        <f t="shared" si="131"/>
        <v>0.97934782608695647</v>
      </c>
      <c r="BI70" s="111">
        <f t="shared" si="131"/>
        <v>1.4527460649868271</v>
      </c>
      <c r="BJ70" s="111">
        <f t="shared" si="131"/>
        <v>1.5516983016983017</v>
      </c>
      <c r="BK70" s="111">
        <f t="shared" si="131"/>
        <v>1.3458587556172592</v>
      </c>
      <c r="BL70" s="111">
        <f t="shared" si="131"/>
        <v>1.5136677282377919</v>
      </c>
      <c r="BM70" s="111">
        <f t="shared" si="131"/>
        <v>0</v>
      </c>
      <c r="BN70" s="111">
        <f t="shared" si="131"/>
        <v>0</v>
      </c>
      <c r="BO70" s="111">
        <f t="shared" si="131"/>
        <v>0</v>
      </c>
      <c r="BP70" s="111">
        <f t="shared" si="131"/>
        <v>0</v>
      </c>
      <c r="BQ70" s="111">
        <f t="shared" si="131"/>
        <v>0</v>
      </c>
      <c r="BR70" s="111">
        <f>BA70/(SUM(N58:INDEX(N58:P58,IF($A$2&lt;3,$A$2,3)))/SUM(N34:INDEX(N34:P34,IF($A$2&lt;3,$A$2,3))))</f>
        <v>0.94402518261431057</v>
      </c>
      <c r="BS70" s="111">
        <f>BB70/(SUM(Q58:INDEX(Q58:S58,$B$2))/SUM(Q34:INDEX(Q34:S34,$B$2)))</f>
        <v>1.5120781024902243</v>
      </c>
      <c r="BV70" s="31">
        <f t="shared" si="134"/>
        <v>1.2228960041888133</v>
      </c>
    </row>
    <row r="71" spans="1:74" x14ac:dyDescent="0.25">
      <c r="A71" s="135" t="s">
        <v>136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31"/>
      <c r="AK71" s="31"/>
      <c r="AL71" s="31"/>
      <c r="AM71" s="31"/>
      <c r="AN71" s="31"/>
      <c r="AO71" s="171"/>
      <c r="AP71" s="171">
        <f t="shared" ref="AP71:AU71" si="140">IFERROR(AP59/AP35,"")</f>
        <v>1.1989795918367347</v>
      </c>
      <c r="AQ71" s="171">
        <f t="shared" si="140"/>
        <v>1.361842105263158</v>
      </c>
      <c r="AR71" s="168">
        <f t="shared" si="140"/>
        <v>1.4366666666666668</v>
      </c>
      <c r="AS71" s="168">
        <f t="shared" si="140"/>
        <v>1.2835820895522387</v>
      </c>
      <c r="AT71" s="168">
        <f t="shared" si="140"/>
        <v>1.0877192982456141</v>
      </c>
      <c r="AU71" s="168">
        <f t="shared" si="140"/>
        <v>1.4230769230769231</v>
      </c>
      <c r="BA71" s="10">
        <f t="shared" si="130"/>
        <v>1.2701149425287357</v>
      </c>
      <c r="BB71" s="10">
        <f t="shared" si="130"/>
        <v>1.3266423357664234</v>
      </c>
      <c r="BC71" s="10">
        <f t="shared" si="130"/>
        <v>1.4230769230769231</v>
      </c>
      <c r="BD71" s="10" t="str">
        <f t="shared" si="130"/>
        <v/>
      </c>
      <c r="BE71" s="10">
        <f t="shared" si="130"/>
        <v>1.3169999999999999</v>
      </c>
      <c r="BF71" s="122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V71" s="31"/>
    </row>
    <row r="72" spans="1:74" s="17" customFormat="1" x14ac:dyDescent="0.25">
      <c r="A72" s="1" t="s">
        <v>3</v>
      </c>
      <c r="B72" s="13">
        <f t="shared" ref="B72:AI72" si="141">IFERROR(B60/B36,"")</f>
        <v>1.2836624775583483</v>
      </c>
      <c r="C72" s="13">
        <f t="shared" si="141"/>
        <v>1.2881720430107526</v>
      </c>
      <c r="D72" s="13">
        <f t="shared" si="141"/>
        <v>1.5591900311526479</v>
      </c>
      <c r="E72" s="13">
        <f t="shared" si="141"/>
        <v>1.5456989247311828</v>
      </c>
      <c r="F72" s="13">
        <f t="shared" si="141"/>
        <v>1.3200908059023837</v>
      </c>
      <c r="G72" s="13">
        <f t="shared" si="141"/>
        <v>1.3867735470941884</v>
      </c>
      <c r="H72" s="13">
        <f t="shared" si="141"/>
        <v>1.4842829076620825</v>
      </c>
      <c r="I72" s="13">
        <f t="shared" si="141"/>
        <v>1.2932692307692308</v>
      </c>
      <c r="J72" s="13">
        <f t="shared" si="141"/>
        <v>1.5065982404692082</v>
      </c>
      <c r="K72" s="13">
        <f t="shared" si="141"/>
        <v>1.3938053097345133</v>
      </c>
      <c r="L72" s="13">
        <f t="shared" si="141"/>
        <v>1.9355311355311355</v>
      </c>
      <c r="M72" s="13">
        <f t="shared" si="141"/>
        <v>1.9368622448979591</v>
      </c>
      <c r="N72" s="5">
        <f t="shared" si="141"/>
        <v>1.2866141732283465</v>
      </c>
      <c r="O72" s="5">
        <f t="shared" si="141"/>
        <v>1.3177419354838709</v>
      </c>
      <c r="P72" s="5">
        <f t="shared" si="141"/>
        <v>1.7508960573476702</v>
      </c>
      <c r="Q72" s="5">
        <f t="shared" si="141"/>
        <v>1.5372829417773237</v>
      </c>
      <c r="R72" s="5">
        <f t="shared" si="141"/>
        <v>1.4972426470588236</v>
      </c>
      <c r="S72" s="5">
        <f t="shared" si="141"/>
        <v>1.6927747419550698</v>
      </c>
      <c r="T72" s="5">
        <f t="shared" si="141"/>
        <v>1.4343511450381679</v>
      </c>
      <c r="U72" s="5">
        <f t="shared" si="141"/>
        <v>1.4732394366197183</v>
      </c>
      <c r="V72" s="5">
        <f t="shared" si="141"/>
        <v>1.814878892733564</v>
      </c>
      <c r="W72" s="5">
        <f t="shared" si="141"/>
        <v>1.5675306957708048</v>
      </c>
      <c r="X72" s="5">
        <f t="shared" si="141"/>
        <v>1.8960363872644574</v>
      </c>
      <c r="Y72" s="5">
        <f t="shared" si="141"/>
        <v>2.0249999999999999</v>
      </c>
      <c r="Z72" s="23">
        <f t="shared" si="141"/>
        <v>1.5400946585530764</v>
      </c>
      <c r="AA72" s="23">
        <f t="shared" si="141"/>
        <v>1.513285533530156</v>
      </c>
      <c r="AB72" s="23">
        <f t="shared" si="141"/>
        <v>1.5945072697899838</v>
      </c>
      <c r="AC72" s="23">
        <f t="shared" si="141"/>
        <v>1.5945340501792116</v>
      </c>
      <c r="AD72" s="23">
        <f t="shared" si="141"/>
        <v>1.8676923076923078</v>
      </c>
      <c r="AE72" s="23">
        <f t="shared" si="141"/>
        <v>1.418096135721018</v>
      </c>
      <c r="AF72" s="23">
        <f t="shared" si="141"/>
        <v>1.3912259615384615</v>
      </c>
      <c r="AG72" s="23">
        <f t="shared" si="141"/>
        <v>1.409454822722074</v>
      </c>
      <c r="AH72" s="23">
        <f t="shared" si="141"/>
        <v>1.4443061605476042</v>
      </c>
      <c r="AI72" s="23">
        <f t="shared" si="141"/>
        <v>1.7853802608909672</v>
      </c>
      <c r="AJ72" s="32">
        <f t="shared" si="132"/>
        <v>8.6029797105419359E-2</v>
      </c>
      <c r="AK72" s="32">
        <f t="shared" si="127"/>
        <v>8.7735260386254676E-2</v>
      </c>
      <c r="AL72" s="32">
        <f t="shared" si="127"/>
        <v>0.1312936350173457</v>
      </c>
      <c r="AM72" s="31">
        <f t="shared" si="127"/>
        <v>0.10401388136061751</v>
      </c>
      <c r="AN72" s="31">
        <f t="shared" si="127"/>
        <v>4.6103370023965695E-2</v>
      </c>
      <c r="AO72" s="11">
        <f t="shared" ref="AO72:AT72" si="142">IFERROR(AO60/AO36,"")</f>
        <v>1.5690499510284035</v>
      </c>
      <c r="AP72" s="11">
        <f t="shared" si="142"/>
        <v>1.6109570041608876</v>
      </c>
      <c r="AQ72" s="11">
        <f t="shared" si="142"/>
        <v>1.839686684073107</v>
      </c>
      <c r="AR72" s="11">
        <f t="shared" si="142"/>
        <v>1.8621509209744505</v>
      </c>
      <c r="AS72" s="11">
        <f t="shared" si="142"/>
        <v>2.2644853442399455</v>
      </c>
      <c r="AT72" s="11">
        <f t="shared" si="142"/>
        <v>1.8342161016949152</v>
      </c>
      <c r="AU72" s="11">
        <f t="shared" ref="AU72" si="143">IFERROR(AU60/AU36,"")</f>
        <v>1.8127183787561145</v>
      </c>
      <c r="BA72" s="11">
        <f t="shared" ref="BA72:BE72" si="144">IFERROR(BA60/BA36,"")</f>
        <v>1.7012334399269073</v>
      </c>
      <c r="BB72" s="11">
        <f t="shared" si="144"/>
        <v>1.9688368400158793</v>
      </c>
      <c r="BC72" s="11">
        <f t="shared" si="144"/>
        <v>1.8127183787561145</v>
      </c>
      <c r="BD72" s="11" t="str">
        <f t="shared" si="144"/>
        <v/>
      </c>
      <c r="BE72" s="11">
        <f t="shared" si="144"/>
        <v>1.840232322301097</v>
      </c>
      <c r="BF72" s="123">
        <f t="shared" si="131"/>
        <v>1.2195186277882941</v>
      </c>
      <c r="BG72" s="118">
        <f t="shared" si="131"/>
        <v>1.2225132712114448</v>
      </c>
      <c r="BH72" s="118">
        <f t="shared" si="131"/>
        <v>1.0507115350182126</v>
      </c>
      <c r="BI72" s="118">
        <f t="shared" si="131"/>
        <v>1.2113260808199249</v>
      </c>
      <c r="BJ72" s="118">
        <f t="shared" si="131"/>
        <v>1.512437111438343</v>
      </c>
      <c r="BK72" s="118">
        <f t="shared" si="131"/>
        <v>1.0835559252121683</v>
      </c>
      <c r="BL72" s="118">
        <f t="shared" si="131"/>
        <v>1.2637898223366206</v>
      </c>
      <c r="BM72" s="118">
        <f t="shared" si="131"/>
        <v>0</v>
      </c>
      <c r="BN72" s="118">
        <f t="shared" si="131"/>
        <v>0</v>
      </c>
      <c r="BO72" s="118">
        <f t="shared" si="131"/>
        <v>0</v>
      </c>
      <c r="BP72" s="118">
        <f t="shared" si="131"/>
        <v>0</v>
      </c>
      <c r="BQ72" s="118">
        <f t="shared" si="131"/>
        <v>0</v>
      </c>
      <c r="BR72" s="118">
        <f>BA72/(SUM(N60:INDEX(N60:P60,IF($A$2&lt;3,$A$2,3)))/SUM(N36:INDEX(N36:P36,IF($A$2&lt;3,$A$2,3))))</f>
        <v>1.1241985747120116</v>
      </c>
      <c r="BS72" s="111">
        <f>BB72/(SUM(Q60:INDEX(Q60:S60,$B$2))/SUM(Q36:INDEX(Q36:S36,$B$2)))</f>
        <v>1.2807250939372399</v>
      </c>
      <c r="BV72" s="32">
        <f t="shared" si="134"/>
        <v>1.1948826080794286</v>
      </c>
    </row>
    <row r="73" spans="1:74" x14ac:dyDescent="0.25">
      <c r="W73" s="8"/>
      <c r="BF73" s="124"/>
    </row>
    <row r="74" spans="1:74" x14ac:dyDescent="0.25">
      <c r="BF74" s="124"/>
    </row>
    <row r="75" spans="1:74" s="17" customFormat="1" x14ac:dyDescent="0.25">
      <c r="A75" s="2" t="s">
        <v>14</v>
      </c>
      <c r="B75" s="3">
        <f t="shared" ref="B75:Y75" si="145">B39</f>
        <v>42005</v>
      </c>
      <c r="C75" s="3">
        <f t="shared" si="145"/>
        <v>42036</v>
      </c>
      <c r="D75" s="3">
        <f t="shared" si="145"/>
        <v>42064</v>
      </c>
      <c r="E75" s="3">
        <f t="shared" si="145"/>
        <v>42095</v>
      </c>
      <c r="F75" s="3">
        <f t="shared" si="145"/>
        <v>42125</v>
      </c>
      <c r="G75" s="3">
        <f t="shared" si="145"/>
        <v>42156</v>
      </c>
      <c r="H75" s="3">
        <f t="shared" si="145"/>
        <v>42186</v>
      </c>
      <c r="I75" s="3">
        <f t="shared" si="145"/>
        <v>42217</v>
      </c>
      <c r="J75" s="3">
        <f t="shared" si="145"/>
        <v>42248</v>
      </c>
      <c r="K75" s="3">
        <f t="shared" si="145"/>
        <v>42278</v>
      </c>
      <c r="L75" s="3">
        <f t="shared" si="145"/>
        <v>42309</v>
      </c>
      <c r="M75" s="3">
        <f t="shared" si="145"/>
        <v>42339</v>
      </c>
      <c r="N75" s="3">
        <f t="shared" si="145"/>
        <v>42370</v>
      </c>
      <c r="O75" s="3">
        <f t="shared" si="145"/>
        <v>42401</v>
      </c>
      <c r="P75" s="3">
        <f t="shared" si="145"/>
        <v>42430</v>
      </c>
      <c r="Q75" s="3">
        <f t="shared" si="145"/>
        <v>42461</v>
      </c>
      <c r="R75" s="3">
        <f t="shared" si="145"/>
        <v>42491</v>
      </c>
      <c r="S75" s="3">
        <f t="shared" si="145"/>
        <v>42522</v>
      </c>
      <c r="T75" s="3">
        <f t="shared" si="145"/>
        <v>42552</v>
      </c>
      <c r="U75" s="3">
        <f t="shared" si="145"/>
        <v>42583</v>
      </c>
      <c r="V75" s="3">
        <f t="shared" si="145"/>
        <v>42614</v>
      </c>
      <c r="W75" s="3">
        <f t="shared" si="145"/>
        <v>42644</v>
      </c>
      <c r="X75" s="3">
        <f t="shared" si="145"/>
        <v>42675</v>
      </c>
      <c r="Y75" s="3">
        <f t="shared" si="145"/>
        <v>42705</v>
      </c>
      <c r="Z75" s="29" t="s">
        <v>18</v>
      </c>
      <c r="AA75" s="29" t="s">
        <v>19</v>
      </c>
      <c r="AB75" s="29" t="s">
        <v>20</v>
      </c>
      <c r="AC75" s="29" t="s">
        <v>21</v>
      </c>
      <c r="AD75" s="29" t="s">
        <v>22</v>
      </c>
      <c r="AE75" s="26" t="str">
        <f t="shared" ref="AE75:AI75" si="146">AE51</f>
        <v>YTD 7/15</v>
      </c>
      <c r="AF75" s="26" t="str">
        <f t="shared" si="146"/>
        <v>Q1 '15</v>
      </c>
      <c r="AG75" s="26" t="str">
        <f t="shared" si="146"/>
        <v>Q2 '15</v>
      </c>
      <c r="AH75" s="26" t="str">
        <f t="shared" si="146"/>
        <v>Q3 '15</v>
      </c>
      <c r="AI75" s="26" t="str">
        <f t="shared" si="146"/>
        <v>Q4 '15</v>
      </c>
      <c r="AJ75" s="30" t="s">
        <v>27</v>
      </c>
      <c r="AK75" s="30" t="s">
        <v>29</v>
      </c>
      <c r="AL75" s="30" t="s">
        <v>30</v>
      </c>
      <c r="AM75" s="30" t="s">
        <v>31</v>
      </c>
      <c r="AN75" s="30" t="s">
        <v>32</v>
      </c>
      <c r="AO75" s="108">
        <v>42736</v>
      </c>
      <c r="AP75" s="108">
        <v>42767</v>
      </c>
      <c r="AQ75" s="108">
        <v>42795</v>
      </c>
      <c r="AR75" s="108">
        <v>42826</v>
      </c>
      <c r="AS75" s="108">
        <v>42856</v>
      </c>
      <c r="AT75" s="108">
        <v>42887</v>
      </c>
      <c r="AU75" s="108">
        <v>42917</v>
      </c>
      <c r="AV75" s="108">
        <v>42948</v>
      </c>
      <c r="AW75" s="108">
        <v>42979</v>
      </c>
      <c r="AX75" s="108">
        <v>43009</v>
      </c>
      <c r="AY75" s="108">
        <v>43040</v>
      </c>
      <c r="AZ75" s="108">
        <v>43070</v>
      </c>
      <c r="BA75" s="29" t="s">
        <v>123</v>
      </c>
      <c r="BB75" s="29" t="s">
        <v>124</v>
      </c>
      <c r="BC75" s="29" t="s">
        <v>125</v>
      </c>
      <c r="BD75" s="29" t="s">
        <v>126</v>
      </c>
      <c r="BE75" s="29" t="str">
        <f>"YTD " &amp; A74 &amp;"/17"</f>
        <v>YTD /17</v>
      </c>
      <c r="BF75" s="121">
        <v>42736</v>
      </c>
      <c r="BG75" s="108">
        <v>42767</v>
      </c>
      <c r="BH75" s="108">
        <v>42795</v>
      </c>
      <c r="BI75" s="108">
        <v>42826</v>
      </c>
      <c r="BJ75" s="108">
        <v>42856</v>
      </c>
      <c r="BK75" s="108">
        <v>42887</v>
      </c>
      <c r="BL75" s="108">
        <v>42917</v>
      </c>
      <c r="BM75" s="108">
        <v>42948</v>
      </c>
      <c r="BN75" s="108">
        <v>42979</v>
      </c>
      <c r="BO75" s="108">
        <v>43009</v>
      </c>
      <c r="BP75" s="108">
        <v>43040</v>
      </c>
      <c r="BQ75" s="108">
        <v>43070</v>
      </c>
      <c r="BR75" s="29" t="s">
        <v>127</v>
      </c>
      <c r="BS75" s="29" t="s">
        <v>128</v>
      </c>
      <c r="BT75" s="29" t="s">
        <v>96</v>
      </c>
      <c r="BU75" s="29" t="s">
        <v>129</v>
      </c>
      <c r="BV75" s="112" t="s">
        <v>130</v>
      </c>
    </row>
    <row r="76" spans="1:74" x14ac:dyDescent="0.25">
      <c r="A76" t="s">
        <v>157</v>
      </c>
      <c r="B76" s="4">
        <f t="shared" ref="B76:AI82" si="147">IFERROR(B4/B52,"")</f>
        <v>25.032451219512197</v>
      </c>
      <c r="C76" s="4">
        <f t="shared" si="147"/>
        <v>19.755242424242425</v>
      </c>
      <c r="D76" s="4">
        <f t="shared" si="147"/>
        <v>33.425615384615384</v>
      </c>
      <c r="E76" s="4">
        <f t="shared" si="147"/>
        <v>33.375156804733727</v>
      </c>
      <c r="F76" s="4">
        <f t="shared" si="147"/>
        <v>27.285160337552746</v>
      </c>
      <c r="G76" s="4">
        <f t="shared" si="147"/>
        <v>32.193661016949157</v>
      </c>
      <c r="H76" s="4">
        <f t="shared" si="147"/>
        <v>43.875194767441855</v>
      </c>
      <c r="I76" s="4">
        <f t="shared" si="147"/>
        <v>25.721978609625669</v>
      </c>
      <c r="J76" s="4">
        <f t="shared" si="147"/>
        <v>35.026007751937982</v>
      </c>
      <c r="K76" s="4">
        <f t="shared" si="147"/>
        <v>27.151162393162334</v>
      </c>
      <c r="L76" s="4">
        <f t="shared" si="147"/>
        <v>27.188452247191012</v>
      </c>
      <c r="M76" s="4">
        <f t="shared" si="147"/>
        <v>31.669962393162354</v>
      </c>
      <c r="N76" s="4">
        <f t="shared" si="147"/>
        <v>35.149828124999999</v>
      </c>
      <c r="O76" s="4">
        <f t="shared" si="147"/>
        <v>31.867835820895074</v>
      </c>
      <c r="P76" s="4">
        <f t="shared" si="147"/>
        <v>26.925121951219452</v>
      </c>
      <c r="Q76" s="4">
        <f t="shared" si="147"/>
        <v>37.592350282485882</v>
      </c>
      <c r="R76" s="4">
        <f t="shared" si="147"/>
        <v>31.795125000000002</v>
      </c>
      <c r="S76" s="4">
        <f t="shared" si="147"/>
        <v>27.800063432835824</v>
      </c>
      <c r="T76" s="4">
        <f t="shared" si="147"/>
        <v>31.257836363636365</v>
      </c>
      <c r="U76" s="4">
        <f t="shared" si="147"/>
        <v>25.938352657004828</v>
      </c>
      <c r="V76" s="4">
        <f t="shared" si="147"/>
        <v>25.281529010238909</v>
      </c>
      <c r="W76" s="4">
        <f t="shared" si="147"/>
        <v>27.026854700854699</v>
      </c>
      <c r="X76" s="4">
        <f t="shared" si="147"/>
        <v>28.059678700361012</v>
      </c>
      <c r="Y76" s="4">
        <f t="shared" si="147"/>
        <v>32.110261574074073</v>
      </c>
      <c r="Z76" s="4">
        <f t="shared" si="147"/>
        <v>31.617058574879181</v>
      </c>
      <c r="AA76" s="4">
        <f t="shared" si="147"/>
        <v>29.832047457626981</v>
      </c>
      <c r="AB76" s="4">
        <f t="shared" si="147"/>
        <v>32.95533924349882</v>
      </c>
      <c r="AC76" s="4">
        <f t="shared" si="147"/>
        <v>27.296459722222224</v>
      </c>
      <c r="AD76" s="4">
        <f t="shared" si="147"/>
        <v>29.659011664899253</v>
      </c>
      <c r="AE76" s="4">
        <f t="shared" si="147"/>
        <v>32.645109220636662</v>
      </c>
      <c r="AF76" s="4">
        <f t="shared" si="147"/>
        <v>28.193759868421054</v>
      </c>
      <c r="AG76" s="4">
        <f t="shared" si="147"/>
        <v>31.315535632183909</v>
      </c>
      <c r="AH76" s="4">
        <f t="shared" si="147"/>
        <v>36.446777777777768</v>
      </c>
      <c r="AI76" s="4">
        <f t="shared" si="147"/>
        <v>29.207488390092845</v>
      </c>
      <c r="AJ76" s="31">
        <f>Z76/AE76-1</f>
        <v>-3.1491720208661422E-2</v>
      </c>
      <c r="AK76" s="31">
        <f t="shared" ref="AK76:AN84" si="148">AA76/AF76-1</f>
        <v>5.8108162829354271E-2</v>
      </c>
      <c r="AL76" s="31">
        <f t="shared" si="148"/>
        <v>5.236390111844802E-2</v>
      </c>
      <c r="AM76" s="31">
        <f t="shared" si="148"/>
        <v>-0.25105972635898288</v>
      </c>
      <c r="AN76" s="31">
        <f t="shared" si="148"/>
        <v>1.5459161321093484E-2</v>
      </c>
      <c r="AO76" s="172">
        <f t="shared" ref="AO76:AT84" si="149">IFERROR(AO4/AO52,"")</f>
        <v>22.4601875</v>
      </c>
      <c r="AP76" s="172">
        <f t="shared" si="149"/>
        <v>32.71586585365857</v>
      </c>
      <c r="AQ76" s="172">
        <f t="shared" si="149"/>
        <v>26.061524547803621</v>
      </c>
      <c r="AR76" s="169">
        <f t="shared" si="149"/>
        <v>20.095620998719589</v>
      </c>
      <c r="AS76" s="169">
        <f t="shared" si="149"/>
        <v>21.665062362435805</v>
      </c>
      <c r="AT76" s="169">
        <f t="shared" si="149"/>
        <v>21.616416978776531</v>
      </c>
      <c r="AU76" s="169">
        <f t="shared" ref="AU76" si="150">IFERROR(AU4/AU52,"")</f>
        <v>20.286642402183805</v>
      </c>
      <c r="BA76" s="4">
        <f t="shared" ref="BA76:BE83" si="151">IFERROR(BA4/BA52,"")</f>
        <v>27.289917037861926</v>
      </c>
      <c r="BB76" s="4">
        <f t="shared" si="151"/>
        <v>21.106326485531255</v>
      </c>
      <c r="BC76" s="4">
        <f t="shared" si="151"/>
        <v>20.286642402183805</v>
      </c>
      <c r="BD76" s="4" t="str">
        <f t="shared" si="151"/>
        <v/>
      </c>
      <c r="BE76" s="4">
        <f t="shared" si="151"/>
        <v>22.481278765831313</v>
      </c>
      <c r="BF76" s="122">
        <f t="shared" ref="BF76:BQ84" si="152">AO76/N76</f>
        <v>0.63898427668342972</v>
      </c>
      <c r="BG76" s="111">
        <f t="shared" si="152"/>
        <v>1.0266108447881315</v>
      </c>
      <c r="BH76" s="111">
        <f t="shared" si="152"/>
        <v>0.9679259613018496</v>
      </c>
      <c r="BI76" s="111">
        <f t="shared" si="152"/>
        <v>0.53456676285765659</v>
      </c>
      <c r="BJ76" s="111">
        <f t="shared" si="152"/>
        <v>0.68139572850982044</v>
      </c>
      <c r="BK76" s="111">
        <f t="shared" si="152"/>
        <v>0.77756718185198359</v>
      </c>
      <c r="BL76" s="111">
        <f t="shared" si="152"/>
        <v>0.64900980881018877</v>
      </c>
      <c r="BM76" s="111">
        <f t="shared" si="152"/>
        <v>0</v>
      </c>
      <c r="BN76" s="111">
        <f t="shared" si="152"/>
        <v>0</v>
      </c>
      <c r="BO76" s="111">
        <f t="shared" si="152"/>
        <v>0</v>
      </c>
      <c r="BP76" s="111">
        <f t="shared" si="152"/>
        <v>0</v>
      </c>
      <c r="BQ76" s="111">
        <f t="shared" si="152"/>
        <v>0</v>
      </c>
      <c r="BR76" s="111">
        <f>IFERROR(BA76/(SUM(N4:INDEX(N4:P4,IF($A$2&lt;3,$A$2,3)))/SUM(N52:INDEX(N52:P52,IF($A$2&lt;3,$A$2,3)))),0)</f>
        <v>0.91478525155285229</v>
      </c>
      <c r="BS76" s="111">
        <f>IFERROR(BB76/(SUM(Q4:INDEX(Q4:S4,IF($A$2&lt;7,$A$2-3,3)))/SUM(Q52:INDEX(Q52:S52,IF($A$2&lt;7,$A$2-3,3)))),0)</f>
        <v>0.64045241135531483</v>
      </c>
      <c r="BT76" s="111"/>
      <c r="BU76" s="111"/>
      <c r="BV76" s="111">
        <f>IFERROR(BE76/Z76,0)</f>
        <v>0.7110490279349847</v>
      </c>
    </row>
    <row r="77" spans="1:74" x14ac:dyDescent="0.25">
      <c r="A77" t="s">
        <v>5</v>
      </c>
      <c r="B77" s="4">
        <f t="shared" si="147"/>
        <v>14.38318181818182</v>
      </c>
      <c r="C77" s="4">
        <f t="shared" si="147"/>
        <v>13.360600000000002</v>
      </c>
      <c r="D77" s="4">
        <f t="shared" si="147"/>
        <v>14.565520100502512</v>
      </c>
      <c r="E77" s="4">
        <f t="shared" si="147"/>
        <v>20.581070833333335</v>
      </c>
      <c r="F77" s="4">
        <f t="shared" si="147"/>
        <v>16.455992366412215</v>
      </c>
      <c r="G77" s="4">
        <f t="shared" si="147"/>
        <v>14.468648351648351</v>
      </c>
      <c r="H77" s="4">
        <f t="shared" si="147"/>
        <v>13.00454</v>
      </c>
      <c r="I77" s="4">
        <f t="shared" si="147"/>
        <v>13.077528634361235</v>
      </c>
      <c r="J77" s="4">
        <f t="shared" si="147"/>
        <v>15.813219211822659</v>
      </c>
      <c r="K77" s="4">
        <f t="shared" si="147"/>
        <v>14.314713754646842</v>
      </c>
      <c r="L77" s="4">
        <f t="shared" si="147"/>
        <v>14.269789223454881</v>
      </c>
      <c r="M77" s="4">
        <f t="shared" si="147"/>
        <v>17.062187022900762</v>
      </c>
      <c r="N77" s="4">
        <f t="shared" si="147"/>
        <v>16.685963414634145</v>
      </c>
      <c r="O77" s="4">
        <f t="shared" si="147"/>
        <v>13.424341463414635</v>
      </c>
      <c r="P77" s="4">
        <f t="shared" si="147"/>
        <v>17.039792910447765</v>
      </c>
      <c r="Q77" s="4">
        <f t="shared" si="147"/>
        <v>21.221091168091196</v>
      </c>
      <c r="R77" s="4">
        <f t="shared" si="147"/>
        <v>15.061581280788179</v>
      </c>
      <c r="S77" s="4">
        <f t="shared" si="147"/>
        <v>13.264700523560283</v>
      </c>
      <c r="T77" s="4">
        <f t="shared" si="147"/>
        <v>13.084938369781332</v>
      </c>
      <c r="U77" s="4">
        <f t="shared" si="147"/>
        <v>13.785278065630431</v>
      </c>
      <c r="V77" s="4">
        <f t="shared" si="147"/>
        <v>14.281856843209281</v>
      </c>
      <c r="W77" s="4">
        <f t="shared" si="147"/>
        <v>13.349836606441508</v>
      </c>
      <c r="X77" s="4">
        <f t="shared" si="147"/>
        <v>15.22481029810305</v>
      </c>
      <c r="Y77" s="4">
        <f t="shared" si="147"/>
        <v>14.360200000000079</v>
      </c>
      <c r="Z77" s="4">
        <f t="shared" si="147"/>
        <v>15.236875471698145</v>
      </c>
      <c r="AA77" s="4">
        <f t="shared" si="147"/>
        <v>16.574820000000003</v>
      </c>
      <c r="AB77" s="4">
        <f t="shared" si="147"/>
        <v>15.322075934579486</v>
      </c>
      <c r="AC77" s="4">
        <f t="shared" si="147"/>
        <v>13.844829525915047</v>
      </c>
      <c r="AD77" s="4">
        <f t="shared" si="147"/>
        <v>14.358412194687176</v>
      </c>
      <c r="AE77" s="4">
        <f t="shared" si="147"/>
        <v>15.30803939899833</v>
      </c>
      <c r="AF77" s="4">
        <f t="shared" si="147"/>
        <v>14.26757876712329</v>
      </c>
      <c r="AG77" s="4">
        <f t="shared" si="147"/>
        <v>17.086681465821002</v>
      </c>
      <c r="AH77" s="4">
        <f t="shared" si="147"/>
        <v>14.181439471007121</v>
      </c>
      <c r="AI77" s="4">
        <f t="shared" si="147"/>
        <v>15.305815308988784</v>
      </c>
      <c r="AJ77" s="31">
        <f t="shared" ref="AJ77:AJ84" si="153">Z77/AE77-1</f>
        <v>-4.6487943651910557E-3</v>
      </c>
      <c r="AK77" s="31">
        <f t="shared" si="148"/>
        <v>0.16171217769571933</v>
      </c>
      <c r="AL77" s="31">
        <f t="shared" si="148"/>
        <v>-0.10327374187733929</v>
      </c>
      <c r="AM77" s="31">
        <f t="shared" si="148"/>
        <v>-2.3735950485156754E-2</v>
      </c>
      <c r="AN77" s="31">
        <f t="shared" si="148"/>
        <v>-6.1898245547574171E-2</v>
      </c>
      <c r="AO77" s="172">
        <f t="shared" si="149"/>
        <v>14.10920350877193</v>
      </c>
      <c r="AP77" s="172">
        <f t="shared" si="149"/>
        <v>13.761591549295796</v>
      </c>
      <c r="AQ77" s="172">
        <f t="shared" si="149"/>
        <v>14.575081135902636</v>
      </c>
      <c r="AR77" s="169">
        <f t="shared" si="149"/>
        <v>14.734702627939141</v>
      </c>
      <c r="AS77" s="169">
        <f t="shared" si="149"/>
        <v>14.356526237989653</v>
      </c>
      <c r="AT77" s="169">
        <f t="shared" si="149"/>
        <v>13.787705035971223</v>
      </c>
      <c r="AU77" s="169">
        <f t="shared" ref="AU77" si="154">IFERROR(AU5/AU53,"")</f>
        <v>14.037916666666668</v>
      </c>
      <c r="BA77" s="4">
        <f t="shared" si="151"/>
        <v>14.29262875662935</v>
      </c>
      <c r="BB77" s="4">
        <f t="shared" si="151"/>
        <v>14.171102348091054</v>
      </c>
      <c r="BC77" s="4">
        <f t="shared" si="151"/>
        <v>14.037916666666668</v>
      </c>
      <c r="BD77" s="4" t="str">
        <f t="shared" si="151"/>
        <v/>
      </c>
      <c r="BE77" s="4">
        <f t="shared" si="151"/>
        <v>14.190188689968743</v>
      </c>
      <c r="BF77" s="122">
        <f t="shared" si="152"/>
        <v>0.84557320174858408</v>
      </c>
      <c r="BG77" s="111">
        <f t="shared" si="152"/>
        <v>1.0251222815510368</v>
      </c>
      <c r="BH77" s="111">
        <f t="shared" si="152"/>
        <v>0.85535553234136319</v>
      </c>
      <c r="BI77" s="111">
        <f t="shared" si="152"/>
        <v>0.69434236492489021</v>
      </c>
      <c r="BJ77" s="111">
        <f t="shared" si="152"/>
        <v>0.95318851124231829</v>
      </c>
      <c r="BK77" s="111">
        <f t="shared" si="152"/>
        <v>1.0394282940260882</v>
      </c>
      <c r="BL77" s="111">
        <f t="shared" si="152"/>
        <v>1.0728301708387229</v>
      </c>
      <c r="BM77" s="111">
        <f t="shared" si="152"/>
        <v>0</v>
      </c>
      <c r="BN77" s="111">
        <f t="shared" si="152"/>
        <v>0</v>
      </c>
      <c r="BO77" s="111">
        <f t="shared" si="152"/>
        <v>0</v>
      </c>
      <c r="BP77" s="111">
        <f t="shared" si="152"/>
        <v>0</v>
      </c>
      <c r="BQ77" s="111">
        <f t="shared" si="152"/>
        <v>0</v>
      </c>
      <c r="BR77" s="111">
        <f>IFERROR(BA77/(SUM(N5:INDEX(N5:P5,IF($A$2&lt;3,$A$2,3)))/SUM(N53:INDEX(N53:P53,IF($A$2&lt;3,$A$2,3)))),0)</f>
        <v>0.86230974192355314</v>
      </c>
      <c r="BS77" s="111">
        <f>IFERROR(BB77/(SUM(Q5:INDEX(Q5:S5,IF($A$2&lt;7,$A$2-3,3)))/SUM(Q53:INDEX(Q53:S53,IF($A$2&lt;7,$A$2-3,3)))),0)</f>
        <v>0.92488135475879818</v>
      </c>
      <c r="BT77" s="111"/>
      <c r="BU77" s="111"/>
      <c r="BV77" s="111">
        <f t="shared" ref="BV77:BV84" si="155">IFERROR(BE77/Z77,0)</f>
        <v>0.93130568116320311</v>
      </c>
    </row>
    <row r="78" spans="1:74" x14ac:dyDescent="0.25">
      <c r="A78" t="s">
        <v>6</v>
      </c>
      <c r="B78" s="4">
        <f t="shared" si="147"/>
        <v>12.821111888111886</v>
      </c>
      <c r="C78" s="4">
        <f t="shared" si="147"/>
        <v>14.199015384615377</v>
      </c>
      <c r="D78" s="4">
        <f t="shared" si="147"/>
        <v>18.394213675213674</v>
      </c>
      <c r="E78" s="4">
        <f t="shared" si="147"/>
        <v>16.393338383838383</v>
      </c>
      <c r="F78" s="4">
        <f t="shared" si="147"/>
        <v>14.638915433403806</v>
      </c>
      <c r="G78" s="4">
        <f t="shared" si="147"/>
        <v>16.364360730593607</v>
      </c>
      <c r="H78" s="4">
        <f t="shared" si="147"/>
        <v>14.968020746887968</v>
      </c>
      <c r="I78" s="4">
        <f t="shared" si="147"/>
        <v>14.499375000000002</v>
      </c>
      <c r="J78" s="4">
        <f t="shared" si="147"/>
        <v>15.49359265442404</v>
      </c>
      <c r="K78" s="4">
        <f t="shared" si="147"/>
        <v>16.29332638888889</v>
      </c>
      <c r="L78" s="4">
        <f t="shared" si="147"/>
        <v>13.280004329004329</v>
      </c>
      <c r="M78" s="4">
        <f t="shared" si="147"/>
        <v>14.402994295028542</v>
      </c>
      <c r="N78" s="4">
        <f t="shared" si="147"/>
        <v>14.015318518518503</v>
      </c>
      <c r="O78" s="4">
        <f t="shared" si="147"/>
        <v>12.947682926829268</v>
      </c>
      <c r="P78" s="4">
        <f t="shared" si="147"/>
        <v>17.606922222222224</v>
      </c>
      <c r="Q78" s="4">
        <f t="shared" si="147"/>
        <v>15.754151999999999</v>
      </c>
      <c r="R78" s="4">
        <f t="shared" si="147"/>
        <v>14.32756640625</v>
      </c>
      <c r="S78" s="4">
        <f t="shared" si="147"/>
        <v>14.885038062283739</v>
      </c>
      <c r="T78" s="4">
        <f t="shared" si="147"/>
        <v>13.415937343358395</v>
      </c>
      <c r="U78" s="4">
        <f t="shared" si="147"/>
        <v>11.805724035608309</v>
      </c>
      <c r="V78" s="4">
        <f t="shared" si="147"/>
        <v>14.304618962432953</v>
      </c>
      <c r="W78" s="4">
        <f t="shared" si="147"/>
        <v>17.98480137772675</v>
      </c>
      <c r="X78" s="4">
        <f t="shared" si="147"/>
        <v>15.971150608044923</v>
      </c>
      <c r="Y78" s="4">
        <f t="shared" si="147"/>
        <v>14.917952871870428</v>
      </c>
      <c r="Z78" s="4">
        <f t="shared" si="147"/>
        <v>14.555101185050136</v>
      </c>
      <c r="AA78" s="4">
        <f t="shared" si="147"/>
        <v>14.783065146579798</v>
      </c>
      <c r="AB78" s="4">
        <f t="shared" si="147"/>
        <v>14.964405534858969</v>
      </c>
      <c r="AC78" s="4">
        <f t="shared" si="147"/>
        <v>13.380517374517389</v>
      </c>
      <c r="AD78" s="4">
        <f t="shared" si="147"/>
        <v>16.069285021225006</v>
      </c>
      <c r="AE78" s="4">
        <f t="shared" si="147"/>
        <v>15.360441027637211</v>
      </c>
      <c r="AF78" s="4">
        <f t="shared" si="147"/>
        <v>14.952343589743586</v>
      </c>
      <c r="AG78" s="4">
        <f t="shared" si="147"/>
        <v>15.748706197398624</v>
      </c>
      <c r="AH78" s="4">
        <f t="shared" si="147"/>
        <v>15.072594556873693</v>
      </c>
      <c r="AI78" s="4">
        <f t="shared" si="147"/>
        <v>14.654654304635768</v>
      </c>
      <c r="AJ78" s="31">
        <f t="shared" si="153"/>
        <v>-5.2429473941410398E-2</v>
      </c>
      <c r="AK78" s="31">
        <f t="shared" si="148"/>
        <v>-1.1321198054858983E-2</v>
      </c>
      <c r="AL78" s="31">
        <f t="shared" si="148"/>
        <v>-4.9800958422172248E-2</v>
      </c>
      <c r="AM78" s="31">
        <f t="shared" si="148"/>
        <v>-0.112261838927038</v>
      </c>
      <c r="AN78" s="31">
        <f t="shared" si="148"/>
        <v>9.6531155712198613E-2</v>
      </c>
      <c r="AO78" s="172">
        <f t="shared" si="149"/>
        <v>13.037231617647059</v>
      </c>
      <c r="AP78" s="172">
        <f t="shared" si="149"/>
        <v>14.310935135135136</v>
      </c>
      <c r="AQ78" s="172">
        <f t="shared" si="149"/>
        <v>14.639875518672198</v>
      </c>
      <c r="AR78" s="169">
        <f t="shared" si="149"/>
        <v>13.724873096446702</v>
      </c>
      <c r="AS78" s="169">
        <f t="shared" si="149"/>
        <v>16.369635854341738</v>
      </c>
      <c r="AT78" s="169">
        <f t="shared" si="149"/>
        <v>14.090345963756178</v>
      </c>
      <c r="AU78" s="169">
        <f t="shared" ref="AU78" si="156">IFERROR(AU6/AU54,"")</f>
        <v>15.488538681948423</v>
      </c>
      <c r="BA78" s="4">
        <f t="shared" si="151"/>
        <v>14.110830670926518</v>
      </c>
      <c r="BB78" s="4">
        <f t="shared" si="151"/>
        <v>14.725443338074918</v>
      </c>
      <c r="BC78" s="4">
        <f t="shared" si="151"/>
        <v>15.488538681948423</v>
      </c>
      <c r="BD78" s="4" t="str">
        <f t="shared" si="151"/>
        <v/>
      </c>
      <c r="BE78" s="4">
        <f t="shared" si="151"/>
        <v>14.592764140875131</v>
      </c>
      <c r="BF78" s="122">
        <f t="shared" si="152"/>
        <v>0.93021300945967844</v>
      </c>
      <c r="BG78" s="111">
        <f t="shared" si="152"/>
        <v>1.1052892796348166</v>
      </c>
      <c r="BH78" s="111">
        <f t="shared" si="152"/>
        <v>0.83148407960789272</v>
      </c>
      <c r="BI78" s="111">
        <f t="shared" si="152"/>
        <v>0.87119085155752607</v>
      </c>
      <c r="BJ78" s="111">
        <f t="shared" si="152"/>
        <v>1.1425273064657333</v>
      </c>
      <c r="BK78" s="111">
        <f t="shared" si="152"/>
        <v>0.9466113492486673</v>
      </c>
      <c r="BL78" s="111">
        <f t="shared" si="152"/>
        <v>1.1544880007669442</v>
      </c>
      <c r="BM78" s="111">
        <f t="shared" si="152"/>
        <v>0</v>
      </c>
      <c r="BN78" s="111">
        <f t="shared" si="152"/>
        <v>0</v>
      </c>
      <c r="BO78" s="111">
        <f t="shared" si="152"/>
        <v>0</v>
      </c>
      <c r="BP78" s="111">
        <f t="shared" si="152"/>
        <v>0</v>
      </c>
      <c r="BQ78" s="111">
        <f t="shared" si="152"/>
        <v>0</v>
      </c>
      <c r="BR78" s="111">
        <f>IFERROR(BA78/(SUM(N6:INDEX(N6:P6,IF($A$2&lt;3,$A$2,3)))/SUM(N54:INDEX(N54:P54,IF($A$2&lt;3,$A$2,3)))),0)</f>
        <v>0.9545267189863661</v>
      </c>
      <c r="BS78" s="111">
        <f>IFERROR(BB78/(SUM(Q6:INDEX(Q6:S6,IF($A$2&lt;7,$A$2-3,3)))/SUM(Q54:INDEX(Q54:S54,IF($A$2&lt;7,$A$2-3,3)))),0)</f>
        <v>0.98403129371043851</v>
      </c>
      <c r="BT78" s="111"/>
      <c r="BU78" s="111"/>
      <c r="BV78" s="111">
        <f t="shared" si="155"/>
        <v>1.0025876120918815</v>
      </c>
    </row>
    <row r="79" spans="1:74" x14ac:dyDescent="0.25">
      <c r="A79" t="s">
        <v>7</v>
      </c>
      <c r="B79" s="4">
        <f t="shared" si="147"/>
        <v>13.623292993630573</v>
      </c>
      <c r="C79" s="4">
        <f t="shared" si="147"/>
        <v>13.41305298013245</v>
      </c>
      <c r="D79" s="4">
        <f t="shared" si="147"/>
        <v>16.542400826446279</v>
      </c>
      <c r="E79" s="4">
        <f t="shared" si="147"/>
        <v>14.258792452830189</v>
      </c>
      <c r="F79" s="4">
        <f t="shared" si="147"/>
        <v>14.454697406340056</v>
      </c>
      <c r="G79" s="4">
        <f t="shared" si="147"/>
        <v>16.507064935064907</v>
      </c>
      <c r="H79" s="4">
        <f t="shared" si="147"/>
        <v>14.52706811145511</v>
      </c>
      <c r="I79" s="4">
        <f t="shared" si="147"/>
        <v>13.658375661375661</v>
      </c>
      <c r="J79" s="4">
        <f t="shared" si="147"/>
        <v>14.382189258312019</v>
      </c>
      <c r="K79" s="4">
        <f t="shared" si="147"/>
        <v>16.290571428571429</v>
      </c>
      <c r="L79" s="4">
        <f t="shared" si="147"/>
        <v>14.782255905511812</v>
      </c>
      <c r="M79" s="4">
        <f t="shared" si="147"/>
        <v>15.924003194888178</v>
      </c>
      <c r="N79" s="4">
        <f t="shared" si="147"/>
        <v>12.943695290858725</v>
      </c>
      <c r="O79" s="4">
        <f t="shared" si="147"/>
        <v>15.047127753303966</v>
      </c>
      <c r="P79" s="4">
        <f t="shared" si="147"/>
        <v>17.881479020979022</v>
      </c>
      <c r="Q79" s="4">
        <f t="shared" si="147"/>
        <v>16.666140624999993</v>
      </c>
      <c r="R79" s="4">
        <f t="shared" si="147"/>
        <v>17.071319391634979</v>
      </c>
      <c r="S79" s="4">
        <f t="shared" si="147"/>
        <v>15.519449003517</v>
      </c>
      <c r="T79" s="4">
        <f t="shared" si="147"/>
        <v>17.0267625</v>
      </c>
      <c r="U79" s="4">
        <f t="shared" si="147"/>
        <v>13.299110132158612</v>
      </c>
      <c r="V79" s="4">
        <f t="shared" si="147"/>
        <v>13.886956414473685</v>
      </c>
      <c r="W79" s="4">
        <f t="shared" si="147"/>
        <v>14.546522471910112</v>
      </c>
      <c r="X79" s="4">
        <f t="shared" si="147"/>
        <v>19.605523172905563</v>
      </c>
      <c r="Y79" s="4">
        <f t="shared" si="147"/>
        <v>22.160822840410084</v>
      </c>
      <c r="Z79" s="4">
        <f t="shared" si="147"/>
        <v>16.142419442927359</v>
      </c>
      <c r="AA79" s="4">
        <f t="shared" si="147"/>
        <v>15.668547945205479</v>
      </c>
      <c r="AB79" s="4">
        <f t="shared" si="147"/>
        <v>16.198248318042811</v>
      </c>
      <c r="AC79" s="4">
        <f t="shared" si="147"/>
        <v>14.420860709117228</v>
      </c>
      <c r="AD79" s="4">
        <f t="shared" si="147"/>
        <v>20.026280453257868</v>
      </c>
      <c r="AE79" s="4">
        <f t="shared" si="147"/>
        <v>15.047981958762877</v>
      </c>
      <c r="AF79" s="4">
        <f t="shared" si="147"/>
        <v>14.849979999999999</v>
      </c>
      <c r="AG79" s="4">
        <f t="shared" si="147"/>
        <v>15.456164948453594</v>
      </c>
      <c r="AH79" s="4">
        <f t="shared" si="147"/>
        <v>14.282516057585827</v>
      </c>
      <c r="AI79" s="4">
        <f t="shared" si="147"/>
        <v>15.54851680506129</v>
      </c>
      <c r="AJ79" s="31">
        <f t="shared" si="153"/>
        <v>7.2729850897193415E-2</v>
      </c>
      <c r="AK79" s="31">
        <f t="shared" si="148"/>
        <v>5.5122494791607801E-2</v>
      </c>
      <c r="AL79" s="31">
        <f t="shared" si="148"/>
        <v>4.8012127980263442E-2</v>
      </c>
      <c r="AM79" s="31">
        <f t="shared" si="148"/>
        <v>9.6862941356836707E-3</v>
      </c>
      <c r="AN79" s="31">
        <f t="shared" si="148"/>
        <v>0.2879865458767743</v>
      </c>
      <c r="AO79" s="172">
        <f t="shared" si="149"/>
        <v>14.96110787878788</v>
      </c>
      <c r="AP79" s="172">
        <f t="shared" si="149"/>
        <v>15.934097600000014</v>
      </c>
      <c r="AQ79" s="172">
        <f t="shared" si="149"/>
        <v>13.984021052631579</v>
      </c>
      <c r="AR79" s="169">
        <f t="shared" si="149"/>
        <v>14.176143790849672</v>
      </c>
      <c r="AS79" s="169">
        <f t="shared" si="149"/>
        <v>14.057727272727272</v>
      </c>
      <c r="AT79" s="169">
        <f t="shared" si="149"/>
        <v>16.143562005277044</v>
      </c>
      <c r="AU79" s="169">
        <f t="shared" ref="AU79" si="157">IFERROR(AU7/AU55,"")</f>
        <v>17.25676595744681</v>
      </c>
      <c r="BA79" s="4">
        <f t="shared" si="151"/>
        <v>15.056316033057856</v>
      </c>
      <c r="BB79" s="4">
        <f t="shared" si="151"/>
        <v>14.854995178399228</v>
      </c>
      <c r="BC79" s="4">
        <f t="shared" si="151"/>
        <v>17.25676595744681</v>
      </c>
      <c r="BD79" s="4" t="str">
        <f t="shared" si="151"/>
        <v/>
      </c>
      <c r="BE79" s="4">
        <f t="shared" si="151"/>
        <v>15.251660234321161</v>
      </c>
      <c r="BF79" s="122">
        <f t="shared" si="152"/>
        <v>1.1558606365953252</v>
      </c>
      <c r="BG79" s="111">
        <f t="shared" si="152"/>
        <v>1.0589461232228383</v>
      </c>
      <c r="BH79" s="111">
        <f t="shared" si="152"/>
        <v>0.78203939597083427</v>
      </c>
      <c r="BI79" s="111">
        <f t="shared" si="152"/>
        <v>0.85059547437064043</v>
      </c>
      <c r="BJ79" s="111">
        <f t="shared" si="152"/>
        <v>0.82347046237185506</v>
      </c>
      <c r="BK79" s="111">
        <f t="shared" si="152"/>
        <v>1.0402148943315326</v>
      </c>
      <c r="BL79" s="111">
        <f t="shared" si="152"/>
        <v>1.0135083494261936</v>
      </c>
      <c r="BM79" s="111">
        <f t="shared" si="152"/>
        <v>0</v>
      </c>
      <c r="BN79" s="111">
        <f t="shared" si="152"/>
        <v>0</v>
      </c>
      <c r="BO79" s="111">
        <f t="shared" si="152"/>
        <v>0</v>
      </c>
      <c r="BP79" s="111">
        <f t="shared" si="152"/>
        <v>0</v>
      </c>
      <c r="BQ79" s="111">
        <f t="shared" si="152"/>
        <v>0</v>
      </c>
      <c r="BR79" s="111">
        <f>IFERROR(BA79/(SUM(N7:INDEX(N7:P7,IF($A$2&lt;3,$A$2,3)))/SUM(N55:INDEX(N55:P55,IF($A$2&lt;3,$A$2,3)))),0)</f>
        <v>0.96092605937138142</v>
      </c>
      <c r="BS79" s="111">
        <f>IFERROR(BB79/(SUM(Q7:INDEX(Q7:S7,IF($A$2&lt;7,$A$2-3,3)))/SUM(Q55:INDEX(Q55:S55,IF($A$2&lt;7,$A$2-3,3)))),0)</f>
        <v>0.91707417288155979</v>
      </c>
      <c r="BT79" s="111"/>
      <c r="BU79" s="111"/>
      <c r="BV79" s="111">
        <f t="shared" si="155"/>
        <v>0.94481872982203574</v>
      </c>
    </row>
    <row r="80" spans="1:74" x14ac:dyDescent="0.25">
      <c r="A80" t="s">
        <v>8</v>
      </c>
      <c r="B80" s="4">
        <f t="shared" si="147"/>
        <v>9.9205000000000005</v>
      </c>
      <c r="C80" s="4">
        <f t="shared" si="147"/>
        <v>14.821272727272728</v>
      </c>
      <c r="D80" s="4">
        <f t="shared" si="147"/>
        <v>16.569893749999999</v>
      </c>
      <c r="E80" s="4">
        <f t="shared" si="147"/>
        <v>18.924866028708134</v>
      </c>
      <c r="F80" s="4">
        <f t="shared" si="147"/>
        <v>13.80003982300885</v>
      </c>
      <c r="G80" s="4">
        <f t="shared" si="147"/>
        <v>16.231237288135592</v>
      </c>
      <c r="H80" s="4">
        <f t="shared" si="147"/>
        <v>21.444955357142856</v>
      </c>
      <c r="I80" s="4">
        <f t="shared" si="147"/>
        <v>16.448185393258427</v>
      </c>
      <c r="J80" s="4">
        <f t="shared" si="147"/>
        <v>14.69251083591328</v>
      </c>
      <c r="K80" s="4">
        <f t="shared" si="147"/>
        <v>16.266487234042554</v>
      </c>
      <c r="L80" s="4">
        <f t="shared" si="147"/>
        <v>15.04112853470437</v>
      </c>
      <c r="M80" s="4">
        <f t="shared" si="147"/>
        <v>20.783073891625616</v>
      </c>
      <c r="N80" s="4">
        <f t="shared" si="147"/>
        <v>13.189109634551496</v>
      </c>
      <c r="O80" s="4">
        <f t="shared" si="147"/>
        <v>12.130409722222222</v>
      </c>
      <c r="P80" s="4">
        <f t="shared" si="147"/>
        <v>14.262681818181818</v>
      </c>
      <c r="Q80" s="4">
        <f t="shared" si="147"/>
        <v>20.813052044609663</v>
      </c>
      <c r="R80" s="4">
        <f t="shared" si="147"/>
        <v>16.29884699453552</v>
      </c>
      <c r="S80" s="4">
        <f t="shared" si="147"/>
        <v>15.619860465116279</v>
      </c>
      <c r="T80" s="4">
        <f t="shared" si="147"/>
        <v>15.944375757575758</v>
      </c>
      <c r="U80" s="4">
        <f t="shared" si="147"/>
        <v>17.497730088495576</v>
      </c>
      <c r="V80" s="4">
        <f t="shared" si="147"/>
        <v>18.37955707762557</v>
      </c>
      <c r="W80" s="4">
        <f t="shared" si="147"/>
        <v>21.015051908396948</v>
      </c>
      <c r="X80" s="4">
        <f t="shared" si="147"/>
        <v>14.7541008</v>
      </c>
      <c r="Y80" s="4">
        <f t="shared" si="147"/>
        <v>16.40985188431204</v>
      </c>
      <c r="Z80" s="4">
        <f t="shared" si="147"/>
        <v>15.734099357891179</v>
      </c>
      <c r="AA80" s="4">
        <f t="shared" si="147"/>
        <v>13.584014482259233</v>
      </c>
      <c r="AB80" s="4">
        <f t="shared" si="147"/>
        <v>18.057717948717947</v>
      </c>
      <c r="AC80" s="4">
        <f t="shared" si="147"/>
        <v>17.544118832522585</v>
      </c>
      <c r="AD80" s="4">
        <f t="shared" si="147"/>
        <v>17.228340768277587</v>
      </c>
      <c r="AE80" s="4">
        <f t="shared" si="147"/>
        <v>16.472496386630532</v>
      </c>
      <c r="AF80" s="4">
        <f t="shared" si="147"/>
        <v>14.328030581039755</v>
      </c>
      <c r="AG80" s="4">
        <f t="shared" si="147"/>
        <v>16.253325163398692</v>
      </c>
      <c r="AH80" s="4">
        <f t="shared" si="147"/>
        <v>16.855322122570985</v>
      </c>
      <c r="AI80" s="4">
        <f t="shared" si="147"/>
        <v>17.584030582524274</v>
      </c>
      <c r="AJ80" s="31">
        <f t="shared" si="153"/>
        <v>-4.482605498330261E-2</v>
      </c>
      <c r="AK80" s="31">
        <f t="shared" si="148"/>
        <v>-5.1927310914947067E-2</v>
      </c>
      <c r="AL80" s="31">
        <f t="shared" si="148"/>
        <v>0.11101683915009697</v>
      </c>
      <c r="AM80" s="31">
        <f t="shared" si="148"/>
        <v>4.0865235617729923E-2</v>
      </c>
      <c r="AN80" s="31">
        <f t="shared" si="148"/>
        <v>-2.0228002480852547E-2</v>
      </c>
      <c r="AO80" s="172">
        <f t="shared" si="149"/>
        <v>15.878233243967829</v>
      </c>
      <c r="AP80" s="172">
        <f t="shared" si="149"/>
        <v>17.531092307692308</v>
      </c>
      <c r="AQ80" s="172">
        <f t="shared" si="149"/>
        <v>16.372525732383213</v>
      </c>
      <c r="AR80" s="169">
        <f t="shared" si="149"/>
        <v>14.472962138084632</v>
      </c>
      <c r="AS80" s="169">
        <f t="shared" si="149"/>
        <v>17.503464052287583</v>
      </c>
      <c r="AT80" s="169">
        <f t="shared" si="149"/>
        <v>15.781464968152866</v>
      </c>
      <c r="AU80" s="169">
        <f t="shared" ref="AU80" si="158">IFERROR(AU8/AU56,"")</f>
        <v>15.145666666666665</v>
      </c>
      <c r="BA80" s="4">
        <f t="shared" si="151"/>
        <v>16.670253725165562</v>
      </c>
      <c r="BB80" s="4">
        <f t="shared" si="151"/>
        <v>15.724789522918615</v>
      </c>
      <c r="BC80" s="4">
        <f t="shared" si="151"/>
        <v>15.145666666666665</v>
      </c>
      <c r="BD80" s="4" t="str">
        <f t="shared" si="151"/>
        <v/>
      </c>
      <c r="BE80" s="4">
        <f t="shared" si="151"/>
        <v>16.264648374512351</v>
      </c>
      <c r="BF80" s="122">
        <f t="shared" si="152"/>
        <v>1.203889700209303</v>
      </c>
      <c r="BG80" s="111">
        <f t="shared" si="152"/>
        <v>1.4452184805906714</v>
      </c>
      <c r="BH80" s="111">
        <f t="shared" si="152"/>
        <v>1.147927573586603</v>
      </c>
      <c r="BI80" s="111">
        <f t="shared" si="152"/>
        <v>0.69537913550900676</v>
      </c>
      <c r="BJ80" s="111">
        <f t="shared" si="152"/>
        <v>1.0739081149823624</v>
      </c>
      <c r="BK80" s="111">
        <f t="shared" si="152"/>
        <v>1.0103460913365709</v>
      </c>
      <c r="BL80" s="111">
        <f t="shared" si="152"/>
        <v>0.94990653111460976</v>
      </c>
      <c r="BM80" s="111">
        <f t="shared" si="152"/>
        <v>0</v>
      </c>
      <c r="BN80" s="111">
        <f t="shared" si="152"/>
        <v>0</v>
      </c>
      <c r="BO80" s="111">
        <f t="shared" si="152"/>
        <v>0</v>
      </c>
      <c r="BP80" s="111">
        <f t="shared" si="152"/>
        <v>0</v>
      </c>
      <c r="BQ80" s="111">
        <f t="shared" si="152"/>
        <v>0</v>
      </c>
      <c r="BR80" s="111">
        <f>IFERROR(BA80/(SUM(N8:INDEX(N8:P8,IF($A$2&lt;3,$A$2,3)))/SUM(N56:INDEX(N56:P56,IF($A$2&lt;3,$A$2,3)))),0)</f>
        <v>1.2271964040480792</v>
      </c>
      <c r="BS80" s="111">
        <f>IFERROR(BB80/(SUM(Q8:INDEX(Q8:S8,IF($A$2&lt;7,$A$2-3,3)))/SUM(Q56:INDEX(Q56:S56,IF($A$2&lt;7,$A$2-3,3)))),0)</f>
        <v>0.87080712898359536</v>
      </c>
      <c r="BT80" s="111"/>
      <c r="BU80" s="111"/>
      <c r="BV80" s="111">
        <f t="shared" si="155"/>
        <v>1.0337196940576763</v>
      </c>
    </row>
    <row r="81" spans="1:74" x14ac:dyDescent="0.25">
      <c r="A81" t="s">
        <v>1</v>
      </c>
      <c r="B81" s="4">
        <f t="shared" si="147"/>
        <v>14.515539682539684</v>
      </c>
      <c r="C81" s="4">
        <f t="shared" si="147"/>
        <v>17.330071428571429</v>
      </c>
      <c r="D81" s="4">
        <f t="shared" si="147"/>
        <v>14.175559405940595</v>
      </c>
      <c r="E81" s="4">
        <f t="shared" si="147"/>
        <v>21.785724025974027</v>
      </c>
      <c r="F81" s="4">
        <f t="shared" si="147"/>
        <v>15.040053254437872</v>
      </c>
      <c r="G81" s="4">
        <f t="shared" si="147"/>
        <v>30.79588115942029</v>
      </c>
      <c r="H81" s="4">
        <f t="shared" si="147"/>
        <v>20.45842156862745</v>
      </c>
      <c r="I81" s="4">
        <f t="shared" si="147"/>
        <v>14.96850657894737</v>
      </c>
      <c r="J81" s="4">
        <f t="shared" si="147"/>
        <v>18.397269867549671</v>
      </c>
      <c r="K81" s="4">
        <f t="shared" si="147"/>
        <v>20.364541125541123</v>
      </c>
      <c r="L81" s="4">
        <f t="shared" si="147"/>
        <v>17.526171428571452</v>
      </c>
      <c r="M81" s="4">
        <f t="shared" si="147"/>
        <v>19.476502222222244</v>
      </c>
      <c r="N81" s="4">
        <f t="shared" si="147"/>
        <v>13.938275862068966</v>
      </c>
      <c r="O81" s="4">
        <f t="shared" si="147"/>
        <v>14.878309352517986</v>
      </c>
      <c r="P81" s="4">
        <f t="shared" si="147"/>
        <v>16.780355704697989</v>
      </c>
      <c r="Q81" s="4">
        <f t="shared" si="147"/>
        <v>15.887009216589862</v>
      </c>
      <c r="R81" s="4">
        <f t="shared" si="147"/>
        <v>17.507304511278193</v>
      </c>
      <c r="S81" s="4">
        <f t="shared" si="147"/>
        <v>14.745431818181819</v>
      </c>
      <c r="T81" s="4">
        <f t="shared" si="147"/>
        <v>18.476511111111112</v>
      </c>
      <c r="U81" s="4">
        <f t="shared" si="147"/>
        <v>17.759150121065378</v>
      </c>
      <c r="V81" s="4">
        <f t="shared" si="147"/>
        <v>17.430626415094341</v>
      </c>
      <c r="W81" s="4">
        <f t="shared" si="147"/>
        <v>18.974675392670157</v>
      </c>
      <c r="X81" s="4">
        <f t="shared" si="147"/>
        <v>21.009267477203643</v>
      </c>
      <c r="Y81" s="4">
        <f t="shared" si="147"/>
        <v>23.733288048151369</v>
      </c>
      <c r="Z81" s="4">
        <f t="shared" si="147"/>
        <v>16.165540736270369</v>
      </c>
      <c r="AA81" s="4">
        <f t="shared" si="147"/>
        <v>15.706095840867995</v>
      </c>
      <c r="AB81" s="4">
        <f t="shared" si="147"/>
        <v>15.863043230944255</v>
      </c>
      <c r="AC81" s="4">
        <f t="shared" si="147"/>
        <v>17.865894472361809</v>
      </c>
      <c r="AD81" s="4">
        <f t="shared" si="147"/>
        <v>22.094524738992302</v>
      </c>
      <c r="AE81" s="4">
        <f t="shared" si="147"/>
        <v>20.291262453133367</v>
      </c>
      <c r="AF81" s="4">
        <f t="shared" si="147"/>
        <v>15.210749999999999</v>
      </c>
      <c r="AG81" s="4">
        <f t="shared" si="147"/>
        <v>22.621715438950556</v>
      </c>
      <c r="AH81" s="4">
        <f t="shared" si="147"/>
        <v>18.24423480243161</v>
      </c>
      <c r="AI81" s="4">
        <f t="shared" si="147"/>
        <v>18.875918133802834</v>
      </c>
      <c r="AJ81" s="31">
        <f t="shared" si="153"/>
        <v>-0.203325038370193</v>
      </c>
      <c r="AK81" s="31">
        <f t="shared" si="148"/>
        <v>3.2565510633466133E-2</v>
      </c>
      <c r="AL81" s="31">
        <f t="shared" si="148"/>
        <v>-0.29876921696084435</v>
      </c>
      <c r="AM81" s="31">
        <f t="shared" si="148"/>
        <v>-2.0737528000866035E-2</v>
      </c>
      <c r="AN81" s="31">
        <f t="shared" si="148"/>
        <v>0.17051390996582128</v>
      </c>
      <c r="AO81" s="172">
        <f t="shared" si="149"/>
        <v>13.23024</v>
      </c>
      <c r="AP81" s="172">
        <f t="shared" si="149"/>
        <v>13.600952000000001</v>
      </c>
      <c r="AQ81" s="172">
        <f t="shared" si="149"/>
        <v>15.020087527352299</v>
      </c>
      <c r="AR81" s="169">
        <f t="shared" si="149"/>
        <v>18.393375527426159</v>
      </c>
      <c r="AS81" s="169">
        <f t="shared" si="149"/>
        <v>10.625011441647597</v>
      </c>
      <c r="AT81" s="169">
        <f t="shared" si="149"/>
        <v>16.27927927927928</v>
      </c>
      <c r="AU81" s="169">
        <f t="shared" ref="AU81" si="159">IFERROR(AU9/AU57,"")</f>
        <v>18.19125</v>
      </c>
      <c r="BA81" s="4">
        <f t="shared" si="151"/>
        <v>14.292828471411903</v>
      </c>
      <c r="BB81" s="4">
        <f t="shared" si="151"/>
        <v>12.947854463615903</v>
      </c>
      <c r="BC81" s="4">
        <f t="shared" si="151"/>
        <v>18.19125</v>
      </c>
      <c r="BD81" s="4" t="str">
        <f t="shared" si="151"/>
        <v/>
      </c>
      <c r="BE81" s="4">
        <f t="shared" si="151"/>
        <v>13.739993317913132</v>
      </c>
      <c r="BF81" s="122">
        <f t="shared" si="152"/>
        <v>0.9492020484401672</v>
      </c>
      <c r="BG81" s="111">
        <f t="shared" si="152"/>
        <v>0.91414633731205441</v>
      </c>
      <c r="BH81" s="111">
        <f t="shared" si="152"/>
        <v>0.89509947176787985</v>
      </c>
      <c r="BI81" s="111">
        <f t="shared" si="152"/>
        <v>1.1577619976590086</v>
      </c>
      <c r="BJ81" s="111">
        <f t="shared" si="152"/>
        <v>0.6068901945929468</v>
      </c>
      <c r="BK81" s="111">
        <f t="shared" si="152"/>
        <v>1.1040218747074029</v>
      </c>
      <c r="BL81" s="111">
        <f t="shared" si="152"/>
        <v>0.98456087789541791</v>
      </c>
      <c r="BM81" s="111">
        <f t="shared" si="152"/>
        <v>0</v>
      </c>
      <c r="BN81" s="111">
        <f t="shared" si="152"/>
        <v>0</v>
      </c>
      <c r="BO81" s="111">
        <f t="shared" si="152"/>
        <v>0</v>
      </c>
      <c r="BP81" s="111">
        <f t="shared" si="152"/>
        <v>0</v>
      </c>
      <c r="BQ81" s="111">
        <f t="shared" si="152"/>
        <v>0</v>
      </c>
      <c r="BR81" s="111">
        <f>IFERROR(BA81/(SUM(N9:INDEX(N9:P9,IF($A$2&lt;3,$A$2,3)))/SUM(N57:INDEX(N57:P57,IF($A$2&lt;3,$A$2,3)))),0)</f>
        <v>0.91001790745611622</v>
      </c>
      <c r="BS81" s="111">
        <f>IFERROR(BB81/(SUM(Q9:INDEX(Q9:S9,IF($A$2&lt;7,$A$2-3,3)))/SUM(Q57:INDEX(Q57:S57,IF($A$2&lt;7,$A$2-3,3)))),0)</f>
        <v>0.81622764781718216</v>
      </c>
      <c r="BT81" s="111"/>
      <c r="BU81" s="111"/>
      <c r="BV81" s="111">
        <f t="shared" si="155"/>
        <v>0.84995568920778042</v>
      </c>
    </row>
    <row r="82" spans="1:74" x14ac:dyDescent="0.25">
      <c r="A82" t="s">
        <v>2</v>
      </c>
      <c r="B82" s="4">
        <f t="shared" si="147"/>
        <v>14.244923076923076</v>
      </c>
      <c r="C82" s="4">
        <f t="shared" si="147"/>
        <v>19.196199999999997</v>
      </c>
      <c r="D82" s="4">
        <f t="shared" si="147"/>
        <v>25.099384615384615</v>
      </c>
      <c r="E82" s="4">
        <f t="shared" si="147"/>
        <v>20.727619047619051</v>
      </c>
      <c r="F82" s="4">
        <f t="shared" si="147"/>
        <v>11.367197674418604</v>
      </c>
      <c r="G82" s="4">
        <f t="shared" si="147"/>
        <v>23.063701030927835</v>
      </c>
      <c r="H82" s="4">
        <f t="shared" si="147"/>
        <v>19.34801886792453</v>
      </c>
      <c r="I82" s="4">
        <f t="shared" si="147"/>
        <v>18.10702479338843</v>
      </c>
      <c r="J82" s="4">
        <f t="shared" si="147"/>
        <v>36.527242857142859</v>
      </c>
      <c r="K82" s="4">
        <f t="shared" si="147"/>
        <v>-8.5061955307262558</v>
      </c>
      <c r="L82" s="4">
        <f t="shared" si="147"/>
        <v>17.967310000000001</v>
      </c>
      <c r="M82" s="4">
        <f t="shared" si="147"/>
        <v>23.5915044404973</v>
      </c>
      <c r="N82" s="4">
        <f t="shared" si="147"/>
        <v>15.620685393258427</v>
      </c>
      <c r="O82" s="4">
        <f t="shared" si="147"/>
        <v>29.54078947368421</v>
      </c>
      <c r="P82" s="4">
        <f t="shared" si="147"/>
        <v>17.873385869565219</v>
      </c>
      <c r="Q82" s="4">
        <f t="shared" si="147"/>
        <v>14.394761061946902</v>
      </c>
      <c r="R82" s="4">
        <f t="shared" si="147"/>
        <v>18.74334965034965</v>
      </c>
      <c r="S82" s="4">
        <f t="shared" si="147"/>
        <v>15.425485239852398</v>
      </c>
      <c r="T82" s="4">
        <f t="shared" si="147"/>
        <v>15.309630573248409</v>
      </c>
      <c r="U82" s="4">
        <f t="shared" si="147"/>
        <v>19.093811827956991</v>
      </c>
      <c r="V82" s="4">
        <f t="shared" si="147"/>
        <v>16.193139616055845</v>
      </c>
      <c r="W82" s="4">
        <f t="shared" si="147"/>
        <v>21.071503198294241</v>
      </c>
      <c r="X82" s="4">
        <f t="shared" si="147"/>
        <v>15.918067323481115</v>
      </c>
      <c r="Y82" s="4">
        <f t="shared" si="147"/>
        <v>21.330109725685819</v>
      </c>
      <c r="Z82" s="4">
        <f t="shared" si="147"/>
        <v>17.245759438528559</v>
      </c>
      <c r="AA82" s="4">
        <f t="shared" si="147"/>
        <v>19.839667621776503</v>
      </c>
      <c r="AB82" s="4">
        <f t="shared" si="147"/>
        <v>16.10476944971537</v>
      </c>
      <c r="AC82" s="4">
        <f t="shared" si="147"/>
        <v>16.829857823669581</v>
      </c>
      <c r="AD82" s="4">
        <f t="shared" si="147"/>
        <v>19.83198597106534</v>
      </c>
      <c r="AE82" s="4">
        <f t="shared" si="147"/>
        <v>18.842021052631576</v>
      </c>
      <c r="AF82" s="4">
        <f t="shared" si="147"/>
        <v>19.539944444444441</v>
      </c>
      <c r="AG82" s="4">
        <f t="shared" si="147"/>
        <v>18.15696888888889</v>
      </c>
      <c r="AH82" s="4">
        <f t="shared" si="147"/>
        <v>28.539384615384616</v>
      </c>
      <c r="AI82" s="4">
        <f t="shared" si="147"/>
        <v>16.701338969404169</v>
      </c>
      <c r="AJ82" s="31">
        <f t="shared" si="153"/>
        <v>-8.4718173790601647E-2</v>
      </c>
      <c r="AK82" s="31">
        <f t="shared" si="148"/>
        <v>1.533899843902975E-2</v>
      </c>
      <c r="AL82" s="31">
        <f t="shared" si="148"/>
        <v>-0.11302544228234912</v>
      </c>
      <c r="AM82" s="31">
        <f t="shared" si="148"/>
        <v>-0.4102935977604375</v>
      </c>
      <c r="AN82" s="31">
        <f t="shared" si="148"/>
        <v>0.18744886307596809</v>
      </c>
      <c r="AO82" s="172">
        <f t="shared" si="149"/>
        <v>19.774513605442177</v>
      </c>
      <c r="AP82" s="172">
        <f t="shared" si="149"/>
        <v>17.623847761194028</v>
      </c>
      <c r="AQ82" s="172">
        <f t="shared" si="149"/>
        <v>17.462570806100221</v>
      </c>
      <c r="AR82" s="169">
        <f t="shared" si="149"/>
        <v>17.76173913043478</v>
      </c>
      <c r="AS82" s="169">
        <f t="shared" si="149"/>
        <v>19.874166666666664</v>
      </c>
      <c r="AT82" s="169">
        <f t="shared" si="149"/>
        <v>20.181092636579571</v>
      </c>
      <c r="AU82" s="169">
        <f t="shared" ref="AU82" si="160">IFERROR(AU10/AU58,"")</f>
        <v>24.10417112299465</v>
      </c>
      <c r="BA82" s="4">
        <f t="shared" si="151"/>
        <v>18.136963235294118</v>
      </c>
      <c r="BB82" s="4">
        <f t="shared" si="151"/>
        <v>19.194721619667387</v>
      </c>
      <c r="BC82" s="4">
        <f t="shared" si="151"/>
        <v>24.10417112299465</v>
      </c>
      <c r="BD82" s="4" t="str">
        <f t="shared" si="151"/>
        <v/>
      </c>
      <c r="BE82" s="4">
        <f t="shared" si="151"/>
        <v>19.435597891036906</v>
      </c>
      <c r="BF82" s="122">
        <f t="shared" si="152"/>
        <v>1.2659184349219694</v>
      </c>
      <c r="BG82" s="111">
        <f t="shared" si="152"/>
        <v>0.59659366168578065</v>
      </c>
      <c r="BH82" s="111">
        <f t="shared" si="152"/>
        <v>0.97701526356209134</v>
      </c>
      <c r="BI82" s="111">
        <f t="shared" si="152"/>
        <v>1.2339030188829332</v>
      </c>
      <c r="BJ82" s="111">
        <f t="shared" si="152"/>
        <v>1.0603316396168236</v>
      </c>
      <c r="BK82" s="111">
        <f t="shared" si="152"/>
        <v>1.3082954813272816</v>
      </c>
      <c r="BL82" s="111">
        <f t="shared" si="152"/>
        <v>1.5744449879224101</v>
      </c>
      <c r="BM82" s="111">
        <f t="shared" si="152"/>
        <v>0</v>
      </c>
      <c r="BN82" s="111">
        <f t="shared" si="152"/>
        <v>0</v>
      </c>
      <c r="BO82" s="111">
        <f t="shared" si="152"/>
        <v>0</v>
      </c>
      <c r="BP82" s="111">
        <f t="shared" si="152"/>
        <v>0</v>
      </c>
      <c r="BQ82" s="111">
        <f t="shared" si="152"/>
        <v>0</v>
      </c>
      <c r="BR82" s="111">
        <f>IFERROR(BA82/(SUM(N10:INDEX(N10:P10,IF($A$2&lt;3,$A$2,3)))/SUM(N58:INDEX(N58:P58,IF($A$2&lt;3,$A$2,3)))),0)</f>
        <v>0.91417676853550434</v>
      </c>
      <c r="BS82" s="111">
        <f>IFERROR(BB82/(SUM(Q10:INDEX(Q10:S10,IF($A$2&lt;7,$A$2-3,3)))/SUM(Q58:INDEX(Q58:S58,IF($A$2&lt;7,$A$2-3,3)))),0)</f>
        <v>1.1918656569161024</v>
      </c>
      <c r="BT82" s="111"/>
      <c r="BU82" s="111"/>
      <c r="BV82" s="111">
        <f t="shared" si="155"/>
        <v>1.1269783717158928</v>
      </c>
    </row>
    <row r="83" spans="1:74" x14ac:dyDescent="0.25">
      <c r="A83" s="135" t="s">
        <v>136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31"/>
      <c r="AK83" s="31"/>
      <c r="AL83" s="31"/>
      <c r="AM83" s="31"/>
      <c r="AN83" s="31"/>
      <c r="AO83" s="172"/>
      <c r="AP83" s="172">
        <f t="shared" si="149"/>
        <v>13.753489361702128</v>
      </c>
      <c r="AQ83" s="172">
        <f t="shared" si="149"/>
        <v>13.615748792270532</v>
      </c>
      <c r="AR83" s="169">
        <f t="shared" si="149"/>
        <v>13.966310904872389</v>
      </c>
      <c r="AS83" s="169">
        <f t="shared" si="149"/>
        <v>16.018604651162789</v>
      </c>
      <c r="AT83" s="169">
        <f t="shared" si="149"/>
        <v>14.664032258064516</v>
      </c>
      <c r="AU83" s="169">
        <f t="shared" ref="AU83" si="161">IFERROR(AU11/AU59,"")</f>
        <v>15.408378378378378</v>
      </c>
      <c r="BA83" s="4">
        <f t="shared" si="151"/>
        <v>13.68898190045249</v>
      </c>
      <c r="BB83" s="4">
        <f t="shared" si="151"/>
        <v>14.570866574965613</v>
      </c>
      <c r="BC83" s="4">
        <f t="shared" si="151"/>
        <v>46.310675675675675</v>
      </c>
      <c r="BD83" s="4" t="str">
        <f t="shared" si="151"/>
        <v/>
      </c>
      <c r="BE83" s="4">
        <f t="shared" si="151"/>
        <v>14.369012908124525</v>
      </c>
      <c r="BF83" s="122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</row>
    <row r="84" spans="1:74" s="17" customFormat="1" x14ac:dyDescent="0.25">
      <c r="A84" s="1" t="s">
        <v>3</v>
      </c>
      <c r="B84" s="5">
        <f t="shared" ref="B84:Y84" si="162">IFERROR(B12/B60,"")</f>
        <v>14.570124475524475</v>
      </c>
      <c r="C84" s="5">
        <f t="shared" si="162"/>
        <v>15.106856427378961</v>
      </c>
      <c r="D84" s="5">
        <f t="shared" si="162"/>
        <v>18.984832167832167</v>
      </c>
      <c r="E84" s="5">
        <f t="shared" si="162"/>
        <v>20.729100869565215</v>
      </c>
      <c r="F84" s="5">
        <f t="shared" si="162"/>
        <v>15.981302665520207</v>
      </c>
      <c r="G84" s="5">
        <f t="shared" si="162"/>
        <v>19.72962933526011</v>
      </c>
      <c r="H84" s="5">
        <f t="shared" si="162"/>
        <v>19.324536068828589</v>
      </c>
      <c r="I84" s="5">
        <f t="shared" si="162"/>
        <v>15.618394052044609</v>
      </c>
      <c r="J84" s="5">
        <f t="shared" si="162"/>
        <v>18.91821751824817</v>
      </c>
      <c r="K84" s="5">
        <f t="shared" si="162"/>
        <v>16.348627301587296</v>
      </c>
      <c r="L84" s="5">
        <f t="shared" si="162"/>
        <v>16.17641294473885</v>
      </c>
      <c r="M84" s="5">
        <f t="shared" si="162"/>
        <v>19.216321699045107</v>
      </c>
      <c r="N84" s="5">
        <f t="shared" si="162"/>
        <v>15.713935128518969</v>
      </c>
      <c r="O84" s="5">
        <f t="shared" si="162"/>
        <v>16.858400244798005</v>
      </c>
      <c r="P84" s="5">
        <f t="shared" si="162"/>
        <v>17.49490583418628</v>
      </c>
      <c r="Q84" s="5">
        <f t="shared" si="162"/>
        <v>20.496380730897016</v>
      </c>
      <c r="R84" s="5">
        <f t="shared" si="162"/>
        <v>17.282750767341923</v>
      </c>
      <c r="S84" s="5">
        <f t="shared" si="162"/>
        <v>15.125832137733168</v>
      </c>
      <c r="T84" s="5">
        <f t="shared" si="162"/>
        <v>15.972995210218208</v>
      </c>
      <c r="U84" s="5">
        <f t="shared" si="162"/>
        <v>15.227447896749537</v>
      </c>
      <c r="V84" s="5">
        <f t="shared" si="162"/>
        <v>15.588554496345745</v>
      </c>
      <c r="W84" s="5">
        <f t="shared" si="162"/>
        <v>17.457839860748486</v>
      </c>
      <c r="X84" s="5">
        <f t="shared" si="162"/>
        <v>17.487049691569595</v>
      </c>
      <c r="Y84" s="5">
        <f t="shared" si="162"/>
        <v>18.870614148540138</v>
      </c>
      <c r="Z84" s="5">
        <f>IFERROR(Z12/Z60,"")</f>
        <v>16.856736851347797</v>
      </c>
      <c r="AA84" s="5">
        <f t="shared" ref="AA84:AI84" si="163">IFERROR(AA12/AA60,"")</f>
        <v>16.94443812709029</v>
      </c>
      <c r="AB84" s="5">
        <f t="shared" si="163"/>
        <v>17.084004390408662</v>
      </c>
      <c r="AC84" s="5">
        <f t="shared" si="163"/>
        <v>15.583908401236316</v>
      </c>
      <c r="AD84" s="5">
        <f t="shared" si="163"/>
        <v>18.164751526310727</v>
      </c>
      <c r="AE84" s="5">
        <f t="shared" si="163"/>
        <v>18.264038947228499</v>
      </c>
      <c r="AF84" s="5">
        <f t="shared" si="163"/>
        <v>16.617910583153346</v>
      </c>
      <c r="AG84" s="5">
        <f t="shared" si="163"/>
        <v>18.861381660806057</v>
      </c>
      <c r="AH84" s="5">
        <f t="shared" si="163"/>
        <v>18.285588754847044</v>
      </c>
      <c r="AI84" s="5">
        <f t="shared" si="163"/>
        <v>17.486509511993386</v>
      </c>
      <c r="AJ84" s="32">
        <f t="shared" si="153"/>
        <v>-7.7053169890127449E-2</v>
      </c>
      <c r="AK84" s="32">
        <f t="shared" si="148"/>
        <v>1.9649133523919948E-2</v>
      </c>
      <c r="AL84" s="32">
        <f t="shared" si="148"/>
        <v>-9.4233672928149437E-2</v>
      </c>
      <c r="AM84" s="31">
        <f t="shared" si="148"/>
        <v>-0.14774915863152516</v>
      </c>
      <c r="AN84" s="31">
        <f t="shared" si="148"/>
        <v>3.8786586531300626E-2</v>
      </c>
      <c r="AO84" s="5">
        <f t="shared" ref="AO84:AP84" si="164">IFERROR(AO12/AO60,"")</f>
        <v>15.998877028714109</v>
      </c>
      <c r="AP84" s="5">
        <f t="shared" si="164"/>
        <v>17.633878605251844</v>
      </c>
      <c r="AQ84" s="5">
        <f t="shared" si="149"/>
        <v>16.27700823162078</v>
      </c>
      <c r="AR84" s="5">
        <f t="shared" si="149"/>
        <v>16.33862156987875</v>
      </c>
      <c r="AS84" s="5">
        <f t="shared" si="149"/>
        <v>15.997113184828416</v>
      </c>
      <c r="AT84" s="5">
        <f t="shared" si="149"/>
        <v>16.784138030609302</v>
      </c>
      <c r="AU84" s="5">
        <f t="shared" ref="AU84" si="165">IFERROR(AU12/AU60,"")</f>
        <v>17.530902081727064</v>
      </c>
      <c r="BA84" s="5">
        <f t="shared" ref="BA84:BE84" si="166">IFERROR(BA12/BA60,"")</f>
        <v>16.64038681525242</v>
      </c>
      <c r="BB84" s="5">
        <f t="shared" si="166"/>
        <v>16.379788285109385</v>
      </c>
      <c r="BC84" s="5">
        <f t="shared" si="166"/>
        <v>17.530902081727064</v>
      </c>
      <c r="BD84" s="5" t="str">
        <f t="shared" si="166"/>
        <v/>
      </c>
      <c r="BE84" s="5">
        <f t="shared" si="166"/>
        <v>16.626615951104657</v>
      </c>
      <c r="BF84" s="123">
        <f t="shared" si="152"/>
        <v>1.0181330709249272</v>
      </c>
      <c r="BG84" s="118">
        <f t="shared" si="152"/>
        <v>1.0459995224453831</v>
      </c>
      <c r="BH84" s="118">
        <f t="shared" si="152"/>
        <v>0.93038558686119688</v>
      </c>
      <c r="BI84" s="118">
        <f t="shared" si="152"/>
        <v>0.79714666625260799</v>
      </c>
      <c r="BJ84" s="118">
        <f t="shared" si="152"/>
        <v>0.92561151868585112</v>
      </c>
      <c r="BK84" s="118">
        <f t="shared" si="152"/>
        <v>1.1096340272572043</v>
      </c>
      <c r="BL84" s="118">
        <f t="shared" si="152"/>
        <v>1.097533796949506</v>
      </c>
      <c r="BM84" s="118">
        <f t="shared" si="152"/>
        <v>0</v>
      </c>
      <c r="BN84" s="118">
        <f t="shared" si="152"/>
        <v>0</v>
      </c>
      <c r="BO84" s="118">
        <f t="shared" si="152"/>
        <v>0</v>
      </c>
      <c r="BP84" s="118">
        <f t="shared" si="152"/>
        <v>0</v>
      </c>
      <c r="BQ84" s="118">
        <f t="shared" si="152"/>
        <v>0</v>
      </c>
      <c r="BR84" s="118">
        <f>IFERROR(BA84/(SUM(N12:INDEX(N12:P12,IF($A$2&lt;3,$A$2,3)))/SUM(N60:INDEX(N60:P60,IF($A$2&lt;3,$A$2,3)))),0)</f>
        <v>0.98205598146380779</v>
      </c>
      <c r="BS84" s="118">
        <f>IFERROR(BB84/(SUM(Q12:INDEX(Q12:S12,IF($A$2&lt;7,$A$2-3,3)))/SUM(Q60:INDEX(Q60:S60,IF($A$2&lt;7,$A$2-3,3)))),0)</f>
        <v>0.95877921304593927</v>
      </c>
      <c r="BT84" s="118"/>
      <c r="BU84" s="118"/>
      <c r="BV84" s="118">
        <f t="shared" si="155"/>
        <v>0.98634843135581485</v>
      </c>
    </row>
    <row r="85" spans="1:74" x14ac:dyDescent="0.25">
      <c r="W85" s="33"/>
      <c r="BF85" s="124"/>
    </row>
    <row r="86" spans="1:74" x14ac:dyDescent="0.25"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BF86" s="124"/>
    </row>
    <row r="87" spans="1:74" x14ac:dyDescent="0.25">
      <c r="A87" s="2" t="s">
        <v>15</v>
      </c>
      <c r="B87" s="3">
        <f t="shared" ref="B87:Y87" si="167">B27</f>
        <v>42005</v>
      </c>
      <c r="C87" s="3">
        <f t="shared" si="167"/>
        <v>42036</v>
      </c>
      <c r="D87" s="3">
        <f t="shared" si="167"/>
        <v>42064</v>
      </c>
      <c r="E87" s="3">
        <f t="shared" si="167"/>
        <v>42095</v>
      </c>
      <c r="F87" s="3">
        <f t="shared" si="167"/>
        <v>42125</v>
      </c>
      <c r="G87" s="3">
        <f t="shared" si="167"/>
        <v>42156</v>
      </c>
      <c r="H87" s="3">
        <f t="shared" si="167"/>
        <v>42186</v>
      </c>
      <c r="I87" s="3">
        <f t="shared" si="167"/>
        <v>42217</v>
      </c>
      <c r="J87" s="3">
        <f t="shared" si="167"/>
        <v>42248</v>
      </c>
      <c r="K87" s="3">
        <f t="shared" si="167"/>
        <v>42278</v>
      </c>
      <c r="L87" s="3">
        <f t="shared" si="167"/>
        <v>42309</v>
      </c>
      <c r="M87" s="3">
        <f t="shared" si="167"/>
        <v>42339</v>
      </c>
      <c r="N87" s="3">
        <f t="shared" si="167"/>
        <v>42370</v>
      </c>
      <c r="O87" s="3">
        <f t="shared" si="167"/>
        <v>42401</v>
      </c>
      <c r="P87" s="3">
        <f t="shared" si="167"/>
        <v>42430</v>
      </c>
      <c r="Q87" s="3">
        <f t="shared" si="167"/>
        <v>42461</v>
      </c>
      <c r="R87" s="3">
        <f t="shared" si="167"/>
        <v>42491</v>
      </c>
      <c r="S87" s="3">
        <f t="shared" si="167"/>
        <v>42522</v>
      </c>
      <c r="T87" s="3">
        <f t="shared" si="167"/>
        <v>42552</v>
      </c>
      <c r="U87" s="3">
        <f t="shared" si="167"/>
        <v>42583</v>
      </c>
      <c r="V87" s="3">
        <f t="shared" si="167"/>
        <v>42614</v>
      </c>
      <c r="W87" s="3">
        <f t="shared" si="167"/>
        <v>42644</v>
      </c>
      <c r="X87" s="3">
        <f t="shared" si="167"/>
        <v>42675</v>
      </c>
      <c r="Y87" s="3">
        <f t="shared" si="167"/>
        <v>42705</v>
      </c>
      <c r="Z87" s="29" t="s">
        <v>18</v>
      </c>
      <c r="AA87" s="29" t="s">
        <v>19</v>
      </c>
      <c r="AB87" s="29" t="s">
        <v>20</v>
      </c>
      <c r="AC87" s="29" t="s">
        <v>21</v>
      </c>
      <c r="AD87" s="29" t="s">
        <v>22</v>
      </c>
      <c r="AE87" s="26" t="str">
        <f t="shared" ref="AE87:AI87" si="168">AE63</f>
        <v>YTD 7/15</v>
      </c>
      <c r="AF87" s="26" t="str">
        <f t="shared" si="168"/>
        <v>Q1 '15</v>
      </c>
      <c r="AG87" s="26" t="str">
        <f t="shared" si="168"/>
        <v>Q2 '15</v>
      </c>
      <c r="AH87" s="26" t="str">
        <f t="shared" si="168"/>
        <v>Q3 '15</v>
      </c>
      <c r="AI87" s="26" t="str">
        <f t="shared" si="168"/>
        <v>Q4 '15</v>
      </c>
      <c r="AJ87" s="30" t="s">
        <v>27</v>
      </c>
      <c r="AK87" s="30" t="s">
        <v>29</v>
      </c>
      <c r="AL87" s="30" t="s">
        <v>30</v>
      </c>
      <c r="AM87" s="30" t="s">
        <v>31</v>
      </c>
      <c r="AN87" s="30" t="s">
        <v>32</v>
      </c>
      <c r="AO87" s="108">
        <v>42736</v>
      </c>
      <c r="AP87" s="108">
        <v>42767</v>
      </c>
      <c r="AQ87" s="108">
        <v>42795</v>
      </c>
      <c r="AR87" s="108">
        <v>42826</v>
      </c>
      <c r="AS87" s="108">
        <v>42856</v>
      </c>
      <c r="AT87" s="108">
        <v>42887</v>
      </c>
      <c r="AU87" s="108">
        <v>42917</v>
      </c>
      <c r="AV87" s="108">
        <v>42948</v>
      </c>
      <c r="AW87" s="108">
        <v>42979</v>
      </c>
      <c r="AX87" s="108">
        <v>43009</v>
      </c>
      <c r="AY87" s="108">
        <v>43040</v>
      </c>
      <c r="AZ87" s="108">
        <v>43070</v>
      </c>
      <c r="BA87" s="29" t="s">
        <v>123</v>
      </c>
      <c r="BB87" s="29" t="s">
        <v>124</v>
      </c>
      <c r="BC87" s="29" t="s">
        <v>125</v>
      </c>
      <c r="BD87" s="29" t="s">
        <v>126</v>
      </c>
      <c r="BE87" s="29" t="str">
        <f>"YTD " &amp; A86 &amp;"/17"</f>
        <v>YTD /17</v>
      </c>
      <c r="BF87" s="121">
        <v>42736</v>
      </c>
      <c r="BG87" s="108">
        <v>42767</v>
      </c>
      <c r="BH87" s="108">
        <v>42795</v>
      </c>
      <c r="BI87" s="108">
        <v>42826</v>
      </c>
      <c r="BJ87" s="108">
        <v>42856</v>
      </c>
      <c r="BK87" s="108">
        <v>42887</v>
      </c>
      <c r="BL87" s="108">
        <v>42917</v>
      </c>
      <c r="BM87" s="108">
        <v>42948</v>
      </c>
      <c r="BN87" s="108">
        <v>42979</v>
      </c>
      <c r="BO87" s="108">
        <v>43009</v>
      </c>
      <c r="BP87" s="108">
        <v>43040</v>
      </c>
      <c r="BQ87" s="108">
        <v>43070</v>
      </c>
      <c r="BR87" s="29" t="s">
        <v>127</v>
      </c>
      <c r="BS87" s="29" t="s">
        <v>128</v>
      </c>
      <c r="BT87" s="29" t="s">
        <v>96</v>
      </c>
      <c r="BU87" s="29" t="s">
        <v>129</v>
      </c>
      <c r="BV87" s="112" t="s">
        <v>130</v>
      </c>
    </row>
    <row r="88" spans="1:74" x14ac:dyDescent="0.25">
      <c r="A88" t="s">
        <v>16</v>
      </c>
      <c r="B88" s="6">
        <f>'Agency North'!C90+'Agency South'!C90</f>
        <v>98</v>
      </c>
      <c r="C88" s="6">
        <f>'Agency North'!D90+'Agency South'!D90</f>
        <v>35</v>
      </c>
      <c r="D88" s="6">
        <f>'Agency North'!E90+'Agency South'!E90</f>
        <v>76</v>
      </c>
      <c r="E88" s="6">
        <f>'Agency North'!F90+'Agency South'!F90</f>
        <v>118</v>
      </c>
      <c r="F88" s="6">
        <f>'Agency North'!G90+'Agency South'!G90</f>
        <v>72</v>
      </c>
      <c r="G88" s="6">
        <f>'Agency North'!H90+'Agency South'!H90</f>
        <v>78</v>
      </c>
      <c r="H88" s="6">
        <f>'Agency North'!I90+'Agency South'!I90</f>
        <v>62</v>
      </c>
      <c r="I88" s="6">
        <f>'Agency North'!J90+'Agency South'!J90</f>
        <v>63</v>
      </c>
      <c r="J88" s="6">
        <f>'Agency North'!K90+'Agency South'!K90</f>
        <v>102</v>
      </c>
      <c r="K88" s="6">
        <f>'Agency North'!L90+'Agency South'!L90</f>
        <v>58</v>
      </c>
      <c r="L88" s="6">
        <f>'Agency North'!M90+'Agency South'!M90</f>
        <v>67</v>
      </c>
      <c r="M88" s="6">
        <f>'Agency North'!N90+'Agency South'!N90</f>
        <v>52</v>
      </c>
      <c r="N88" s="6">
        <f>'Agency North'!O90+'Agency South'!O90</f>
        <v>14</v>
      </c>
      <c r="O88" s="6">
        <f>'Agency North'!P90+'Agency South'!P90</f>
        <v>11</v>
      </c>
      <c r="P88" s="6">
        <f>'Agency North'!Q90+'Agency South'!Q90</f>
        <v>65</v>
      </c>
      <c r="Q88" s="6">
        <f>'Agency North'!R90+'Agency South'!R90</f>
        <v>74</v>
      </c>
      <c r="R88" s="6">
        <f>'Agency North'!S90+'Agency South'!S90</f>
        <v>131</v>
      </c>
      <c r="S88" s="6">
        <f>'Agency North'!T90+'Agency South'!T90</f>
        <v>180</v>
      </c>
      <c r="T88" s="6">
        <f>'Agency North'!U90+'Agency South'!U90</f>
        <v>103</v>
      </c>
      <c r="U88" s="6">
        <f>'Agency North'!V90+'Agency South'!V90</f>
        <v>112</v>
      </c>
      <c r="V88" s="6">
        <f>'Agency North'!W90+'Agency South'!W90</f>
        <v>192</v>
      </c>
      <c r="W88" s="6">
        <f>'Agency North'!X90+'Agency South'!X90</f>
        <v>176</v>
      </c>
      <c r="X88" s="6">
        <f>'Agency North'!Y90+'Agency South'!Y90</f>
        <v>219</v>
      </c>
      <c r="Y88" s="6">
        <f>'Agency North'!Z90+'Agency South'!Z90</f>
        <v>153</v>
      </c>
      <c r="Z88" s="22">
        <f>SUM(N88:INDEX(N88:Y88,$A$2))</f>
        <v>578</v>
      </c>
      <c r="AA88" s="22">
        <f>SUM(N88:P88)</f>
        <v>90</v>
      </c>
      <c r="AB88" s="22">
        <f>SUM(Q88:S88)</f>
        <v>385</v>
      </c>
      <c r="AC88" s="22">
        <f>SUM(T88:V88)</f>
        <v>407</v>
      </c>
      <c r="AD88" s="22">
        <f>SUM(W88:Y88)</f>
        <v>548</v>
      </c>
      <c r="AE88" s="22">
        <f>SUM(B88                                                                                : INDEX(B88:M88,$A$2))</f>
        <v>539</v>
      </c>
      <c r="AF88" s="22">
        <f t="shared" ref="AF88:AF90" si="169">SUM(B88:D88)</f>
        <v>209</v>
      </c>
      <c r="AG88" s="22">
        <f t="shared" ref="AG88:AG90" si="170">SUM(E88:G88)</f>
        <v>268</v>
      </c>
      <c r="AH88" s="22">
        <f t="shared" ref="AH88:AH90" si="171">SUM(H88:J88)</f>
        <v>227</v>
      </c>
      <c r="AI88" s="22">
        <f t="shared" ref="AI88:AI90" si="172">SUM(K88:M88)</f>
        <v>177</v>
      </c>
      <c r="AJ88" s="31">
        <f>Z88/AE88-1</f>
        <v>7.235621521335811E-2</v>
      </c>
      <c r="AK88" s="31">
        <f t="shared" ref="AK88:AM90" si="173">AA88/AF88-1</f>
        <v>-0.56937799043062198</v>
      </c>
      <c r="AL88" s="31">
        <f t="shared" si="173"/>
        <v>0.43656716417910446</v>
      </c>
      <c r="AM88" s="31">
        <f t="shared" si="173"/>
        <v>0.79295154185022021</v>
      </c>
      <c r="AN88" s="31">
        <f>AD88/SUM(K88:INDEX(K88:M88,MOD($A$2,3)))-1</f>
        <v>8.4482758620689662</v>
      </c>
      <c r="AO88" s="6">
        <f>'GEN Lion NORTH'!AP90+'GEN Lion SOUTH'!AP90</f>
        <v>78</v>
      </c>
      <c r="AP88" s="6">
        <f>'GEN Lion NORTH'!AQ90+'GEN Lion SOUTH'!AQ90</f>
        <v>132</v>
      </c>
      <c r="AQ88" s="6">
        <f>'GEN Lion NORTH'!AR90+'GEN Lion SOUTH'!AR90</f>
        <v>58</v>
      </c>
      <c r="AR88" s="6">
        <f>'GEN Lion NORTH'!AS90+'GEN Lion SOUTH'!AS90</f>
        <v>57</v>
      </c>
      <c r="AS88" s="6">
        <f>'GEN Lion NORTH'!AT90+'GEN Lion SOUTH'!AT90</f>
        <v>54</v>
      </c>
      <c r="AT88" s="6">
        <f>'GEN Lion NORTH'!AU90+'GEN Lion SOUTH'!AU90</f>
        <v>55</v>
      </c>
      <c r="AU88" s="6">
        <f>'GEN Lion NORTH'!AV90+'GEN Lion SOUTH'!AV90</f>
        <v>61</v>
      </c>
      <c r="BA88" s="110">
        <f>SUM(AO88:INDEX(AO88:AQ88,IF($A$2&lt;3,$A$2,3)))</f>
        <v>268</v>
      </c>
      <c r="BB88" s="110">
        <f>SUM(AR88:INDEX(AR88:AT88,IF(AND($A$2&gt;3,A87&lt;7),$A$2-3,0)))</f>
        <v>166</v>
      </c>
      <c r="BC88" s="110">
        <f>SUM(AU88:INDEX(AU88:AW88,IF(AND($A$2&gt;6,$A$2&lt;10),$A$2-6,0)))</f>
        <v>61</v>
      </c>
      <c r="BD88" s="110">
        <f>SUM(AX88:INDEX(AX88:AZ88,IF($A$2&gt;9,$A$2-9,0)))</f>
        <v>0</v>
      </c>
      <c r="BE88" s="110">
        <f>SUM($AO88:INDEX(AO88:AZ88,$A$2))</f>
        <v>495</v>
      </c>
      <c r="BF88" s="122">
        <f t="shared" ref="BF88:BQ90" si="174">AO88/N88</f>
        <v>5.5714285714285712</v>
      </c>
      <c r="BG88" s="111">
        <f t="shared" si="174"/>
        <v>12</v>
      </c>
      <c r="BH88" s="111">
        <f t="shared" si="174"/>
        <v>0.89230769230769236</v>
      </c>
      <c r="BI88" s="111">
        <f t="shared" si="174"/>
        <v>0.77027027027027029</v>
      </c>
      <c r="BJ88" s="111">
        <f t="shared" si="174"/>
        <v>0.41221374045801529</v>
      </c>
      <c r="BK88" s="111">
        <f t="shared" si="174"/>
        <v>0.30555555555555558</v>
      </c>
      <c r="BL88" s="111">
        <f t="shared" si="174"/>
        <v>0.59223300970873782</v>
      </c>
      <c r="BM88" s="111">
        <f t="shared" si="174"/>
        <v>0</v>
      </c>
      <c r="BN88" s="111">
        <f t="shared" si="174"/>
        <v>0</v>
      </c>
      <c r="BO88" s="111">
        <f t="shared" si="174"/>
        <v>0</v>
      </c>
      <c r="BP88" s="111">
        <f t="shared" si="174"/>
        <v>0</v>
      </c>
      <c r="BQ88" s="111">
        <f t="shared" si="174"/>
        <v>0</v>
      </c>
      <c r="BR88" s="111">
        <f>BA88/SUM(N88:INDEX(N88:P88,IF($A$2&lt;3,$A$2,3)))</f>
        <v>2.9777777777777779</v>
      </c>
      <c r="BS88" s="111">
        <f>BB88/SUM(Q88:INDEX(Q88:S88,$B$2))</f>
        <v>2.2432432432432434</v>
      </c>
      <c r="BT88" s="111">
        <f t="shared" ref="BT88:BU90" si="175">BC88/AC88</f>
        <v>0.14987714987714987</v>
      </c>
      <c r="BU88" s="111">
        <f t="shared" si="175"/>
        <v>0</v>
      </c>
      <c r="BV88" s="111">
        <f t="shared" ref="BV88:BV90" si="176">BE88/Z88</f>
        <v>0.856401384083045</v>
      </c>
    </row>
    <row r="89" spans="1:74" x14ac:dyDescent="0.25">
      <c r="A89" t="s">
        <v>17</v>
      </c>
      <c r="B89" s="6">
        <f>'Agency North'!C91+'Agency South'!C91</f>
        <v>350</v>
      </c>
      <c r="C89" s="6">
        <f>'Agency North'!D91+'Agency South'!D91</f>
        <v>184</v>
      </c>
      <c r="D89" s="6">
        <f>'Agency North'!E91+'Agency South'!E91</f>
        <v>386</v>
      </c>
      <c r="E89" s="6">
        <f>'Agency North'!F91+'Agency South'!F91</f>
        <v>477</v>
      </c>
      <c r="F89" s="6">
        <f>'Agency North'!G91+'Agency South'!G91</f>
        <v>404</v>
      </c>
      <c r="G89" s="6">
        <f>'Agency North'!H91+'Agency South'!H91</f>
        <v>429</v>
      </c>
      <c r="H89" s="6">
        <f>'Agency North'!I91+'Agency South'!I91</f>
        <v>446</v>
      </c>
      <c r="I89" s="6">
        <f>'Agency North'!J91+'Agency South'!J91</f>
        <v>429</v>
      </c>
      <c r="J89" s="6">
        <f>'Agency North'!K91+'Agency South'!K91</f>
        <v>473</v>
      </c>
      <c r="K89" s="6">
        <f>'Agency North'!L91+'Agency South'!L91</f>
        <v>406</v>
      </c>
      <c r="L89" s="6">
        <f>'Agency North'!M91+'Agency South'!M91</f>
        <v>742</v>
      </c>
      <c r="M89" s="6">
        <f>'Agency North'!N91+'Agency South'!N91</f>
        <v>558</v>
      </c>
      <c r="N89" s="6">
        <f>'Agency North'!O91+'Agency South'!O91</f>
        <v>192</v>
      </c>
      <c r="O89" s="6">
        <f>'Agency North'!P91+'Agency South'!P91</f>
        <v>187</v>
      </c>
      <c r="P89" s="6">
        <f>'Agency North'!Q91+'Agency South'!Q91</f>
        <v>620</v>
      </c>
      <c r="Q89" s="6">
        <f>'Agency North'!R91+'Agency South'!R91</f>
        <v>471</v>
      </c>
      <c r="R89" s="6">
        <f>'Agency North'!S91+'Agency South'!S91</f>
        <v>618</v>
      </c>
      <c r="S89" s="6">
        <f>'Agency North'!T91+'Agency South'!T91</f>
        <v>1120</v>
      </c>
      <c r="T89" s="6">
        <f>'Agency North'!U91+'Agency South'!U91</f>
        <v>826</v>
      </c>
      <c r="U89" s="6">
        <f>'Agency North'!V91+'Agency South'!V91</f>
        <v>949</v>
      </c>
      <c r="V89" s="6">
        <f>'Agency North'!W91+'Agency South'!W91</f>
        <v>1083</v>
      </c>
      <c r="W89" s="6">
        <f>'Agency North'!X91+'Agency South'!X91</f>
        <v>1014</v>
      </c>
      <c r="X89" s="6">
        <f>'Agency North'!Y91+'Agency South'!Y91</f>
        <v>1100</v>
      </c>
      <c r="Y89" s="6">
        <f>'Agency North'!Z91+'Agency South'!Z91</f>
        <v>1354</v>
      </c>
      <c r="Z89" s="22">
        <f>SUM(N89:INDEX(N89:Y89,$A$2))</f>
        <v>4034</v>
      </c>
      <c r="AA89" s="22">
        <f>SUM(N89:P89)</f>
        <v>999</v>
      </c>
      <c r="AB89" s="22">
        <f>SUM(Q89:S89)</f>
        <v>2209</v>
      </c>
      <c r="AC89" s="22">
        <f>SUM(T89:V89)</f>
        <v>2858</v>
      </c>
      <c r="AD89" s="22">
        <f>SUM(W89:Y89)</f>
        <v>3468</v>
      </c>
      <c r="AE89" s="22">
        <f>SUM(B89                                                                                : INDEX(B89:M89,$A$2))</f>
        <v>2676</v>
      </c>
      <c r="AF89" s="22">
        <f t="shared" si="169"/>
        <v>920</v>
      </c>
      <c r="AG89" s="22">
        <f t="shared" si="170"/>
        <v>1310</v>
      </c>
      <c r="AH89" s="22">
        <f t="shared" si="171"/>
        <v>1348</v>
      </c>
      <c r="AI89" s="22">
        <f t="shared" si="172"/>
        <v>1706</v>
      </c>
      <c r="AJ89" s="31">
        <f t="shared" ref="AJ89:AJ90" si="177">Z89/AE89-1</f>
        <v>0.50747384155455899</v>
      </c>
      <c r="AK89" s="31">
        <f t="shared" si="173"/>
        <v>8.5869565217391308E-2</v>
      </c>
      <c r="AL89" s="31">
        <f t="shared" si="173"/>
        <v>0.68625954198473282</v>
      </c>
      <c r="AM89" s="31">
        <f t="shared" si="173"/>
        <v>1.1201780415430269</v>
      </c>
      <c r="AN89" s="31">
        <f>AD89/SUM(K89:INDEX(K89:M89,MOD($A$2,3)))-1</f>
        <v>7.5418719211822651</v>
      </c>
      <c r="AO89" s="6">
        <f>'GEN Lion NORTH'!AP91+'GEN Lion SOUTH'!AP91</f>
        <v>431</v>
      </c>
      <c r="AP89" s="6">
        <f>'GEN Lion NORTH'!AQ91+'GEN Lion SOUTH'!AQ91</f>
        <v>920</v>
      </c>
      <c r="AQ89" s="6">
        <f>'GEN Lion NORTH'!AR91+'GEN Lion SOUTH'!AR91</f>
        <v>1151</v>
      </c>
      <c r="AR89" s="6">
        <f>'GEN Lion NORTH'!AS91+'GEN Lion SOUTH'!AS91</f>
        <v>905</v>
      </c>
      <c r="AS89" s="6">
        <f>'GEN Lion NORTH'!AT91+'GEN Lion SOUTH'!AT91</f>
        <v>899</v>
      </c>
      <c r="AT89" s="6">
        <f>'GEN Lion NORTH'!AU91+'GEN Lion SOUTH'!AU91</f>
        <v>1684</v>
      </c>
      <c r="AU89" s="6">
        <f>'GEN Lion NORTH'!AV91+'GEN Lion SOUTH'!AV91</f>
        <v>1103</v>
      </c>
      <c r="BA89" s="110">
        <f>SUM(AO89:INDEX(AO89:AQ89,IF($A$2&lt;3,$A$2,3)))</f>
        <v>2502</v>
      </c>
      <c r="BB89" s="110">
        <f>SUM(AR89:INDEX(AR89:AT89,IF(AND($A$2&gt;3,A87&lt;7),$A$2-3,0)))</f>
        <v>3488</v>
      </c>
      <c r="BC89" s="110">
        <f>SUM(AU89:INDEX(AU89:AW89,IF(AND($A$2&gt;6,$A$2&lt;10),$A$2-6,0)))</f>
        <v>1103</v>
      </c>
      <c r="BD89" s="110">
        <f>SUM(AX89:INDEX(AX89:AZ89,IF($A$2&gt;9,$A$2-9,0)))</f>
        <v>0</v>
      </c>
      <c r="BE89" s="110">
        <f>SUM($AO89:INDEX(AO89:AZ89,$A$2))</f>
        <v>7093</v>
      </c>
      <c r="BF89" s="122">
        <f t="shared" si="174"/>
        <v>2.2447916666666665</v>
      </c>
      <c r="BG89" s="111">
        <f t="shared" si="174"/>
        <v>4.9197860962566846</v>
      </c>
      <c r="BH89" s="111">
        <f t="shared" si="174"/>
        <v>1.8564516129032258</v>
      </c>
      <c r="BI89" s="111">
        <f t="shared" si="174"/>
        <v>1.921443736730361</v>
      </c>
      <c r="BJ89" s="111">
        <f t="shared" si="174"/>
        <v>1.4546925566343043</v>
      </c>
      <c r="BK89" s="111">
        <f t="shared" si="174"/>
        <v>1.5035714285714286</v>
      </c>
      <c r="BL89" s="111">
        <f t="shared" si="174"/>
        <v>1.3353510895883778</v>
      </c>
      <c r="BM89" s="111">
        <f t="shared" si="174"/>
        <v>0</v>
      </c>
      <c r="BN89" s="111">
        <f t="shared" si="174"/>
        <v>0</v>
      </c>
      <c r="BO89" s="111">
        <f t="shared" si="174"/>
        <v>0</v>
      </c>
      <c r="BP89" s="111">
        <f t="shared" si="174"/>
        <v>0</v>
      </c>
      <c r="BQ89" s="111">
        <f t="shared" si="174"/>
        <v>0</v>
      </c>
      <c r="BR89" s="111">
        <f>BA89/SUM(N89:INDEX(N89:P89,IF($A$2&lt;3,$A$2,3)))</f>
        <v>2.5045045045045047</v>
      </c>
      <c r="BS89" s="111">
        <f>BB89/SUM(Q89:INDEX(Q89:S89,$B$2))</f>
        <v>7.4055201698513802</v>
      </c>
      <c r="BT89" s="111">
        <f t="shared" si="175"/>
        <v>0.38593421973407976</v>
      </c>
      <c r="BU89" s="111">
        <f t="shared" si="175"/>
        <v>0</v>
      </c>
      <c r="BV89" s="111">
        <f t="shared" si="176"/>
        <v>1.7583044124938028</v>
      </c>
    </row>
    <row r="90" spans="1:74" x14ac:dyDescent="0.25">
      <c r="B90" s="7">
        <f>SUM(B88:B89)</f>
        <v>448</v>
      </c>
      <c r="C90" s="7">
        <f t="shared" ref="C90:Y90" si="178">SUM(C88:C89)</f>
        <v>219</v>
      </c>
      <c r="D90" s="7">
        <f t="shared" si="178"/>
        <v>462</v>
      </c>
      <c r="E90" s="7">
        <f t="shared" si="178"/>
        <v>595</v>
      </c>
      <c r="F90" s="7">
        <f t="shared" si="178"/>
        <v>476</v>
      </c>
      <c r="G90" s="7">
        <f t="shared" si="178"/>
        <v>507</v>
      </c>
      <c r="H90" s="7">
        <f t="shared" si="178"/>
        <v>508</v>
      </c>
      <c r="I90" s="7">
        <f t="shared" si="178"/>
        <v>492</v>
      </c>
      <c r="J90" s="7">
        <f t="shared" si="178"/>
        <v>575</v>
      </c>
      <c r="K90" s="7">
        <f t="shared" si="178"/>
        <v>464</v>
      </c>
      <c r="L90" s="7">
        <f t="shared" si="178"/>
        <v>809</v>
      </c>
      <c r="M90" s="7">
        <f t="shared" si="178"/>
        <v>610</v>
      </c>
      <c r="N90" s="7">
        <f t="shared" si="178"/>
        <v>206</v>
      </c>
      <c r="O90" s="7">
        <f t="shared" si="178"/>
        <v>198</v>
      </c>
      <c r="P90" s="7">
        <f t="shared" si="178"/>
        <v>685</v>
      </c>
      <c r="Q90" s="7">
        <f t="shared" si="178"/>
        <v>545</v>
      </c>
      <c r="R90" s="7">
        <f t="shared" si="178"/>
        <v>749</v>
      </c>
      <c r="S90" s="7">
        <f t="shared" si="178"/>
        <v>1300</v>
      </c>
      <c r="T90" s="7">
        <f t="shared" si="178"/>
        <v>929</v>
      </c>
      <c r="U90" s="7">
        <f t="shared" si="178"/>
        <v>1061</v>
      </c>
      <c r="V90" s="7">
        <f t="shared" si="178"/>
        <v>1275</v>
      </c>
      <c r="W90" s="7">
        <f t="shared" si="178"/>
        <v>1190</v>
      </c>
      <c r="X90" s="7">
        <f t="shared" si="178"/>
        <v>1319</v>
      </c>
      <c r="Y90" s="7">
        <f t="shared" si="178"/>
        <v>1507</v>
      </c>
      <c r="Z90" s="1">
        <f>SUM(N90:INDEX(N90:Y90,$A$2))</f>
        <v>4612</v>
      </c>
      <c r="AA90" s="7">
        <f t="shared" ref="AA90:AD90" si="179">SUM(AA88:AA89)</f>
        <v>1089</v>
      </c>
      <c r="AB90" s="7">
        <f t="shared" si="179"/>
        <v>2594</v>
      </c>
      <c r="AC90" s="7">
        <f t="shared" si="179"/>
        <v>3265</v>
      </c>
      <c r="AD90" s="7">
        <f t="shared" si="179"/>
        <v>4016</v>
      </c>
      <c r="AE90" s="7">
        <f>SUM(B90                                                                                : INDEX(B90:M90,$A$2))</f>
        <v>3215</v>
      </c>
      <c r="AF90" s="7">
        <f t="shared" si="169"/>
        <v>1129</v>
      </c>
      <c r="AG90" s="7">
        <f t="shared" si="170"/>
        <v>1578</v>
      </c>
      <c r="AH90" s="7">
        <f t="shared" si="171"/>
        <v>1575</v>
      </c>
      <c r="AI90" s="7">
        <f t="shared" si="172"/>
        <v>1883</v>
      </c>
      <c r="AJ90" s="32">
        <f t="shared" si="177"/>
        <v>0.43452566096423006</v>
      </c>
      <c r="AK90" s="32">
        <f t="shared" si="173"/>
        <v>-3.5429583702391465E-2</v>
      </c>
      <c r="AL90" s="32">
        <f t="shared" si="173"/>
        <v>0.64385297845373901</v>
      </c>
      <c r="AM90" s="32">
        <f t="shared" si="173"/>
        <v>1.0730158730158732</v>
      </c>
      <c r="AN90" s="32">
        <f>AD90/SUM(K90:INDEX(K90:M90,MOD($A$2,3)))-1</f>
        <v>7.6551724137931032</v>
      </c>
      <c r="AO90" s="7">
        <f t="shared" ref="AO90:AP90" si="180">SUM(AO88:AO89)</f>
        <v>509</v>
      </c>
      <c r="AP90" s="7">
        <f t="shared" si="180"/>
        <v>1052</v>
      </c>
      <c r="AQ90" s="7">
        <f t="shared" ref="AQ90:AT90" si="181">SUM(AQ88:AQ89)</f>
        <v>1209</v>
      </c>
      <c r="AR90" s="7">
        <f t="shared" si="181"/>
        <v>962</v>
      </c>
      <c r="AS90" s="7">
        <f t="shared" si="181"/>
        <v>953</v>
      </c>
      <c r="AT90" s="7">
        <f t="shared" si="181"/>
        <v>1739</v>
      </c>
      <c r="AU90" s="7">
        <f t="shared" ref="AU90" si="182">SUM(AU88:AU89)</f>
        <v>1164</v>
      </c>
      <c r="BA90" s="116">
        <f>SUM(AO90:INDEX(AO90:AQ90,IF($A$2&lt;3,$A$2,3)))</f>
        <v>2770</v>
      </c>
      <c r="BB90" s="116">
        <f>SUM(AR90:INDEX(AR90:AT90,IF(AND($A$2&gt;3,A88&lt;7),$A$2-3,0)))</f>
        <v>3654</v>
      </c>
      <c r="BC90" s="116">
        <f>SUM(AU90:INDEX(AU90:AW90,IF(AND($A$2&gt;6,$A$2&lt;10),$A$2-6,0)))</f>
        <v>1164</v>
      </c>
      <c r="BD90" s="116">
        <f>SUM(AX90:INDEX(AX90:AZ90,IF($A$2&gt;9,$A$2-9,0)))</f>
        <v>0</v>
      </c>
      <c r="BE90" s="116">
        <f>SUM($AO90:INDEX(AO90:AZ90,$A$2))</f>
        <v>7588</v>
      </c>
      <c r="BF90" s="123">
        <f t="shared" si="174"/>
        <v>2.470873786407767</v>
      </c>
      <c r="BG90" s="118">
        <f t="shared" si="174"/>
        <v>5.3131313131313131</v>
      </c>
      <c r="BH90" s="118">
        <f t="shared" si="174"/>
        <v>1.7649635036496349</v>
      </c>
      <c r="BI90" s="118">
        <f t="shared" si="174"/>
        <v>1.7651376146788991</v>
      </c>
      <c r="BJ90" s="118">
        <f t="shared" si="174"/>
        <v>1.2723631508678237</v>
      </c>
      <c r="BK90" s="118">
        <f t="shared" si="174"/>
        <v>1.3376923076923077</v>
      </c>
      <c r="BL90" s="118">
        <f t="shared" si="174"/>
        <v>1.2529601722282024</v>
      </c>
      <c r="BM90" s="118">
        <f t="shared" si="174"/>
        <v>0</v>
      </c>
      <c r="BN90" s="118">
        <f t="shared" si="174"/>
        <v>0</v>
      </c>
      <c r="BO90" s="118">
        <f t="shared" si="174"/>
        <v>0</v>
      </c>
      <c r="BP90" s="118">
        <f t="shared" si="174"/>
        <v>0</v>
      </c>
      <c r="BQ90" s="118">
        <f t="shared" si="174"/>
        <v>0</v>
      </c>
      <c r="BR90" s="118">
        <f>BA90/SUM(N90:INDEX(N90:P90,IF($A$2&lt;3,$A$2,3)))</f>
        <v>2.5436179981634526</v>
      </c>
      <c r="BS90" s="118">
        <f>BB90/SUM(Q90:INDEX(Q90:S90,$B$2))</f>
        <v>6.7045871559633028</v>
      </c>
      <c r="BT90" s="118">
        <f t="shared" si="175"/>
        <v>0.35650842266462479</v>
      </c>
      <c r="BU90" s="118">
        <f t="shared" si="175"/>
        <v>0</v>
      </c>
      <c r="BV90" s="118">
        <f t="shared" si="176"/>
        <v>1.645273200346921</v>
      </c>
    </row>
    <row r="91" spans="1:74" x14ac:dyDescent="0.25">
      <c r="BF91" s="124"/>
    </row>
    <row r="92" spans="1:74" x14ac:dyDescent="0.25">
      <c r="BF92" s="124"/>
    </row>
    <row r="93" spans="1:74" x14ac:dyDescent="0.25">
      <c r="BF93" s="124"/>
    </row>
    <row r="94" spans="1:74" s="17" customFormat="1" x14ac:dyDescent="0.25">
      <c r="A94" s="2" t="s">
        <v>33</v>
      </c>
      <c r="B94" s="3">
        <v>42005</v>
      </c>
      <c r="C94" s="3">
        <v>42036</v>
      </c>
      <c r="D94" s="3">
        <v>42064</v>
      </c>
      <c r="E94" s="3">
        <v>42095</v>
      </c>
      <c r="F94" s="3">
        <v>42125</v>
      </c>
      <c r="G94" s="3">
        <v>42156</v>
      </c>
      <c r="H94" s="3">
        <v>42186</v>
      </c>
      <c r="I94" s="3">
        <v>42217</v>
      </c>
      <c r="J94" s="3">
        <v>42248</v>
      </c>
      <c r="K94" s="3">
        <v>42278</v>
      </c>
      <c r="L94" s="3">
        <v>42309</v>
      </c>
      <c r="M94" s="3">
        <v>42339</v>
      </c>
      <c r="N94" s="3">
        <v>42370</v>
      </c>
      <c r="O94" s="3">
        <v>42401</v>
      </c>
      <c r="P94" s="3">
        <v>42430</v>
      </c>
      <c r="Q94" s="3">
        <v>42461</v>
      </c>
      <c r="R94" s="3">
        <v>42491</v>
      </c>
      <c r="S94" s="3">
        <v>42522</v>
      </c>
      <c r="T94" s="3">
        <v>42552</v>
      </c>
      <c r="U94" s="3">
        <v>42583</v>
      </c>
      <c r="V94" s="3">
        <v>42614</v>
      </c>
      <c r="W94" s="3">
        <v>42644</v>
      </c>
      <c r="X94" s="3">
        <v>42675</v>
      </c>
      <c r="Y94" s="3">
        <v>42705</v>
      </c>
      <c r="Z94" s="29" t="str">
        <f>"YTD " &amp; A93 &amp;"/16"</f>
        <v>YTD /16</v>
      </c>
      <c r="AA94" s="29" t="s">
        <v>19</v>
      </c>
      <c r="AB94" s="29" t="s">
        <v>20</v>
      </c>
      <c r="AC94" s="29" t="s">
        <v>21</v>
      </c>
      <c r="AD94" s="29" t="s">
        <v>22</v>
      </c>
      <c r="AE94" s="26" t="str">
        <f>"YTD " &amp; A93 &amp;"/15"</f>
        <v>YTD /15</v>
      </c>
      <c r="AF94" s="26" t="s">
        <v>23</v>
      </c>
      <c r="AG94" s="26" t="s">
        <v>24</v>
      </c>
      <c r="AH94" s="26" t="s">
        <v>25</v>
      </c>
      <c r="AI94" s="26" t="s">
        <v>26</v>
      </c>
      <c r="AJ94" s="30" t="s">
        <v>27</v>
      </c>
      <c r="AK94" s="30" t="s">
        <v>29</v>
      </c>
      <c r="AL94" s="30" t="s">
        <v>30</v>
      </c>
      <c r="AM94" s="30" t="s">
        <v>31</v>
      </c>
      <c r="AN94" s="30" t="s">
        <v>32</v>
      </c>
      <c r="AO94" s="108">
        <v>42736</v>
      </c>
      <c r="AP94" s="108">
        <v>42767</v>
      </c>
      <c r="AQ94" s="108">
        <v>42795</v>
      </c>
      <c r="AR94" s="108">
        <v>42826</v>
      </c>
      <c r="AS94" s="108">
        <v>42856</v>
      </c>
      <c r="AT94" s="108">
        <v>42887</v>
      </c>
      <c r="AU94" s="108">
        <v>42917</v>
      </c>
      <c r="AV94" s="108">
        <v>42948</v>
      </c>
      <c r="AW94" s="108">
        <v>42979</v>
      </c>
      <c r="AX94" s="108">
        <v>43009</v>
      </c>
      <c r="AY94" s="108">
        <v>43040</v>
      </c>
      <c r="AZ94" s="108">
        <v>43070</v>
      </c>
      <c r="BA94" s="29" t="s">
        <v>123</v>
      </c>
      <c r="BB94" s="29" t="s">
        <v>124</v>
      </c>
      <c r="BC94" s="29" t="s">
        <v>125</v>
      </c>
      <c r="BD94" s="29" t="s">
        <v>126</v>
      </c>
      <c r="BE94" s="29" t="str">
        <f>"YTD " &amp; A93 &amp;"/17"</f>
        <v>YTD /17</v>
      </c>
      <c r="BF94" s="121">
        <v>42736</v>
      </c>
      <c r="BG94" s="108">
        <v>42767</v>
      </c>
      <c r="BH94" s="108">
        <v>42795</v>
      </c>
      <c r="BI94" s="108">
        <v>42826</v>
      </c>
      <c r="BJ94" s="108">
        <v>42856</v>
      </c>
      <c r="BK94" s="108">
        <v>42887</v>
      </c>
      <c r="BL94" s="108">
        <v>42917</v>
      </c>
      <c r="BM94" s="108">
        <v>42948</v>
      </c>
      <c r="BN94" s="108">
        <v>42979</v>
      </c>
      <c r="BO94" s="108">
        <v>43009</v>
      </c>
      <c r="BP94" s="108">
        <v>43040</v>
      </c>
      <c r="BQ94" s="108">
        <v>43070</v>
      </c>
      <c r="BR94" s="29" t="s">
        <v>127</v>
      </c>
      <c r="BS94" s="29" t="s">
        <v>128</v>
      </c>
      <c r="BT94" s="29" t="s">
        <v>96</v>
      </c>
      <c r="BU94" s="29" t="s">
        <v>129</v>
      </c>
      <c r="BV94" s="112" t="s">
        <v>130</v>
      </c>
    </row>
    <row r="95" spans="1:74" x14ac:dyDescent="0.25">
      <c r="A95" t="s">
        <v>157</v>
      </c>
      <c r="B95" s="6">
        <f>'Agency North'!C97+'Agency South'!C97</f>
        <v>2113.634</v>
      </c>
      <c r="C95" s="6">
        <f>'Agency North'!D97+'Agency South'!D97</f>
        <v>1517.068</v>
      </c>
      <c r="D95" s="6">
        <f>'Agency North'!E97+'Agency South'!E97</f>
        <v>4977.817</v>
      </c>
      <c r="E95" s="6">
        <f>'Agency North'!F97+'Agency South'!F97</f>
        <v>5185.8765000000003</v>
      </c>
      <c r="F95" s="6">
        <f>'Agency North'!G97+'Agency South'!G97</f>
        <v>3419.9209999999998</v>
      </c>
      <c r="G95" s="6">
        <f>'Agency North'!H97+'Agency South'!H97</f>
        <v>4749.3064999999997</v>
      </c>
      <c r="H95" s="6">
        <f>'Agency North'!I97+'Agency South'!I97</f>
        <v>7399.5469999999996</v>
      </c>
      <c r="I95" s="6">
        <f>'Agency North'!J97+'Agency South'!J97</f>
        <v>2452.8310000000001</v>
      </c>
      <c r="J95" s="6">
        <f>'Agency North'!K97+'Agency South'!K97</f>
        <v>6767.6095000000005</v>
      </c>
      <c r="K95" s="6">
        <f>'Agency North'!L97+'Agency South'!L97</f>
        <v>4791.4854999999898</v>
      </c>
      <c r="L95" s="6">
        <f>'Agency North'!M97+'Agency South'!M97</f>
        <v>4597.14299999999</v>
      </c>
      <c r="M95" s="6">
        <f>'Agency North'!N97+'Agency South'!N97</f>
        <v>9871.6519999999891</v>
      </c>
      <c r="N95" s="6">
        <f>'Agency North'!O97+'Agency South'!O97</f>
        <v>2409.0369999999998</v>
      </c>
      <c r="O95" s="6">
        <f>'Agency North'!P97+'Agency South'!P97</f>
        <v>2030.2519999999699</v>
      </c>
      <c r="P95" s="6">
        <f>'Agency North'!Q97+'Agency South'!Q97</f>
        <v>4284.3209999999899</v>
      </c>
      <c r="Q95" s="6">
        <f>'Agency North'!R97+'Agency South'!R97</f>
        <v>6232.1170000000002</v>
      </c>
      <c r="R95" s="6">
        <f>'Agency North'!S97+'Agency South'!S97</f>
        <v>3764.7039999999997</v>
      </c>
      <c r="S95" s="6">
        <f>'Agency North'!T97+'Agency South'!T97</f>
        <v>4062.6605</v>
      </c>
      <c r="T95" s="6">
        <f>'Agency North'!U97+'Agency South'!U97</f>
        <v>3366.509</v>
      </c>
      <c r="U95" s="6">
        <f>'Agency North'!V97+'Agency South'!V97</f>
        <v>2745.7595000000001</v>
      </c>
      <c r="V95" s="6">
        <f>'Agency North'!W97+'Agency South'!W97</f>
        <v>3891.1359999999995</v>
      </c>
      <c r="W95" s="6">
        <f>'Agency North'!X97+'Agency South'!X97</f>
        <v>2956.529</v>
      </c>
      <c r="X95" s="6">
        <f>'Agency North'!Y97+'Agency South'!Y97</f>
        <v>3660.9405000000002</v>
      </c>
      <c r="Y95" s="6">
        <f>'Agency North'!Z97+'Agency South'!Z97</f>
        <v>7064.0375000000004</v>
      </c>
      <c r="Z95" s="22">
        <f>SUM(N95:INDEX(N95:Y95,$A$2))</f>
        <v>26149.600499999957</v>
      </c>
      <c r="AA95" s="22">
        <f>SUM(N95:P95)</f>
        <v>8723.6099999999606</v>
      </c>
      <c r="AB95" s="22">
        <f>SUM(Q95:S95)</f>
        <v>14059.4815</v>
      </c>
      <c r="AC95" s="22">
        <f>SUM(T95:V95)</f>
        <v>10003.404500000001</v>
      </c>
      <c r="AD95" s="22">
        <f>SUM(W95:Y95)</f>
        <v>13681.507000000001</v>
      </c>
      <c r="AE95" s="25">
        <f>SUM(B95                                                                                : INDEX(B95:M95,$A$2))</f>
        <v>29363.17</v>
      </c>
      <c r="AF95" s="22">
        <f>SUM(B95:D95)</f>
        <v>8608.5190000000002</v>
      </c>
      <c r="AG95" s="22">
        <f>SUM(E95:G95)</f>
        <v>13355.103999999999</v>
      </c>
      <c r="AH95" s="22">
        <f>SUM(H95:J95)</f>
        <v>16619.987500000003</v>
      </c>
      <c r="AI95" s="22">
        <f>SUM(K95:M95)</f>
        <v>19260.280499999972</v>
      </c>
      <c r="AJ95" s="31">
        <f>Z95/AE95-1</f>
        <v>-0.10944218556784036</v>
      </c>
      <c r="AK95" s="31">
        <f t="shared" ref="AK95:AN103" si="183">AA95/AF95-1</f>
        <v>1.3369430909075053E-2</v>
      </c>
      <c r="AL95" s="31">
        <f t="shared" si="183"/>
        <v>5.2742195043932405E-2</v>
      </c>
      <c r="AM95" s="31">
        <f t="shared" si="183"/>
        <v>-0.39810998654481544</v>
      </c>
      <c r="AN95" s="31">
        <f t="shared" si="183"/>
        <v>-0.28965172651561222</v>
      </c>
      <c r="AO95" s="166">
        <f>'GEN Lion NORTH'!AP97+'GEN Lion SOUTH'!AP97</f>
        <v>5732.826</v>
      </c>
      <c r="AP95" s="166">
        <f>'GEN Lion NORTH'!AQ97+'GEN Lion SOUTH'!AQ97</f>
        <v>9062.9023000000107</v>
      </c>
      <c r="AQ95" s="166">
        <f>'GEN Lion NORTH'!AR97+'GEN Lion SOUTH'!AR97</f>
        <v>10294.790000000001</v>
      </c>
      <c r="AR95" s="165">
        <f>'GEN Lion NORTH'!AS97+'GEN Lion SOUTH'!AS97</f>
        <v>15840.99</v>
      </c>
      <c r="AS95" s="165">
        <f>'GEN Lion NORTH'!AT97+'GEN Lion SOUTH'!AT97</f>
        <v>15047.619999999999</v>
      </c>
      <c r="AT95" s="165">
        <f>'GEN Lion NORTH'!AU97+'GEN Lion SOUTH'!AU97</f>
        <v>17333.95</v>
      </c>
      <c r="AU95" s="165">
        <f>'GEN Lion NORTH'!AV97+'GEN Lion SOUTH'!AV97</f>
        <v>11295.93</v>
      </c>
      <c r="AV95" s="113">
        <f>'GEN Lion NORTH'!AW97+'GEN Lion SOUTH'!AW97</f>
        <v>0</v>
      </c>
      <c r="AW95" s="113">
        <f>'GEN Lion NORTH'!AX97+'GEN Lion SOUTH'!AX97</f>
        <v>0</v>
      </c>
      <c r="AX95" s="113">
        <f>'GEN Lion NORTH'!AY97+'GEN Lion SOUTH'!AY97</f>
        <v>0</v>
      </c>
      <c r="AY95" s="113">
        <f>'GEN Lion NORTH'!AZ97+'GEN Lion SOUTH'!AZ97</f>
        <v>0</v>
      </c>
      <c r="AZ95" s="113">
        <f>'GEN Lion NORTH'!BA97+'GEN Lion SOUTH'!BA97</f>
        <v>0</v>
      </c>
      <c r="BA95" s="110">
        <f>SUM(AO95:INDEX(AO95:AQ95,IF($A$2&lt;3,$A$2,3)))</f>
        <v>25090.518300000011</v>
      </c>
      <c r="BB95" s="110">
        <f>SUM(AR95:INDEX(AR95:AT95,IF(AND($A$2&gt;3,$A$2&lt;7),$A$2-3,0)))</f>
        <v>48222.559999999998</v>
      </c>
      <c r="BC95" s="110">
        <f>SUM(AU95:INDEX(AU95:AW95,IF(AND($A$2&gt;6,$A$2&lt;10),$A$2-6,0)))</f>
        <v>11295.93</v>
      </c>
      <c r="BD95" s="110">
        <f>SUM(AX95:INDEX(AX95:AZ95,IF($A$2&gt;9,$A$2-9,0)))</f>
        <v>0</v>
      </c>
      <c r="BE95" s="110">
        <f>SUM($AO95:INDEX(AO95:AZ95,$A$2))</f>
        <v>84609.008300000016</v>
      </c>
      <c r="BF95" s="125">
        <f>AO95/N95</f>
        <v>2.3797168744191146</v>
      </c>
      <c r="BG95" s="111">
        <f t="shared" ref="BG95:BQ103" si="184">AP95/O95</f>
        <v>4.4639297486224097</v>
      </c>
      <c r="BH95" s="111">
        <f t="shared" si="184"/>
        <v>2.4028988490825092</v>
      </c>
      <c r="BI95" s="111">
        <f t="shared" si="184"/>
        <v>2.5418312910364165</v>
      </c>
      <c r="BJ95" s="111">
        <f t="shared" si="184"/>
        <v>3.9970260610130306</v>
      </c>
      <c r="BK95" s="111">
        <f t="shared" si="184"/>
        <v>4.2666498960471841</v>
      </c>
      <c r="BL95" s="111">
        <f t="shared" si="184"/>
        <v>3.3553838709476196</v>
      </c>
      <c r="BM95" s="111">
        <f t="shared" si="184"/>
        <v>0</v>
      </c>
      <c r="BN95" s="111">
        <f t="shared" si="184"/>
        <v>0</v>
      </c>
      <c r="BO95" s="111">
        <f t="shared" si="184"/>
        <v>0</v>
      </c>
      <c r="BP95" s="111">
        <f t="shared" si="184"/>
        <v>0</v>
      </c>
      <c r="BQ95" s="111">
        <f t="shared" si="184"/>
        <v>0</v>
      </c>
      <c r="BR95" s="111">
        <f>BA95/SUM(N95:INDEX(N95:P95,IF($A$2&lt;3,$A$2,3)))</f>
        <v>2.876162311245015</v>
      </c>
      <c r="BS95" s="111">
        <f>BB95/SUM(Q95:INDEX(Q95:S95,$B$2))</f>
        <v>7.7377494677972178</v>
      </c>
      <c r="BT95" s="111">
        <f t="shared" ref="BT95:BU103" si="185">BC95/AC95</f>
        <v>1.1292085609454261</v>
      </c>
      <c r="BU95" s="111">
        <f t="shared" si="185"/>
        <v>0</v>
      </c>
      <c r="BV95" s="111">
        <f>BE95/Z95</f>
        <v>3.2355755607050347</v>
      </c>
    </row>
    <row r="96" spans="1:74" x14ac:dyDescent="0.25">
      <c r="A96" t="s">
        <v>5</v>
      </c>
      <c r="B96" s="6">
        <f>'Agency North'!C98+'Agency South'!C98</f>
        <v>2041.5569999999998</v>
      </c>
      <c r="C96" s="6">
        <f>'Agency North'!D98+'Agency South'!D98</f>
        <v>1104.5840000000001</v>
      </c>
      <c r="D96" s="6">
        <f>'Agency North'!E98+'Agency South'!E98</f>
        <v>2822.6554999999998</v>
      </c>
      <c r="E96" s="6">
        <f>'Agency North'!F98+'Agency South'!F98</f>
        <v>4653.9250000000002</v>
      </c>
      <c r="F96" s="6">
        <f>'Agency North'!G98+'Agency South'!G98</f>
        <v>3042.0965000000001</v>
      </c>
      <c r="G96" s="6">
        <f>'Agency North'!H98+'Agency South'!H98</f>
        <v>3505.0320000000002</v>
      </c>
      <c r="H96" s="6">
        <f>'Agency North'!I98+'Agency South'!I98</f>
        <v>4443.067</v>
      </c>
      <c r="I96" s="6">
        <f>'Agency North'!J98+'Agency South'!J98</f>
        <v>2814.297</v>
      </c>
      <c r="J96" s="6">
        <f>'Agency North'!K98+'Agency South'!K98</f>
        <v>6173.4279999999999</v>
      </c>
      <c r="K96" s="6">
        <f>'Agency North'!L98+'Agency South'!L98</f>
        <v>3763.5709999999999</v>
      </c>
      <c r="L96" s="6">
        <f>'Agency North'!M98+'Agency South'!M98</f>
        <v>8759.0810000000292</v>
      </c>
      <c r="M96" s="6">
        <f>'Agency North'!N98+'Agency South'!N98</f>
        <v>8076.0369999999903</v>
      </c>
      <c r="N96" s="6">
        <f>'Agency North'!O98+'Agency South'!O98</f>
        <v>1339.41</v>
      </c>
      <c r="O96" s="6">
        <f>'Agency North'!P98+'Agency South'!P98</f>
        <v>1090.5070000000001</v>
      </c>
      <c r="P96" s="6">
        <f>'Agency North'!Q98+'Agency South'!Q98</f>
        <v>8540.9510000000009</v>
      </c>
      <c r="Q96" s="6">
        <f>'Agency North'!R98+'Agency South'!R98</f>
        <v>7245.0709999999999</v>
      </c>
      <c r="R96" s="6">
        <f>'Agency North'!S98+'Agency South'!S98</f>
        <v>5970.442</v>
      </c>
      <c r="S96" s="6">
        <f>'Agency North'!T98+'Agency South'!T98</f>
        <v>12399.223000000071</v>
      </c>
      <c r="T96" s="6">
        <f>'Agency North'!U98+'Agency South'!U98</f>
        <v>6351.8460000000105</v>
      </c>
      <c r="U96" s="6">
        <f>'Agency North'!V98+'Agency South'!V98</f>
        <v>7634.55800000001</v>
      </c>
      <c r="V96" s="6">
        <f>'Agency North'!W98+'Agency South'!W98</f>
        <v>13540.13250000006</v>
      </c>
      <c r="W96" s="6">
        <f>'Agency North'!X98+'Agency South'!X98</f>
        <v>8367.8040000000201</v>
      </c>
      <c r="X96" s="6">
        <f>'Agency North'!Y98+'Agency South'!Y98</f>
        <v>11071.21900000005</v>
      </c>
      <c r="Y96" s="6">
        <f>'Agency North'!Z98+'Agency South'!Z98</f>
        <v>20044.459000000112</v>
      </c>
      <c r="Z96" s="22">
        <f>SUM(N96:INDEX(N96:Y96,$A$2))</f>
        <v>42937.450000000084</v>
      </c>
      <c r="AA96" s="22">
        <f t="shared" ref="AA96:AA101" si="186">SUM(N96:P96)</f>
        <v>10970.868000000002</v>
      </c>
      <c r="AB96" s="22">
        <f t="shared" ref="AB96:AB101" si="187">SUM(Q96:S96)</f>
        <v>25614.73600000007</v>
      </c>
      <c r="AC96" s="22">
        <f t="shared" ref="AC96:AC101" si="188">SUM(T96:V96)</f>
        <v>27526.536500000082</v>
      </c>
      <c r="AD96" s="22">
        <f t="shared" ref="AD96:AD101" si="189">SUM(W96:Y96)</f>
        <v>39483.482000000178</v>
      </c>
      <c r="AE96" s="22">
        <f>SUM(B96                                                                                : INDEX(B96:M96,$A$2))</f>
        <v>21612.916999999998</v>
      </c>
      <c r="AF96" s="22">
        <f t="shared" ref="AF96:AF101" si="190">SUM(B96:D96)</f>
        <v>5968.7964999999995</v>
      </c>
      <c r="AG96" s="22">
        <f t="shared" ref="AG96:AG101" si="191">SUM(E96:G96)</f>
        <v>11201.053500000002</v>
      </c>
      <c r="AH96" s="22">
        <f t="shared" ref="AH96:AH101" si="192">SUM(H96:J96)</f>
        <v>13430.791999999999</v>
      </c>
      <c r="AI96" s="22">
        <f t="shared" ref="AI96:AI101" si="193">SUM(K96:M96)</f>
        <v>20598.68900000002</v>
      </c>
      <c r="AJ96" s="31">
        <f t="shared" ref="AJ96:AJ103" si="194">Z96/AE96-1</f>
        <v>0.98665686820525389</v>
      </c>
      <c r="AK96" s="31">
        <f t="shared" si="183"/>
        <v>0.83803686388034904</v>
      </c>
      <c r="AL96" s="31">
        <f t="shared" si="183"/>
        <v>1.2868148964738064</v>
      </c>
      <c r="AM96" s="31">
        <f t="shared" si="183"/>
        <v>1.0495095523778555</v>
      </c>
      <c r="AN96" s="31">
        <f t="shared" si="183"/>
        <v>0.9167958698730847</v>
      </c>
      <c r="AO96" s="166">
        <f>'GEN Lion NORTH'!AP98+'GEN Lion SOUTH'!AP98</f>
        <v>3966.2190000000001</v>
      </c>
      <c r="AP96" s="166">
        <f>'GEN Lion NORTH'!AQ98+'GEN Lion SOUTH'!AQ98</f>
        <v>5758.15200000001</v>
      </c>
      <c r="AQ96" s="166">
        <f>'GEN Lion NORTH'!AR98+'GEN Lion SOUTH'!AR98</f>
        <v>13878.74</v>
      </c>
      <c r="AR96" s="165">
        <f>'GEN Lion NORTH'!AS98+'GEN Lion SOUTH'!AS98</f>
        <v>10260.61</v>
      </c>
      <c r="AS96" s="165">
        <f>'GEN Lion NORTH'!AT98+'GEN Lion SOUTH'!AT98</f>
        <v>9566.08</v>
      </c>
      <c r="AT96" s="165">
        <f>'GEN Lion NORTH'!AU98+'GEN Lion SOUTH'!AU98</f>
        <v>18931.7</v>
      </c>
      <c r="AU96" s="165">
        <f>'GEN Lion NORTH'!AV98+'GEN Lion SOUTH'!AV98</f>
        <v>10972.85</v>
      </c>
      <c r="AV96" s="113">
        <f>'GEN Lion NORTH'!AW98+'GEN Lion SOUTH'!AW98</f>
        <v>0</v>
      </c>
      <c r="AW96" s="113">
        <f>'GEN Lion NORTH'!AX98+'GEN Lion SOUTH'!AX98</f>
        <v>0</v>
      </c>
      <c r="AX96" s="113">
        <f>'GEN Lion NORTH'!AY98+'GEN Lion SOUTH'!AY98</f>
        <v>0</v>
      </c>
      <c r="AY96" s="113">
        <f>'GEN Lion NORTH'!AZ98+'GEN Lion SOUTH'!AZ98</f>
        <v>0</v>
      </c>
      <c r="AZ96" s="113">
        <f>'GEN Lion NORTH'!BA98+'GEN Lion SOUTH'!BA98</f>
        <v>0</v>
      </c>
      <c r="BA96" s="110">
        <f>SUM(AO96:INDEX(AO96:AQ96,IF($A$2&lt;3,$A$2,3)))</f>
        <v>23603.111000000012</v>
      </c>
      <c r="BB96" s="110">
        <f>SUM(AR96:INDEX(AR96:AT96,IF(AND($A$2&gt;3,$A$2&lt;7),$A$2-3,0)))</f>
        <v>38758.39</v>
      </c>
      <c r="BC96" s="110">
        <f>SUM(AU96:INDEX(AU96:AW96,IF(AND($A$2&gt;6,$A$2&lt;10),$A$2-6,0)))</f>
        <v>10972.85</v>
      </c>
      <c r="BD96" s="110">
        <f>SUM(AX96:INDEX(AX96:AZ96,IF($A$2&gt;9,$A$2-9,0)))</f>
        <v>0</v>
      </c>
      <c r="BE96" s="110">
        <f>SUM($AO96:INDEX(AO96:AZ96,$A$2))</f>
        <v>73334.351000000024</v>
      </c>
      <c r="BF96" s="125">
        <f t="shared" ref="BF96:BF103" si="195">AO96/N96</f>
        <v>2.9611687235424551</v>
      </c>
      <c r="BG96" s="111">
        <f t="shared" si="184"/>
        <v>5.2802522129615026</v>
      </c>
      <c r="BH96" s="111">
        <f t="shared" si="184"/>
        <v>1.6249642457848077</v>
      </c>
      <c r="BI96" s="111">
        <f t="shared" si="184"/>
        <v>1.4162193855657179</v>
      </c>
      <c r="BJ96" s="111">
        <f t="shared" si="184"/>
        <v>1.6022398341697315</v>
      </c>
      <c r="BK96" s="111">
        <f t="shared" si="184"/>
        <v>1.5268456741200551</v>
      </c>
      <c r="BL96" s="111">
        <f t="shared" si="184"/>
        <v>1.7275056731539118</v>
      </c>
      <c r="BM96" s="111">
        <f t="shared" si="184"/>
        <v>0</v>
      </c>
      <c r="BN96" s="111">
        <f t="shared" si="184"/>
        <v>0</v>
      </c>
      <c r="BO96" s="111">
        <f t="shared" si="184"/>
        <v>0</v>
      </c>
      <c r="BP96" s="111">
        <f t="shared" si="184"/>
        <v>0</v>
      </c>
      <c r="BQ96" s="111">
        <f t="shared" si="184"/>
        <v>0</v>
      </c>
      <c r="BR96" s="111">
        <f>BA96/SUM(N96:INDEX(N96:P96,IF($A$2&lt;3,$A$2,3)))</f>
        <v>2.1514351462436707</v>
      </c>
      <c r="BS96" s="111">
        <f>BB96/SUM(Q96:INDEX(Q96:S96,$B$2))</f>
        <v>5.3496218325534697</v>
      </c>
      <c r="BT96" s="111">
        <f t="shared" si="185"/>
        <v>0.39862806568490616</v>
      </c>
      <c r="BU96" s="111">
        <f t="shared" si="185"/>
        <v>0</v>
      </c>
      <c r="BV96" s="111">
        <f t="shared" ref="BV96:BV103" si="196">BE96/Z96</f>
        <v>1.7079344721216532</v>
      </c>
    </row>
    <row r="97" spans="1:74" x14ac:dyDescent="0.25">
      <c r="A97" t="s">
        <v>6</v>
      </c>
      <c r="B97" s="6">
        <f>'Agency North'!C99+'Agency South'!C99</f>
        <v>1607.9859999999999</v>
      </c>
      <c r="C97" s="6">
        <f>'Agency North'!D99+'Agency South'!D99</f>
        <v>1750.9380000000001</v>
      </c>
      <c r="D97" s="6">
        <f>'Agency North'!E99+'Agency South'!E99</f>
        <v>2089.0340000000001</v>
      </c>
      <c r="E97" s="6">
        <f>'Agency North'!F99+'Agency South'!F99</f>
        <v>2906.9760000000001</v>
      </c>
      <c r="F97" s="6">
        <f>'Agency North'!G99+'Agency South'!G99</f>
        <v>3479.0169999999998</v>
      </c>
      <c r="G97" s="6">
        <f>'Agency North'!H99+'Agency South'!H99</f>
        <v>3389.9160000000002</v>
      </c>
      <c r="H97" s="6">
        <f>'Agency North'!I99+'Agency South'!I99</f>
        <v>3395.3140000000003</v>
      </c>
      <c r="I97" s="6">
        <f>'Agency North'!J99+'Agency South'!J99</f>
        <v>2433.3559999999998</v>
      </c>
      <c r="J97" s="6">
        <f>'Agency North'!K99+'Agency South'!K99</f>
        <v>4296.6179999999995</v>
      </c>
      <c r="K97" s="6">
        <f>'Agency North'!L99+'Agency South'!L99</f>
        <v>4505.3620000000001</v>
      </c>
      <c r="L97" s="6">
        <f>'Agency North'!M99+'Agency South'!M99</f>
        <v>3030.0115000000001</v>
      </c>
      <c r="M97" s="6">
        <f>'Agency North'!N99+'Agency South'!N99</f>
        <v>8739.1770000000106</v>
      </c>
      <c r="N97" s="6">
        <f>'Agency North'!O99+'Agency South'!O99</f>
        <v>2251.2579999999998</v>
      </c>
      <c r="O97" s="6">
        <f>'Agency North'!P99+'Agency South'!P99</f>
        <v>1010.0340000000001</v>
      </c>
      <c r="P97" s="6">
        <f>'Agency North'!Q99+'Agency South'!Q99</f>
        <v>1571.1179999999999</v>
      </c>
      <c r="Q97" s="6">
        <f>'Agency North'!R99+'Agency South'!R99</f>
        <v>3695.29</v>
      </c>
      <c r="R97" s="6">
        <f>'Agency North'!S99+'Agency South'!S99</f>
        <v>3568.9749999999999</v>
      </c>
      <c r="S97" s="6">
        <f>'Agency North'!T99+'Agency South'!T99</f>
        <v>6259.6239999999998</v>
      </c>
      <c r="T97" s="6">
        <f>'Agency North'!U99+'Agency South'!U99</f>
        <v>5109.6440000000002</v>
      </c>
      <c r="U97" s="6">
        <f>'Agency North'!V99+'Agency South'!V99</f>
        <v>3814.7190000000001</v>
      </c>
      <c r="V97" s="6">
        <f>'Agency North'!W99+'Agency South'!W99</f>
        <v>7698.7370000000201</v>
      </c>
      <c r="W97" s="6">
        <f>'Agency North'!X99+'Agency South'!X99</f>
        <v>7515.3340000000007</v>
      </c>
      <c r="X97" s="6">
        <f>'Agency North'!Y99+'Agency South'!Y99</f>
        <v>7935.1679999999997</v>
      </c>
      <c r="Y97" s="6">
        <f>'Agency North'!Z99+'Agency South'!Z99</f>
        <v>9407.7360000000299</v>
      </c>
      <c r="Z97" s="22">
        <f>SUM(N97:INDEX(N97:Y97,$A$2))</f>
        <v>23465.942999999999</v>
      </c>
      <c r="AA97" s="22">
        <f t="shared" si="186"/>
        <v>4832.41</v>
      </c>
      <c r="AB97" s="22">
        <f t="shared" si="187"/>
        <v>13523.888999999999</v>
      </c>
      <c r="AC97" s="22">
        <f t="shared" si="188"/>
        <v>16623.10000000002</v>
      </c>
      <c r="AD97" s="22">
        <f t="shared" si="189"/>
        <v>24858.23800000003</v>
      </c>
      <c r="AE97" s="22">
        <f>SUM(B97                                                                                : INDEX(B97:M97,$A$2))</f>
        <v>18619.181000000004</v>
      </c>
      <c r="AF97" s="22">
        <f t="shared" si="190"/>
        <v>5447.9580000000005</v>
      </c>
      <c r="AG97" s="22">
        <f t="shared" si="191"/>
        <v>9775.9089999999997</v>
      </c>
      <c r="AH97" s="22">
        <f t="shared" si="192"/>
        <v>10125.288</v>
      </c>
      <c r="AI97" s="22">
        <f t="shared" si="193"/>
        <v>16274.55050000001</v>
      </c>
      <c r="AJ97" s="31">
        <f t="shared" si="194"/>
        <v>0.26031016079600899</v>
      </c>
      <c r="AK97" s="31">
        <f t="shared" si="183"/>
        <v>-0.11298692097112362</v>
      </c>
      <c r="AL97" s="31">
        <f t="shared" si="183"/>
        <v>0.38338941166494078</v>
      </c>
      <c r="AM97" s="31">
        <f t="shared" si="183"/>
        <v>0.64174095591157698</v>
      </c>
      <c r="AN97" s="31">
        <f t="shared" si="183"/>
        <v>0.52743008170947725</v>
      </c>
      <c r="AO97" s="166">
        <f>'GEN Lion NORTH'!AP99+'GEN Lion SOUTH'!AP99</f>
        <v>3625.0929999999998</v>
      </c>
      <c r="AP97" s="166">
        <f>'GEN Lion NORTH'!AQ99+'GEN Lion SOUTH'!AQ99</f>
        <v>2547.8330000000001</v>
      </c>
      <c r="AQ97" s="166">
        <f>'GEN Lion NORTH'!AR99+'GEN Lion SOUTH'!AR99</f>
        <v>6880.2</v>
      </c>
      <c r="AR97" s="165">
        <f>'GEN Lion NORTH'!AS99+'GEN Lion SOUTH'!AS99</f>
        <v>5002.7299999999996</v>
      </c>
      <c r="AS97" s="165">
        <f>'GEN Lion NORTH'!AT99+'GEN Lion SOUTH'!AT99</f>
        <v>5938.76</v>
      </c>
      <c r="AT97" s="165">
        <f>'GEN Lion NORTH'!AU99+'GEN Lion SOUTH'!AU99</f>
        <v>4219.3899999999994</v>
      </c>
      <c r="AU97" s="165">
        <f>'GEN Lion NORTH'!AV99+'GEN Lion SOUTH'!AV99</f>
        <v>5322.46</v>
      </c>
      <c r="AV97" s="113">
        <f>'GEN Lion NORTH'!AW99+'GEN Lion SOUTH'!AW99</f>
        <v>0</v>
      </c>
      <c r="AW97" s="113">
        <f>'GEN Lion NORTH'!AX99+'GEN Lion SOUTH'!AX99</f>
        <v>0</v>
      </c>
      <c r="AX97" s="113">
        <f>'GEN Lion NORTH'!AY99+'GEN Lion SOUTH'!AY99</f>
        <v>0</v>
      </c>
      <c r="AY97" s="113">
        <f>'GEN Lion NORTH'!AZ99+'GEN Lion SOUTH'!AZ99</f>
        <v>0</v>
      </c>
      <c r="AZ97" s="113">
        <f>'GEN Lion NORTH'!BA99+'GEN Lion SOUTH'!BA99</f>
        <v>0</v>
      </c>
      <c r="BA97" s="110">
        <f>SUM(AO97:INDEX(AO97:AQ97,IF($A$2&lt;3,$A$2,3)))</f>
        <v>13053.126</v>
      </c>
      <c r="BB97" s="110">
        <f>SUM(AR97:INDEX(AR97:AT97,IF(AND($A$2&gt;3,$A$2&lt;7),$A$2-3,0)))</f>
        <v>15160.88</v>
      </c>
      <c r="BC97" s="110">
        <f>SUM(AU97:INDEX(AU97:AW97,IF(AND($A$2&gt;6,$A$2&lt;10),$A$2-6,0)))</f>
        <v>5322.46</v>
      </c>
      <c r="BD97" s="110">
        <f>SUM(AX97:INDEX(AX97:AZ97,IF($A$2&gt;9,$A$2-9,0)))</f>
        <v>0</v>
      </c>
      <c r="BE97" s="110">
        <f>SUM($AO97:INDEX(AO97:AZ97,$A$2))</f>
        <v>33536.466</v>
      </c>
      <c r="BF97" s="125">
        <f t="shared" si="195"/>
        <v>1.6102521345843079</v>
      </c>
      <c r="BG97" s="111">
        <f t="shared" si="184"/>
        <v>2.5225220141104159</v>
      </c>
      <c r="BH97" s="111">
        <f t="shared" si="184"/>
        <v>4.3791745750478324</v>
      </c>
      <c r="BI97" s="111">
        <f t="shared" si="184"/>
        <v>1.3538125559834275</v>
      </c>
      <c r="BJ97" s="111">
        <f t="shared" si="184"/>
        <v>1.6639959652281118</v>
      </c>
      <c r="BK97" s="111">
        <f t="shared" si="184"/>
        <v>0.67406444859946857</v>
      </c>
      <c r="BL97" s="111">
        <f t="shared" si="184"/>
        <v>1.0416498683665634</v>
      </c>
      <c r="BM97" s="111">
        <f t="shared" si="184"/>
        <v>0</v>
      </c>
      <c r="BN97" s="111">
        <f t="shared" si="184"/>
        <v>0</v>
      </c>
      <c r="BO97" s="111">
        <f t="shared" si="184"/>
        <v>0</v>
      </c>
      <c r="BP97" s="111">
        <f t="shared" si="184"/>
        <v>0</v>
      </c>
      <c r="BQ97" s="111">
        <f t="shared" si="184"/>
        <v>0</v>
      </c>
      <c r="BR97" s="111">
        <f>BA97/SUM(N97:INDEX(N97:P97,IF($A$2&lt;3,$A$2,3)))</f>
        <v>2.70116277385404</v>
      </c>
      <c r="BS97" s="111">
        <f>BB97/SUM(Q97:INDEX(Q97:S97,$B$2))</f>
        <v>4.1027578349737093</v>
      </c>
      <c r="BT97" s="111">
        <f t="shared" si="185"/>
        <v>0.32018456244623406</v>
      </c>
      <c r="BU97" s="111">
        <f t="shared" si="185"/>
        <v>0</v>
      </c>
      <c r="BV97" s="111">
        <f t="shared" si="196"/>
        <v>1.429154839419835</v>
      </c>
    </row>
    <row r="98" spans="1:74" x14ac:dyDescent="0.25">
      <c r="A98" t="s">
        <v>7</v>
      </c>
      <c r="B98" s="6">
        <f>'Agency North'!C100+'Agency South'!C100</f>
        <v>1988.4479999999999</v>
      </c>
      <c r="C98" s="6">
        <f>'Agency North'!D100+'Agency South'!D100</f>
        <v>1947.857</v>
      </c>
      <c r="D98" s="6">
        <f>'Agency North'!E100+'Agency South'!E100</f>
        <v>3767.4229999999998</v>
      </c>
      <c r="E98" s="6">
        <f>'Agency North'!F100+'Agency South'!F100</f>
        <v>2125.06</v>
      </c>
      <c r="F98" s="6">
        <f>'Agency North'!G100+'Agency South'!G100</f>
        <v>2421.8710000000001</v>
      </c>
      <c r="G98" s="6">
        <f>'Agency North'!H100+'Agency South'!H100</f>
        <v>5373.0374999999904</v>
      </c>
      <c r="H98" s="6">
        <f>'Agency North'!I100+'Agency South'!I100</f>
        <v>4492.59</v>
      </c>
      <c r="I98" s="6">
        <f>'Agency North'!J100+'Agency South'!J100</f>
        <v>2356.33</v>
      </c>
      <c r="J98" s="6">
        <f>'Agency North'!K100+'Agency South'!K100</f>
        <v>5350.7929999999997</v>
      </c>
      <c r="K98" s="6">
        <f>'Agency North'!L100+'Agency South'!L100</f>
        <v>4555.32</v>
      </c>
      <c r="L98" s="6">
        <f>'Agency North'!M100+'Agency South'!M100</f>
        <v>7381.4279999999999</v>
      </c>
      <c r="M98" s="6">
        <f>'Agency North'!N100+'Agency South'!N100</f>
        <v>7028.3935000000001</v>
      </c>
      <c r="N98" s="6">
        <f>'Agency North'!O100+'Agency South'!O100</f>
        <v>2159.4970000000012</v>
      </c>
      <c r="O98" s="6">
        <f>'Agency North'!P100+'Agency South'!P100</f>
        <v>3475.0950000000003</v>
      </c>
      <c r="P98" s="6">
        <f>'Agency North'!Q100+'Agency South'!Q100</f>
        <v>4886.0320000000002</v>
      </c>
      <c r="Q98" s="6">
        <f>'Agency North'!R100+'Agency South'!R100</f>
        <v>2096.8029999999999</v>
      </c>
      <c r="R98" s="6">
        <f>'Agency North'!S100+'Agency South'!S100</f>
        <v>4222.7165000000005</v>
      </c>
      <c r="S98" s="6">
        <f>'Agency North'!T100+'Agency South'!T100</f>
        <v>6302.0964999999997</v>
      </c>
      <c r="T98" s="6">
        <f>'Agency North'!U100+'Agency South'!U100</f>
        <v>5397.6329999999998</v>
      </c>
      <c r="U98" s="6">
        <f>'Agency North'!V100+'Agency South'!V100</f>
        <v>5847.7440000000006</v>
      </c>
      <c r="V98" s="6">
        <f>'Agency North'!W100+'Agency South'!W100</f>
        <v>8135.5635000000002</v>
      </c>
      <c r="W98" s="6">
        <f>'Agency North'!X100+'Agency South'!X100</f>
        <v>4988.0709999999999</v>
      </c>
      <c r="X98" s="6">
        <f>'Agency North'!Y100+'Agency South'!Y100</f>
        <v>11114.921500000011</v>
      </c>
      <c r="Y98" s="6">
        <f>'Agency North'!Z100+'Agency South'!Z100</f>
        <v>22486.390000000029</v>
      </c>
      <c r="Z98" s="22">
        <f>SUM(N98:INDEX(N98:Y98,$A$2))</f>
        <v>28539.873</v>
      </c>
      <c r="AA98" s="22">
        <f t="shared" si="186"/>
        <v>10520.624000000002</v>
      </c>
      <c r="AB98" s="22">
        <f t="shared" si="187"/>
        <v>12621.616</v>
      </c>
      <c r="AC98" s="22">
        <f t="shared" si="188"/>
        <v>19380.940500000001</v>
      </c>
      <c r="AD98" s="22">
        <f t="shared" si="189"/>
        <v>38589.382500000036</v>
      </c>
      <c r="AE98" s="22">
        <f>SUM(B98                                                                                : INDEX(B98:M98,$A$2))</f>
        <v>22116.286499999991</v>
      </c>
      <c r="AF98" s="22">
        <f t="shared" si="190"/>
        <v>7703.7279999999992</v>
      </c>
      <c r="AG98" s="22">
        <f t="shared" si="191"/>
        <v>9919.9684999999918</v>
      </c>
      <c r="AH98" s="22">
        <f t="shared" si="192"/>
        <v>12199.713</v>
      </c>
      <c r="AI98" s="22">
        <f t="shared" si="193"/>
        <v>18965.141499999998</v>
      </c>
      <c r="AJ98" s="31">
        <f t="shared" si="194"/>
        <v>0.2904459797082124</v>
      </c>
      <c r="AK98" s="31">
        <f t="shared" si="183"/>
        <v>0.36565361601551905</v>
      </c>
      <c r="AL98" s="31">
        <f t="shared" si="183"/>
        <v>0.27234436278704011</v>
      </c>
      <c r="AM98" s="31">
        <f t="shared" si="183"/>
        <v>0.58863905241049541</v>
      </c>
      <c r="AN98" s="31">
        <f t="shared" si="183"/>
        <v>1.0347532076151418</v>
      </c>
      <c r="AO98" s="166">
        <f>'GEN Lion NORTH'!AP100+'GEN Lion SOUTH'!AP100</f>
        <v>6248.7709999999997</v>
      </c>
      <c r="AP98" s="166">
        <f>'GEN Lion NORTH'!AQ100+'GEN Lion SOUTH'!AQ100</f>
        <v>9679.9750000000204</v>
      </c>
      <c r="AQ98" s="166">
        <f>'GEN Lion NORTH'!AR100+'GEN Lion SOUTH'!AR100</f>
        <v>6518.37</v>
      </c>
      <c r="AR98" s="165">
        <f>'GEN Lion NORTH'!AS100+'GEN Lion SOUTH'!AS100</f>
        <v>4226.4799999999996</v>
      </c>
      <c r="AS98" s="165">
        <f>'GEN Lion NORTH'!AT100+'GEN Lion SOUTH'!AT100</f>
        <v>4943.74</v>
      </c>
      <c r="AT98" s="165">
        <f>'GEN Lion NORTH'!AU100+'GEN Lion SOUTH'!AU100</f>
        <v>5736.57</v>
      </c>
      <c r="AU98" s="165">
        <f>'GEN Lion NORTH'!AV100+'GEN Lion SOUTH'!AV100</f>
        <v>5953.4400000000005</v>
      </c>
      <c r="AV98" s="113">
        <f>'GEN Lion NORTH'!AW100+'GEN Lion SOUTH'!AW100</f>
        <v>0</v>
      </c>
      <c r="AW98" s="113">
        <f>'GEN Lion NORTH'!AX100+'GEN Lion SOUTH'!AX100</f>
        <v>0</v>
      </c>
      <c r="AX98" s="113">
        <f>'GEN Lion NORTH'!AY100+'GEN Lion SOUTH'!AY100</f>
        <v>0</v>
      </c>
      <c r="AY98" s="113">
        <f>'GEN Lion NORTH'!AZ100+'GEN Lion SOUTH'!AZ100</f>
        <v>0</v>
      </c>
      <c r="AZ98" s="113">
        <f>'GEN Lion NORTH'!BA100+'GEN Lion SOUTH'!BA100</f>
        <v>0</v>
      </c>
      <c r="BA98" s="110">
        <f>SUM(AO98:INDEX(AO98:AQ98,IF($A$2&lt;3,$A$2,3)))</f>
        <v>22447.11600000002</v>
      </c>
      <c r="BB98" s="110">
        <f>SUM(AR98:INDEX(AR98:AT98,IF(AND($A$2&gt;3,$A$2&lt;7),$A$2-3,0)))</f>
        <v>14906.789999999999</v>
      </c>
      <c r="BC98" s="110">
        <f>SUM(AU98:INDEX(AU98:AW98,IF(AND($A$2&gt;6,$A$2&lt;10),$A$2-6,0)))</f>
        <v>5953.4400000000005</v>
      </c>
      <c r="BD98" s="110">
        <f>SUM(AX98:INDEX(AX98:AZ98,IF($A$2&gt;9,$A$2-9,0)))</f>
        <v>0</v>
      </c>
      <c r="BE98" s="110">
        <f>SUM($AO98:INDEX(AO98:AZ98,$A$2))</f>
        <v>43307.34600000002</v>
      </c>
      <c r="BF98" s="125">
        <f t="shared" si="195"/>
        <v>2.8936233761843595</v>
      </c>
      <c r="BG98" s="111">
        <f t="shared" si="184"/>
        <v>2.785528165417066</v>
      </c>
      <c r="BH98" s="111">
        <f t="shared" si="184"/>
        <v>1.3340825438720008</v>
      </c>
      <c r="BI98" s="111">
        <f t="shared" si="184"/>
        <v>2.0156781538370558</v>
      </c>
      <c r="BJ98" s="111">
        <f t="shared" si="184"/>
        <v>1.1707487348487637</v>
      </c>
      <c r="BK98" s="111">
        <f t="shared" si="184"/>
        <v>0.91026375111837787</v>
      </c>
      <c r="BL98" s="111">
        <f t="shared" si="184"/>
        <v>1.1029723584393383</v>
      </c>
      <c r="BM98" s="111">
        <f t="shared" si="184"/>
        <v>0</v>
      </c>
      <c r="BN98" s="111">
        <f t="shared" si="184"/>
        <v>0</v>
      </c>
      <c r="BO98" s="111">
        <f t="shared" si="184"/>
        <v>0</v>
      </c>
      <c r="BP98" s="111">
        <f t="shared" si="184"/>
        <v>0</v>
      </c>
      <c r="BQ98" s="111">
        <f t="shared" si="184"/>
        <v>0</v>
      </c>
      <c r="BR98" s="111">
        <f>BA98/SUM(N98:INDEX(N98:P98,IF($A$2&lt;3,$A$2,3)))</f>
        <v>2.1336297162601778</v>
      </c>
      <c r="BS98" s="111">
        <f>BB98/SUM(Q98:INDEX(Q98:S98,$B$2))</f>
        <v>7.1092944830773321</v>
      </c>
      <c r="BT98" s="111">
        <f t="shared" si="185"/>
        <v>0.30718013916816889</v>
      </c>
      <c r="BU98" s="111">
        <f t="shared" si="185"/>
        <v>0</v>
      </c>
      <c r="BV98" s="111">
        <f t="shared" si="196"/>
        <v>1.5174330313242816</v>
      </c>
    </row>
    <row r="99" spans="1:74" x14ac:dyDescent="0.25">
      <c r="A99" t="s">
        <v>8</v>
      </c>
      <c r="B99" s="6">
        <f>'Agency North'!C101+'Agency South'!C101</f>
        <v>826.59100000000012</v>
      </c>
      <c r="C99" s="6">
        <f>'Agency North'!D101+'Agency South'!D101</f>
        <v>1141.806</v>
      </c>
      <c r="D99" s="6">
        <f>'Agency North'!E101+'Agency South'!E101</f>
        <v>2527.857</v>
      </c>
      <c r="E99" s="6">
        <f>'Agency North'!F101+'Agency South'!F101</f>
        <v>3863.71</v>
      </c>
      <c r="F99" s="6">
        <f>'Agency North'!G101+'Agency South'!G101</f>
        <v>3041.1080000000002</v>
      </c>
      <c r="G99" s="6">
        <f>'Agency North'!H101+'Agency South'!H101</f>
        <v>2635.279</v>
      </c>
      <c r="H99" s="6">
        <f>'Agency North'!I101+'Agency South'!I101</f>
        <v>3522.2210000000005</v>
      </c>
      <c r="I99" s="6">
        <f>'Agency North'!J101+'Agency South'!J101</f>
        <v>2733.703</v>
      </c>
      <c r="J99" s="6">
        <f>'Agency North'!K101+'Agency South'!K101</f>
        <v>4572.6059999999998</v>
      </c>
      <c r="K99" s="6">
        <f>'Agency North'!L101+'Agency South'!L101</f>
        <v>3584.4075000000003</v>
      </c>
      <c r="L99" s="6">
        <f>'Agency North'!M101+'Agency South'!M101</f>
        <v>5719.3940000000002</v>
      </c>
      <c r="M99" s="6">
        <f>'Agency North'!N101+'Agency South'!N101</f>
        <v>8277.2860000000001</v>
      </c>
      <c r="N99" s="6">
        <f>'Agency North'!O101+'Agency South'!O101</f>
        <v>2077.2080000000001</v>
      </c>
      <c r="O99" s="6">
        <f>'Agency North'!P101+'Agency South'!P101</f>
        <v>1733.0194999999999</v>
      </c>
      <c r="P99" s="6">
        <f>'Agency North'!Q101+'Agency South'!Q101</f>
        <v>5499.0010000000002</v>
      </c>
      <c r="Q99" s="6">
        <f>'Agency North'!R101+'Agency South'!R101</f>
        <v>5489.9589999999998</v>
      </c>
      <c r="R99" s="6">
        <f>'Agency North'!S101+'Agency South'!S101</f>
        <v>2784.2375000000002</v>
      </c>
      <c r="S99" s="6">
        <f>'Agency North'!T101+'Agency South'!T101</f>
        <v>2510.1030000000001</v>
      </c>
      <c r="T99" s="6">
        <f>'Agency North'!U101+'Agency South'!U101</f>
        <v>2531.8564999999999</v>
      </c>
      <c r="U99" s="6">
        <f>'Agency North'!V101+'Agency South'!V101</f>
        <v>3827.8319999999999</v>
      </c>
      <c r="V99" s="6">
        <f>'Agency North'!W101+'Agency South'!W101</f>
        <v>6097.2065000000002</v>
      </c>
      <c r="W99" s="6">
        <f>'Agency North'!X101+'Agency South'!X101</f>
        <v>6739.7915000000003</v>
      </c>
      <c r="X99" s="6">
        <f>'Agency North'!Y101+'Agency South'!Y101</f>
        <v>4560.6244999999999</v>
      </c>
      <c r="Y99" s="6">
        <f>'Agency North'!Z101+'Agency South'!Z101</f>
        <v>9155.1155000000199</v>
      </c>
      <c r="Z99" s="22">
        <f>SUM(N99:INDEX(N99:Y99,$A$2))</f>
        <v>22625.3845</v>
      </c>
      <c r="AA99" s="22">
        <f t="shared" si="186"/>
        <v>9309.2285000000011</v>
      </c>
      <c r="AB99" s="22">
        <f t="shared" si="187"/>
        <v>10784.299500000001</v>
      </c>
      <c r="AC99" s="22">
        <f t="shared" si="188"/>
        <v>12456.895</v>
      </c>
      <c r="AD99" s="22">
        <f t="shared" si="189"/>
        <v>20455.531500000019</v>
      </c>
      <c r="AE99" s="22">
        <f>SUM(B99                                                                                : INDEX(B99:M99,$A$2))</f>
        <v>17558.572</v>
      </c>
      <c r="AF99" s="22">
        <f t="shared" si="190"/>
        <v>4496.2539999999999</v>
      </c>
      <c r="AG99" s="22">
        <f t="shared" si="191"/>
        <v>9540.0969999999998</v>
      </c>
      <c r="AH99" s="22">
        <f t="shared" si="192"/>
        <v>10828.53</v>
      </c>
      <c r="AI99" s="22">
        <f t="shared" si="193"/>
        <v>17581.087500000001</v>
      </c>
      <c r="AJ99" s="31">
        <f t="shared" si="194"/>
        <v>0.28856631963009294</v>
      </c>
      <c r="AK99" s="31">
        <f t="shared" si="183"/>
        <v>1.0704409715287442</v>
      </c>
      <c r="AL99" s="31">
        <f t="shared" si="183"/>
        <v>0.1304182232109381</v>
      </c>
      <c r="AM99" s="31">
        <f t="shared" si="183"/>
        <v>0.15037729036166492</v>
      </c>
      <c r="AN99" s="31">
        <f t="shared" si="183"/>
        <v>0.1634963707449848</v>
      </c>
      <c r="AO99" s="166">
        <f>'GEN Lion NORTH'!AP101+'GEN Lion SOUTH'!AP101</f>
        <v>3069.9085</v>
      </c>
      <c r="AP99" s="166">
        <f>'GEN Lion NORTH'!AQ101+'GEN Lion SOUTH'!AQ101</f>
        <v>6875.2839999999997</v>
      </c>
      <c r="AQ99" s="166">
        <f>'GEN Lion NORTH'!AR101+'GEN Lion SOUTH'!AR101</f>
        <v>9972.36</v>
      </c>
      <c r="AR99" s="165">
        <f>'GEN Lion NORTH'!AS101+'GEN Lion SOUTH'!AS101</f>
        <v>3083.9700000000003</v>
      </c>
      <c r="AS99" s="165">
        <f>'GEN Lion NORTH'!AT101+'GEN Lion SOUTH'!AT101</f>
        <v>2630.47</v>
      </c>
      <c r="AT99" s="165">
        <f>'GEN Lion NORTH'!AU101+'GEN Lion SOUTH'!AU101</f>
        <v>2513.4</v>
      </c>
      <c r="AU99" s="165">
        <f>'GEN Lion NORTH'!AV101+'GEN Lion SOUTH'!AV101</f>
        <v>2728.91</v>
      </c>
      <c r="AV99" s="113">
        <f>'GEN Lion NORTH'!AW101+'GEN Lion SOUTH'!AW101</f>
        <v>0</v>
      </c>
      <c r="AW99" s="113">
        <f>'GEN Lion NORTH'!AX101+'GEN Lion SOUTH'!AX101</f>
        <v>0</v>
      </c>
      <c r="AX99" s="113">
        <f>'GEN Lion NORTH'!AY101+'GEN Lion SOUTH'!AY101</f>
        <v>0</v>
      </c>
      <c r="AY99" s="113">
        <f>'GEN Lion NORTH'!AZ101+'GEN Lion SOUTH'!AZ101</f>
        <v>0</v>
      </c>
      <c r="AZ99" s="113">
        <f>'GEN Lion NORTH'!BA101+'GEN Lion SOUTH'!BA101</f>
        <v>0</v>
      </c>
      <c r="BA99" s="110">
        <f>SUM(AO99:INDEX(AO99:AQ99,IF($A$2&lt;3,$A$2,3)))</f>
        <v>19917.552499999998</v>
      </c>
      <c r="BB99" s="110">
        <f>SUM(AR99:INDEX(AR99:AT99,IF(AND($A$2&gt;3,$A$2&lt;7),$A$2-3,0)))</f>
        <v>8227.84</v>
      </c>
      <c r="BC99" s="110">
        <f>SUM(AU99:INDEX(AU99:AW99,IF(AND($A$2&gt;6,$A$2&lt;10),$A$2-6,0)))</f>
        <v>2728.91</v>
      </c>
      <c r="BD99" s="110">
        <f>SUM(AX99:INDEX(AX99:AZ99,IF($A$2&gt;9,$A$2-9,0)))</f>
        <v>0</v>
      </c>
      <c r="BE99" s="110">
        <f>SUM($AO99:INDEX(AO99:AZ99,$A$2))</f>
        <v>30874.302500000002</v>
      </c>
      <c r="BF99" s="125">
        <f t="shared" si="195"/>
        <v>1.477901346422698</v>
      </c>
      <c r="BG99" s="111">
        <f t="shared" si="184"/>
        <v>3.9672282972003488</v>
      </c>
      <c r="BH99" s="111">
        <f t="shared" si="184"/>
        <v>1.8134857585950612</v>
      </c>
      <c r="BI99" s="111">
        <f t="shared" si="184"/>
        <v>0.56174736459780494</v>
      </c>
      <c r="BJ99" s="111">
        <f t="shared" si="184"/>
        <v>0.94477213240608948</v>
      </c>
      <c r="BK99" s="111">
        <f t="shared" si="184"/>
        <v>1.0013134919164672</v>
      </c>
      <c r="BL99" s="111">
        <f t="shared" si="184"/>
        <v>1.0778296479283087</v>
      </c>
      <c r="BM99" s="111">
        <f t="shared" si="184"/>
        <v>0</v>
      </c>
      <c r="BN99" s="111">
        <f t="shared" si="184"/>
        <v>0</v>
      </c>
      <c r="BO99" s="111">
        <f t="shared" si="184"/>
        <v>0</v>
      </c>
      <c r="BP99" s="111">
        <f t="shared" si="184"/>
        <v>0</v>
      </c>
      <c r="BQ99" s="111">
        <f t="shared" si="184"/>
        <v>0</v>
      </c>
      <c r="BR99" s="111">
        <f>BA99/SUM(N99:INDEX(N99:P99,IF($A$2&lt;3,$A$2,3)))</f>
        <v>2.1395492118385531</v>
      </c>
      <c r="BS99" s="111">
        <f>BB99/SUM(Q99:INDEX(Q99:S99,$B$2))</f>
        <v>1.4987070030941945</v>
      </c>
      <c r="BT99" s="111">
        <f t="shared" si="185"/>
        <v>0.21906823490123339</v>
      </c>
      <c r="BU99" s="111">
        <f t="shared" si="185"/>
        <v>0</v>
      </c>
      <c r="BV99" s="111">
        <f t="shared" si="196"/>
        <v>1.3645868648110711</v>
      </c>
    </row>
    <row r="100" spans="1:74" x14ac:dyDescent="0.25">
      <c r="A100" t="s">
        <v>1</v>
      </c>
      <c r="B100" s="6">
        <f>'Agency North'!C102+'Agency South'!C102</f>
        <v>1163.1880000000001</v>
      </c>
      <c r="C100" s="6">
        <f>'Agency North'!D102+'Agency South'!D102</f>
        <v>1238.098</v>
      </c>
      <c r="D100" s="6">
        <f>'Agency North'!E102+'Agency South'!E102</f>
        <v>1670.8544999999999</v>
      </c>
      <c r="E100" s="6">
        <f>'Agency North'!F102+'Agency South'!F102</f>
        <v>3477.4745000000003</v>
      </c>
      <c r="F100" s="6">
        <f>'Agency North'!G102+'Agency South'!G102</f>
        <v>2406.3429999999998</v>
      </c>
      <c r="G100" s="6">
        <f>'Agency North'!H102+'Agency South'!H102</f>
        <v>5399.6035000000011</v>
      </c>
      <c r="H100" s="6">
        <f>'Agency North'!I102+'Agency South'!I102</f>
        <v>4265.6030000000001</v>
      </c>
      <c r="I100" s="6">
        <f>'Agency North'!J102+'Agency South'!J102</f>
        <v>2426.2089999999998</v>
      </c>
      <c r="J100" s="6">
        <f>'Agency North'!K102+'Agency South'!K102</f>
        <v>5651.0095000000001</v>
      </c>
      <c r="K100" s="6">
        <f>'Agency North'!L102+'Agency South'!L102</f>
        <v>4779.9255000000003</v>
      </c>
      <c r="L100" s="6">
        <f>'Agency North'!M102+'Agency South'!M102</f>
        <v>7891.0340000000197</v>
      </c>
      <c r="M100" s="6">
        <f>'Agency North'!N102+'Agency South'!N102</f>
        <v>9060.6965000000109</v>
      </c>
      <c r="N100" s="6">
        <f>'Agency North'!O102+'Agency South'!O102</f>
        <v>1787.0029999999999</v>
      </c>
      <c r="O100" s="6">
        <f>'Agency North'!P102+'Agency South'!P102</f>
        <v>2160.8409999999999</v>
      </c>
      <c r="P100" s="6">
        <f>'Agency North'!Q102+'Agency South'!Q102</f>
        <v>5269.8829999999998</v>
      </c>
      <c r="Q100" s="6">
        <f>'Agency North'!R102+'Agency South'!R102</f>
        <v>3690.7139999999999</v>
      </c>
      <c r="R100" s="6">
        <f>'Agency North'!S102+'Agency South'!S102</f>
        <v>4527.99</v>
      </c>
      <c r="S100" s="6">
        <f>'Agency North'!T102+'Agency South'!T102</f>
        <v>5901.0484999999999</v>
      </c>
      <c r="T100" s="6">
        <f>'Agency North'!U102+'Agency South'!U102</f>
        <v>4429.9855000000007</v>
      </c>
      <c r="U100" s="6">
        <f>'Agency North'!V102+'Agency South'!V102</f>
        <v>3542.5015000000003</v>
      </c>
      <c r="V100" s="6">
        <f>'Agency North'!W102+'Agency South'!W102</f>
        <v>4720.8329999999996</v>
      </c>
      <c r="W100" s="6">
        <f>'Agency North'!X102+'Agency South'!X102</f>
        <v>3664.6169999999997</v>
      </c>
      <c r="X100" s="6">
        <f>'Agency North'!Y102+'Agency South'!Y102</f>
        <v>7175.3250000000098</v>
      </c>
      <c r="Y100" s="6">
        <f>'Agency North'!Z102+'Agency South'!Z102</f>
        <v>13488.51900000002</v>
      </c>
      <c r="Z100" s="22">
        <f>SUM(N100:INDEX(N100:Y100,$A$2))</f>
        <v>27767.464999999997</v>
      </c>
      <c r="AA100" s="22">
        <f t="shared" si="186"/>
        <v>9217.726999999999</v>
      </c>
      <c r="AB100" s="22">
        <f t="shared" si="187"/>
        <v>14119.752499999999</v>
      </c>
      <c r="AC100" s="22">
        <f t="shared" si="188"/>
        <v>12693.32</v>
      </c>
      <c r="AD100" s="22">
        <f t="shared" si="189"/>
        <v>24328.461000000032</v>
      </c>
      <c r="AE100" s="22">
        <f>SUM(B100                                                                                : INDEX(B100:M100,$A$2))</f>
        <v>19621.164499999999</v>
      </c>
      <c r="AF100" s="22">
        <f t="shared" si="190"/>
        <v>4072.1405</v>
      </c>
      <c r="AG100" s="22">
        <f t="shared" si="191"/>
        <v>11283.421000000002</v>
      </c>
      <c r="AH100" s="22">
        <f t="shared" si="192"/>
        <v>12342.8215</v>
      </c>
      <c r="AI100" s="22">
        <f t="shared" si="193"/>
        <v>21731.656000000032</v>
      </c>
      <c r="AJ100" s="31">
        <f t="shared" si="194"/>
        <v>0.41517925707212733</v>
      </c>
      <c r="AK100" s="31">
        <f t="shared" si="183"/>
        <v>1.263607309227174</v>
      </c>
      <c r="AL100" s="31">
        <f t="shared" si="183"/>
        <v>0.25137159200210601</v>
      </c>
      <c r="AM100" s="31">
        <f t="shared" si="183"/>
        <v>2.8396951215732935E-2</v>
      </c>
      <c r="AN100" s="31">
        <f t="shared" si="183"/>
        <v>0.11949411494457651</v>
      </c>
      <c r="AO100" s="166">
        <f>'GEN Lion NORTH'!AP102+'GEN Lion SOUTH'!AP102</f>
        <v>1532.2280000000001</v>
      </c>
      <c r="AP100" s="166">
        <f>'GEN Lion NORTH'!AQ102+'GEN Lion SOUTH'!AQ102</f>
        <v>1883.4704999999999</v>
      </c>
      <c r="AQ100" s="166">
        <f>'GEN Lion NORTH'!AR102+'GEN Lion SOUTH'!AR102</f>
        <v>3438.4900000000002</v>
      </c>
      <c r="AR100" s="165">
        <f>'GEN Lion NORTH'!AS102+'GEN Lion SOUTH'!AS102</f>
        <v>4280.5200000000004</v>
      </c>
      <c r="AS100" s="165">
        <f>'GEN Lion NORTH'!AT102+'GEN Lion SOUTH'!AT102</f>
        <v>9400.81</v>
      </c>
      <c r="AT100" s="165">
        <f>'GEN Lion NORTH'!AU102+'GEN Lion SOUTH'!AU102</f>
        <v>3790.3900000000003</v>
      </c>
      <c r="AU100" s="165">
        <f>'GEN Lion NORTH'!AV102+'GEN Lion SOUTH'!AV102</f>
        <v>3372.75</v>
      </c>
      <c r="AV100" s="113">
        <f>'GEN Lion NORTH'!AW102+'GEN Lion SOUTH'!AW102</f>
        <v>0</v>
      </c>
      <c r="AW100" s="113">
        <f>'GEN Lion NORTH'!AX102+'GEN Lion SOUTH'!AX102</f>
        <v>0</v>
      </c>
      <c r="AX100" s="113">
        <f>'GEN Lion NORTH'!AY102+'GEN Lion SOUTH'!AY102</f>
        <v>0</v>
      </c>
      <c r="AY100" s="113">
        <f>'GEN Lion NORTH'!AZ102+'GEN Lion SOUTH'!AZ102</f>
        <v>0</v>
      </c>
      <c r="AZ100" s="113">
        <f>'GEN Lion NORTH'!BA102+'GEN Lion SOUTH'!BA102</f>
        <v>0</v>
      </c>
      <c r="BA100" s="110">
        <f>SUM(AO100:INDEX(AO100:AQ100,IF($A$2&lt;3,$A$2,3)))</f>
        <v>6854.1885000000002</v>
      </c>
      <c r="BB100" s="110">
        <f>SUM(AR100:INDEX(AR100:AT100,IF(AND($A$2&gt;3,$A$2&lt;7),$A$2-3,0)))</f>
        <v>17471.72</v>
      </c>
      <c r="BC100" s="110">
        <f>SUM(AU100:INDEX(AU100:AW100,IF(AND($A$2&gt;6,$A$2&lt;10),$A$2-6,0)))</f>
        <v>3372.75</v>
      </c>
      <c r="BD100" s="110">
        <f>SUM(AX100:INDEX(AX100:AZ100,IF($A$2&gt;9,$A$2-9,0)))</f>
        <v>0</v>
      </c>
      <c r="BE100" s="110">
        <f>SUM($AO100:INDEX(AO100:AZ100,$A$2))</f>
        <v>27698.658499999998</v>
      </c>
      <c r="BF100" s="125">
        <f t="shared" si="195"/>
        <v>0.85742889071814665</v>
      </c>
      <c r="BG100" s="111">
        <f t="shared" si="184"/>
        <v>0.87163770957696562</v>
      </c>
      <c r="BH100" s="111">
        <f t="shared" si="184"/>
        <v>0.65247938142080197</v>
      </c>
      <c r="BI100" s="111">
        <f t="shared" si="184"/>
        <v>1.1598081021721001</v>
      </c>
      <c r="BJ100" s="111">
        <f t="shared" si="184"/>
        <v>2.0761552035229758</v>
      </c>
      <c r="BK100" s="111">
        <f t="shared" si="184"/>
        <v>0.64232483430698806</v>
      </c>
      <c r="BL100" s="111">
        <f t="shared" si="184"/>
        <v>0.7613456071131609</v>
      </c>
      <c r="BM100" s="111">
        <f t="shared" si="184"/>
        <v>0</v>
      </c>
      <c r="BN100" s="111">
        <f t="shared" si="184"/>
        <v>0</v>
      </c>
      <c r="BO100" s="111">
        <f t="shared" si="184"/>
        <v>0</v>
      </c>
      <c r="BP100" s="111">
        <f t="shared" si="184"/>
        <v>0</v>
      </c>
      <c r="BQ100" s="111">
        <f t="shared" si="184"/>
        <v>0</v>
      </c>
      <c r="BR100" s="111">
        <f>BA100/SUM(N100:INDEX(N100:P100,IF($A$2&lt;3,$A$2,3)))</f>
        <v>0.7435877087702859</v>
      </c>
      <c r="BS100" s="111">
        <f>BB100/SUM(Q100:INDEX(Q100:S100,$B$2))</f>
        <v>4.733967465373909</v>
      </c>
      <c r="BT100" s="111">
        <f t="shared" si="185"/>
        <v>0.2657106257464556</v>
      </c>
      <c r="BU100" s="111">
        <f t="shared" si="185"/>
        <v>0</v>
      </c>
      <c r="BV100" s="111">
        <f t="shared" si="196"/>
        <v>0.99752204603481098</v>
      </c>
    </row>
    <row r="101" spans="1:74" x14ac:dyDescent="0.25">
      <c r="A101" t="s">
        <v>2</v>
      </c>
      <c r="B101" s="6">
        <f>'Agency North'!C103+'Agency South'!C103</f>
        <v>382.339</v>
      </c>
      <c r="C101" s="6">
        <f>'Agency North'!D103+'Agency South'!D103</f>
        <v>401.28800000000001</v>
      </c>
      <c r="D101" s="6">
        <f>'Agency North'!E103+'Agency South'!E103</f>
        <v>715.85500000000002</v>
      </c>
      <c r="E101" s="6">
        <f>'Agency North'!F103+'Agency South'!F103</f>
        <v>416.81299999999999</v>
      </c>
      <c r="F101" s="6">
        <f>'Agency North'!G103+'Agency South'!G103</f>
        <v>495.71550000000013</v>
      </c>
      <c r="G101" s="6">
        <f>'Agency North'!H103+'Agency South'!H103</f>
        <v>1178.4275</v>
      </c>
      <c r="H101" s="6">
        <f>'Agency North'!I103+'Agency South'!I103</f>
        <v>1019.672</v>
      </c>
      <c r="I101" s="6">
        <f>'Agency North'!J103+'Agency South'!J103</f>
        <v>1070.9360000000001</v>
      </c>
      <c r="J101" s="6">
        <f>'Agency North'!K103+'Agency South'!K103</f>
        <v>5042.2280000000001</v>
      </c>
      <c r="K101" s="6">
        <f>'Agency North'!L103+'Agency South'!L103</f>
        <v>-690.76250000000005</v>
      </c>
      <c r="L101" s="6">
        <f>'Agency North'!M103+'Agency South'!M103</f>
        <v>4261.8795</v>
      </c>
      <c r="M101" s="6">
        <f>'Agency North'!N103+'Agency South'!N103</f>
        <v>6683.2224999999908</v>
      </c>
      <c r="N101" s="6">
        <f>'Agency North'!O103+'Agency South'!O103</f>
        <v>1618.5117</v>
      </c>
      <c r="O101" s="6">
        <f>'Agency North'!P103+'Agency South'!P103</f>
        <v>2392.8905</v>
      </c>
      <c r="P101" s="6">
        <f>'Agency North'!Q103+'Agency South'!Q103</f>
        <v>3090.6607000000004</v>
      </c>
      <c r="Q101" s="6">
        <f>'Agency North'!R103+'Agency South'!R103</f>
        <v>2189.4195</v>
      </c>
      <c r="R101" s="6">
        <f>'Agency North'!S103+'Agency South'!S103</f>
        <v>2618.9499999999998</v>
      </c>
      <c r="S101" s="6">
        <f>'Agency North'!T103+'Agency South'!T103</f>
        <v>4033.3780999999999</v>
      </c>
      <c r="T101" s="6">
        <f>'Agency North'!U103+'Agency South'!U103</f>
        <v>2560.4470000000001</v>
      </c>
      <c r="U101" s="6">
        <f>'Agency North'!V103+'Agency South'!V103</f>
        <v>3611.2749999999996</v>
      </c>
      <c r="V101" s="6">
        <f>'Agency North'!W103+'Agency South'!W103</f>
        <v>4759.9645</v>
      </c>
      <c r="W101" s="6">
        <f>'Agency North'!X103+'Agency South'!X103</f>
        <v>4869.0685000000003</v>
      </c>
      <c r="X101" s="6">
        <f>'Agency North'!Y103+'Agency South'!Y103</f>
        <v>4908.6975000000002</v>
      </c>
      <c r="Y101" s="6">
        <f>'Agency North'!Z103+'Agency South'!Z103</f>
        <v>12788.59700000002</v>
      </c>
      <c r="Z101" s="22">
        <f>SUM(N101:INDEX(N101:Y101,$A$2))</f>
        <v>18504.2575</v>
      </c>
      <c r="AA101" s="22">
        <f t="shared" si="186"/>
        <v>7102.0629000000008</v>
      </c>
      <c r="AB101" s="22">
        <f t="shared" si="187"/>
        <v>8841.7475999999988</v>
      </c>
      <c r="AC101" s="22">
        <f t="shared" si="188"/>
        <v>10931.6865</v>
      </c>
      <c r="AD101" s="22">
        <f t="shared" si="189"/>
        <v>22566.363000000019</v>
      </c>
      <c r="AE101" s="22">
        <f>SUM(B101                                                                                : INDEX(B101:M101,$A$2))</f>
        <v>4610.1100000000006</v>
      </c>
      <c r="AF101" s="22">
        <f t="shared" si="190"/>
        <v>1499.482</v>
      </c>
      <c r="AG101" s="22">
        <f t="shared" si="191"/>
        <v>2090.9560000000001</v>
      </c>
      <c r="AH101" s="22">
        <f t="shared" si="192"/>
        <v>7132.8360000000002</v>
      </c>
      <c r="AI101" s="22">
        <f t="shared" si="193"/>
        <v>10254.339499999991</v>
      </c>
      <c r="AJ101" s="31">
        <f t="shared" si="194"/>
        <v>3.0138429451791815</v>
      </c>
      <c r="AK101" s="31">
        <f t="shared" si="183"/>
        <v>3.7363442175364563</v>
      </c>
      <c r="AL101" s="31">
        <f t="shared" si="183"/>
        <v>3.2285670286701382</v>
      </c>
      <c r="AM101" s="31">
        <f t="shared" si="183"/>
        <v>0.53258626722947211</v>
      </c>
      <c r="AN101" s="31">
        <f t="shared" si="183"/>
        <v>1.200664703952901</v>
      </c>
      <c r="AO101" s="166">
        <f>'GEN Lion NORTH'!AP103+'GEN Lion SOUTH'!AP103</f>
        <v>2956.5045</v>
      </c>
      <c r="AP101" s="166">
        <f>'GEN Lion NORTH'!AQ103+'GEN Lion SOUTH'!AQ103</f>
        <v>3172.1225000000004</v>
      </c>
      <c r="AQ101" s="166">
        <f>'GEN Lion NORTH'!AR103+'GEN Lion SOUTH'!AR103</f>
        <v>4273.9799999999996</v>
      </c>
      <c r="AR101" s="165">
        <f>'GEN Lion NORTH'!AS103+'GEN Lion SOUTH'!AS103</f>
        <v>4321.6499999999996</v>
      </c>
      <c r="AS101" s="165">
        <f>'GEN Lion NORTH'!AT103+'GEN Lion SOUTH'!AT103</f>
        <v>4714.79</v>
      </c>
      <c r="AT101" s="165">
        <f>'GEN Lion NORTH'!AU103+'GEN Lion SOUTH'!AU103</f>
        <v>4379.9400000000005</v>
      </c>
      <c r="AU101" s="165">
        <f>'GEN Lion NORTH'!AV103+'GEN Lion SOUTH'!AV103</f>
        <v>4655.51</v>
      </c>
      <c r="AV101" s="113">
        <f>'GEN Lion NORTH'!AW103+'GEN Lion SOUTH'!AW103</f>
        <v>0</v>
      </c>
      <c r="AW101" s="113">
        <f>'GEN Lion NORTH'!AX103+'GEN Lion SOUTH'!AX103</f>
        <v>0</v>
      </c>
      <c r="AX101" s="113">
        <f>'GEN Lion NORTH'!AY103+'GEN Lion SOUTH'!AY103</f>
        <v>0</v>
      </c>
      <c r="AY101" s="113">
        <f>'GEN Lion NORTH'!AZ103+'GEN Lion SOUTH'!AZ103</f>
        <v>0</v>
      </c>
      <c r="AZ101" s="113">
        <f>'GEN Lion NORTH'!BA103+'GEN Lion SOUTH'!BA103</f>
        <v>0</v>
      </c>
      <c r="BA101" s="110">
        <f>SUM(AO101:INDEX(AO101:AQ101,IF($A$2&lt;3,$A$2,3)))</f>
        <v>10402.607</v>
      </c>
      <c r="BB101" s="110">
        <f>SUM(AR101:INDEX(AR101:AT101,IF(AND($A$2&gt;3,$A$2&lt;7),$A$2-3,0)))</f>
        <v>13416.38</v>
      </c>
      <c r="BC101" s="110">
        <f>SUM(AU101:INDEX(AU101:AW101,IF(AND($A$2&gt;6,$A$2&lt;10),$A$2-6,0)))</f>
        <v>4655.51</v>
      </c>
      <c r="BD101" s="110">
        <f>SUM(AX101:INDEX(AX101:AZ101,IF($A$2&gt;9,$A$2-9,0)))</f>
        <v>0</v>
      </c>
      <c r="BE101" s="110">
        <f>SUM($AO101:INDEX(AO101:AZ101,$A$2))</f>
        <v>28474.497000000003</v>
      </c>
      <c r="BF101" s="125">
        <f t="shared" si="195"/>
        <v>1.8266809563378503</v>
      </c>
      <c r="BG101" s="111">
        <f t="shared" si="184"/>
        <v>1.3256446544461606</v>
      </c>
      <c r="BH101" s="111">
        <f t="shared" si="184"/>
        <v>1.3828693651166559</v>
      </c>
      <c r="BI101" s="111">
        <f t="shared" si="184"/>
        <v>1.9738793776158474</v>
      </c>
      <c r="BJ101" s="111">
        <f t="shared" si="184"/>
        <v>1.8002596460413525</v>
      </c>
      <c r="BK101" s="111">
        <f t="shared" si="184"/>
        <v>1.0859234843368641</v>
      </c>
      <c r="BL101" s="111">
        <f t="shared" si="184"/>
        <v>1.8182411118058683</v>
      </c>
      <c r="BM101" s="111">
        <f t="shared" si="184"/>
        <v>0</v>
      </c>
      <c r="BN101" s="111">
        <f t="shared" si="184"/>
        <v>0</v>
      </c>
      <c r="BO101" s="111">
        <f t="shared" si="184"/>
        <v>0</v>
      </c>
      <c r="BP101" s="111">
        <f t="shared" si="184"/>
        <v>0</v>
      </c>
      <c r="BQ101" s="111">
        <f t="shared" si="184"/>
        <v>0</v>
      </c>
      <c r="BR101" s="111">
        <f>BA101/SUM(N101:INDEX(N101:P101,IF($A$2&lt;3,$A$2,3)))</f>
        <v>1.4647303391244253</v>
      </c>
      <c r="BS101" s="111">
        <f>BB101/SUM(Q101:INDEX(Q101:S101,$B$2))</f>
        <v>6.1278252066358228</v>
      </c>
      <c r="BT101" s="111">
        <f t="shared" si="185"/>
        <v>0.42587298858231987</v>
      </c>
      <c r="BU101" s="111">
        <f t="shared" si="185"/>
        <v>0</v>
      </c>
      <c r="BV101" s="111">
        <f t="shared" si="196"/>
        <v>1.5388078662437552</v>
      </c>
    </row>
    <row r="102" spans="1:74" x14ac:dyDescent="0.25">
      <c r="A102" s="135" t="s">
        <v>136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31"/>
      <c r="AK102" s="31"/>
      <c r="AL102" s="31"/>
      <c r="AM102" s="31"/>
      <c r="AN102" s="31"/>
      <c r="AO102" s="166"/>
      <c r="AP102" s="166">
        <f>'GEN Lion NORTH'!AQ104+'GEN Lion SOUTH'!AQ104</f>
        <v>1743.7429999999999</v>
      </c>
      <c r="AQ102" s="166">
        <f>'GEN Lion NORTH'!AR104+'GEN Lion SOUTH'!AR104</f>
        <v>1505.15</v>
      </c>
      <c r="AR102" s="165">
        <f>'GEN Lion NORTH'!AS104+'GEN Lion SOUTH'!AS104</f>
        <v>2948.24</v>
      </c>
      <c r="AS102" s="165">
        <f>'GEN Lion NORTH'!AT104+'GEN Lion SOUTH'!AT104</f>
        <v>1404.26</v>
      </c>
      <c r="AT102" s="165">
        <f>'GEN Lion NORTH'!AU104+'GEN Lion SOUTH'!AU104</f>
        <v>1228.24</v>
      </c>
      <c r="AU102" s="165">
        <f>'GEN Lion NORTH'!AV104+'GEN Lion SOUTH'!AV104</f>
        <v>1367.46</v>
      </c>
      <c r="AV102" s="113"/>
      <c r="AW102" s="113"/>
      <c r="AX102" s="113"/>
      <c r="AY102" s="113"/>
      <c r="AZ102" s="113"/>
      <c r="BA102" s="110">
        <f>SUM(AO102:INDEX(AO102:AQ102,IF($A$2&lt;3,$A$2,3)))</f>
        <v>3248.893</v>
      </c>
      <c r="BB102" s="110">
        <f>SUM(AR102:INDEX(AR102:AT102,IF(AND($A$2&gt;3,$A$2&lt;7),$A$2-3,0)))</f>
        <v>5580.74</v>
      </c>
      <c r="BC102" s="110">
        <f>SUM(AU102:INDEX(AU102:AW102,IF(AND($A$2&gt;6,$A$2&lt;10),$A$2-6,0)))</f>
        <v>1367.46</v>
      </c>
      <c r="BD102" s="110">
        <f>SUM(AX102:INDEX(AX102:AZ102,IF($A$2&gt;9,$A$2-9,0)))</f>
        <v>0</v>
      </c>
      <c r="BE102" s="110">
        <f>SUM($AO102:INDEX(AO102:AZ102,$A$2))</f>
        <v>10197.093000000001</v>
      </c>
      <c r="BF102" s="125"/>
      <c r="BG102" s="111"/>
      <c r="BH102" s="111"/>
      <c r="BI102" s="111"/>
      <c r="BJ102" s="111"/>
      <c r="BK102" s="111"/>
      <c r="BL102" s="111"/>
      <c r="BM102" s="111"/>
      <c r="BN102" s="111"/>
      <c r="BO102" s="111"/>
      <c r="BP102" s="111"/>
      <c r="BQ102" s="111"/>
      <c r="BR102" s="111"/>
      <c r="BS102" s="111"/>
      <c r="BT102" s="111"/>
      <c r="BU102" s="111"/>
      <c r="BV102" s="111"/>
    </row>
    <row r="103" spans="1:74" s="17" customFormat="1" x14ac:dyDescent="0.25">
      <c r="A103" s="1" t="s">
        <v>3</v>
      </c>
      <c r="B103" s="7">
        <f>SUM(B95:B101)</f>
        <v>10123.743</v>
      </c>
      <c r="C103" s="7">
        <f t="shared" ref="C103:AD103" si="197">SUM(C95:C101)</f>
        <v>9101.639000000001</v>
      </c>
      <c r="D103" s="7">
        <f t="shared" si="197"/>
        <v>18571.495999999999</v>
      </c>
      <c r="E103" s="7">
        <f t="shared" si="197"/>
        <v>22629.834999999999</v>
      </c>
      <c r="F103" s="7">
        <f t="shared" si="197"/>
        <v>18306.072</v>
      </c>
      <c r="G103" s="7">
        <f t="shared" si="197"/>
        <v>26230.601999999992</v>
      </c>
      <c r="H103" s="7">
        <f t="shared" si="197"/>
        <v>28538.013999999999</v>
      </c>
      <c r="I103" s="7">
        <f t="shared" si="197"/>
        <v>16287.661999999998</v>
      </c>
      <c r="J103" s="7">
        <f t="shared" si="197"/>
        <v>37854.292000000001</v>
      </c>
      <c r="K103" s="7">
        <f t="shared" si="197"/>
        <v>25289.30899999999</v>
      </c>
      <c r="L103" s="7">
        <f t="shared" si="197"/>
        <v>41639.971000000041</v>
      </c>
      <c r="M103" s="7">
        <f t="shared" si="197"/>
        <v>57736.464499999995</v>
      </c>
      <c r="N103" s="7">
        <f t="shared" si="197"/>
        <v>13641.924700000003</v>
      </c>
      <c r="O103" s="7">
        <f t="shared" si="197"/>
        <v>13892.63899999997</v>
      </c>
      <c r="P103" s="7">
        <f t="shared" si="197"/>
        <v>33141.96669999999</v>
      </c>
      <c r="Q103" s="7">
        <f t="shared" si="197"/>
        <v>30639.373499999998</v>
      </c>
      <c r="R103" s="7">
        <f t="shared" si="197"/>
        <v>27458.015000000003</v>
      </c>
      <c r="S103" s="7">
        <f t="shared" si="197"/>
        <v>41468.133600000067</v>
      </c>
      <c r="T103" s="7">
        <f t="shared" si="197"/>
        <v>29747.921000000017</v>
      </c>
      <c r="U103" s="7">
        <f t="shared" si="197"/>
        <v>31024.38900000001</v>
      </c>
      <c r="V103" s="7">
        <f t="shared" si="197"/>
        <v>48843.573000000077</v>
      </c>
      <c r="W103" s="7">
        <f t="shared" si="197"/>
        <v>39101.215000000026</v>
      </c>
      <c r="X103" s="7">
        <f t="shared" si="197"/>
        <v>50426.896000000073</v>
      </c>
      <c r="Y103" s="7">
        <f t="shared" si="197"/>
        <v>94434.854000000225</v>
      </c>
      <c r="Z103" s="7">
        <f t="shared" si="197"/>
        <v>189989.97350000005</v>
      </c>
      <c r="AA103" s="7">
        <f t="shared" si="197"/>
        <v>60676.530399999974</v>
      </c>
      <c r="AB103" s="7">
        <f t="shared" si="197"/>
        <v>99565.52210000006</v>
      </c>
      <c r="AC103" s="7">
        <f t="shared" si="197"/>
        <v>109615.8830000001</v>
      </c>
      <c r="AD103" s="7">
        <f t="shared" si="197"/>
        <v>183962.96500000032</v>
      </c>
      <c r="AE103" s="7">
        <f>SUM(AE95:AE101)</f>
        <v>133501.40100000001</v>
      </c>
      <c r="AF103" s="7">
        <f t="shared" ref="AF103:AI103" si="198">SUM(AF95:AF101)</f>
        <v>37796.877999999997</v>
      </c>
      <c r="AG103" s="7">
        <f t="shared" si="198"/>
        <v>67166.508999999991</v>
      </c>
      <c r="AH103" s="7">
        <f t="shared" si="198"/>
        <v>82679.968000000008</v>
      </c>
      <c r="AI103" s="7">
        <f t="shared" si="198"/>
        <v>124665.74450000003</v>
      </c>
      <c r="AJ103" s="31">
        <f t="shared" si="194"/>
        <v>0.42313093403416824</v>
      </c>
      <c r="AK103" s="31">
        <f t="shared" si="183"/>
        <v>0.6053318054469996</v>
      </c>
      <c r="AL103" s="31">
        <f t="shared" si="183"/>
        <v>0.48236857300414515</v>
      </c>
      <c r="AM103" s="31">
        <f t="shared" si="183"/>
        <v>0.32578526155211018</v>
      </c>
      <c r="AN103" s="31">
        <f t="shared" si="183"/>
        <v>0.47564967215192189</v>
      </c>
      <c r="AO103" s="114">
        <f t="shared" ref="AO103" si="199">SUM(AO95:AO101)</f>
        <v>27131.55</v>
      </c>
      <c r="AP103" s="114">
        <f>SUM(AP95:AP102)</f>
        <v>40723.48230000004</v>
      </c>
      <c r="AQ103" s="114">
        <f t="shared" ref="AQ103:AZ103" si="200">SUM(AQ95:AQ102)</f>
        <v>56762.079999999994</v>
      </c>
      <c r="AR103" s="114">
        <f t="shared" si="200"/>
        <v>49965.19</v>
      </c>
      <c r="AS103" s="114">
        <f t="shared" si="200"/>
        <v>53646.53</v>
      </c>
      <c r="AT103" s="114">
        <f t="shared" si="200"/>
        <v>58133.58</v>
      </c>
      <c r="AU103" s="114">
        <f t="shared" si="200"/>
        <v>45669.31</v>
      </c>
      <c r="AV103" s="114">
        <f t="shared" si="200"/>
        <v>0</v>
      </c>
      <c r="AW103" s="114">
        <f t="shared" si="200"/>
        <v>0</v>
      </c>
      <c r="AX103" s="114">
        <f t="shared" si="200"/>
        <v>0</v>
      </c>
      <c r="AY103" s="114">
        <f t="shared" si="200"/>
        <v>0</v>
      </c>
      <c r="AZ103" s="114">
        <f t="shared" si="200"/>
        <v>0</v>
      </c>
      <c r="BA103" s="116">
        <f>SUM(AO103:INDEX(AO103:AQ103,IF($A$2&lt;3,$A$2,3)))</f>
        <v>124617.11230000004</v>
      </c>
      <c r="BB103" s="116">
        <f>SUM(AR103:INDEX(AR103:AT103,IF(AND($A$2&gt;3,$A$2&lt;7),$A$2-3,0)))</f>
        <v>161745.29999999999</v>
      </c>
      <c r="BC103" s="116">
        <f>SUM(AU103:INDEX(AU103:AW103,IF(AND($A$2&gt;6,$A$2&lt;10),$A$2-6,0)))</f>
        <v>45669.31</v>
      </c>
      <c r="BD103" s="116">
        <f>SUM(AX103:INDEX(AX103:AZ103,IF($A$2&gt;9,$A$2-9,0)))</f>
        <v>0</v>
      </c>
      <c r="BE103" s="116">
        <f>SUM($AO103:INDEX(AO103:AZ103,$A$2))</f>
        <v>332031.72230000002</v>
      </c>
      <c r="BF103" s="126">
        <f t="shared" si="195"/>
        <v>1.9888359301675367</v>
      </c>
      <c r="BG103" s="118">
        <f t="shared" si="184"/>
        <v>2.9312992513517502</v>
      </c>
      <c r="BH103" s="118">
        <f t="shared" si="184"/>
        <v>1.7126949801684526</v>
      </c>
      <c r="BI103" s="118">
        <f t="shared" si="184"/>
        <v>1.6307510334700546</v>
      </c>
      <c r="BJ103" s="118">
        <f t="shared" si="184"/>
        <v>1.9537657765865446</v>
      </c>
      <c r="BK103" s="118">
        <f t="shared" si="184"/>
        <v>1.4018856156091846</v>
      </c>
      <c r="BL103" s="118">
        <f t="shared" si="184"/>
        <v>1.5352101412397852</v>
      </c>
      <c r="BM103" s="118">
        <f t="shared" si="184"/>
        <v>0</v>
      </c>
      <c r="BN103" s="118">
        <f t="shared" si="184"/>
        <v>0</v>
      </c>
      <c r="BO103" s="118">
        <f t="shared" si="184"/>
        <v>0</v>
      </c>
      <c r="BP103" s="118">
        <f t="shared" si="184"/>
        <v>0</v>
      </c>
      <c r="BQ103" s="118">
        <f t="shared" si="184"/>
        <v>0</v>
      </c>
      <c r="BR103" s="118">
        <f>BA103/SUM(N103:INDEX(N103:P103,IF($A$2&lt;3,$A$2,3)))</f>
        <v>2.0537943003412096</v>
      </c>
      <c r="BS103" s="111">
        <f>BB103/SUM(Q103:INDEX(Q103:S103,$B$2))</f>
        <v>5.2790015435531012</v>
      </c>
      <c r="BT103" s="118">
        <f t="shared" si="185"/>
        <v>0.41663040747479957</v>
      </c>
      <c r="BU103" s="118">
        <f t="shared" si="185"/>
        <v>0</v>
      </c>
      <c r="BV103" s="118">
        <f t="shared" si="196"/>
        <v>1.7476276046746222</v>
      </c>
    </row>
    <row r="104" spans="1:74" s="17" customFormat="1" x14ac:dyDescent="0.25">
      <c r="A104" s="1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31"/>
      <c r="AK104" s="31"/>
      <c r="AL104" s="31"/>
      <c r="AM104" s="31"/>
      <c r="AN104" s="31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24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</row>
    <row r="105" spans="1:74" x14ac:dyDescent="0.25">
      <c r="BF105" s="124"/>
    </row>
    <row r="106" spans="1:74" s="17" customFormat="1" hidden="1" outlineLevel="1" x14ac:dyDescent="0.25">
      <c r="A106" s="2" t="s">
        <v>9</v>
      </c>
      <c r="B106" s="3">
        <f t="shared" ref="B106:Y106" si="201">B94</f>
        <v>42005</v>
      </c>
      <c r="C106" s="3">
        <f t="shared" si="201"/>
        <v>42036</v>
      </c>
      <c r="D106" s="3">
        <f t="shared" si="201"/>
        <v>42064</v>
      </c>
      <c r="E106" s="3">
        <f t="shared" si="201"/>
        <v>42095</v>
      </c>
      <c r="F106" s="3">
        <f t="shared" si="201"/>
        <v>42125</v>
      </c>
      <c r="G106" s="3">
        <f t="shared" si="201"/>
        <v>42156</v>
      </c>
      <c r="H106" s="3">
        <f t="shared" si="201"/>
        <v>42186</v>
      </c>
      <c r="I106" s="3">
        <f t="shared" si="201"/>
        <v>42217</v>
      </c>
      <c r="J106" s="3">
        <f t="shared" si="201"/>
        <v>42248</v>
      </c>
      <c r="K106" s="3">
        <f t="shared" si="201"/>
        <v>42278</v>
      </c>
      <c r="L106" s="3">
        <f t="shared" si="201"/>
        <v>42309</v>
      </c>
      <c r="M106" s="3">
        <f t="shared" si="201"/>
        <v>42339</v>
      </c>
      <c r="N106" s="3">
        <f t="shared" si="201"/>
        <v>42370</v>
      </c>
      <c r="O106" s="3">
        <f t="shared" si="201"/>
        <v>42401</v>
      </c>
      <c r="P106" s="3">
        <f t="shared" si="201"/>
        <v>42430</v>
      </c>
      <c r="Q106" s="3">
        <f t="shared" si="201"/>
        <v>42461</v>
      </c>
      <c r="R106" s="3">
        <f t="shared" si="201"/>
        <v>42491</v>
      </c>
      <c r="S106" s="3">
        <f t="shared" si="201"/>
        <v>42522</v>
      </c>
      <c r="T106" s="3">
        <f t="shared" si="201"/>
        <v>42552</v>
      </c>
      <c r="U106" s="3">
        <f t="shared" si="201"/>
        <v>42583</v>
      </c>
      <c r="V106" s="3">
        <f t="shared" si="201"/>
        <v>42614</v>
      </c>
      <c r="W106" s="3">
        <f t="shared" si="201"/>
        <v>42644</v>
      </c>
      <c r="X106" s="3">
        <f t="shared" si="201"/>
        <v>42675</v>
      </c>
      <c r="Y106" s="3">
        <f t="shared" si="201"/>
        <v>42705</v>
      </c>
      <c r="Z106" s="29" t="s">
        <v>18</v>
      </c>
      <c r="AA106" s="29" t="s">
        <v>19</v>
      </c>
      <c r="AB106" s="29" t="s">
        <v>20</v>
      </c>
      <c r="AC106" s="29" t="s">
        <v>21</v>
      </c>
      <c r="AD106" s="29" t="s">
        <v>22</v>
      </c>
      <c r="AE106" s="26" t="str">
        <f t="shared" ref="AE106:AI106" si="202">AE94</f>
        <v>YTD /15</v>
      </c>
      <c r="AF106" s="26" t="str">
        <f t="shared" si="202"/>
        <v>Q1 '15</v>
      </c>
      <c r="AG106" s="26" t="str">
        <f t="shared" si="202"/>
        <v>Q2 '15</v>
      </c>
      <c r="AH106" s="26" t="str">
        <f t="shared" si="202"/>
        <v>Q3 '15</v>
      </c>
      <c r="AI106" s="26" t="str">
        <f t="shared" si="202"/>
        <v>Q4 '15</v>
      </c>
      <c r="AJ106" s="30" t="s">
        <v>27</v>
      </c>
      <c r="AK106" s="30" t="s">
        <v>29</v>
      </c>
      <c r="AL106" s="30" t="s">
        <v>30</v>
      </c>
      <c r="AM106" s="30" t="s">
        <v>31</v>
      </c>
      <c r="AN106" s="30" t="s">
        <v>32</v>
      </c>
      <c r="AO106" s="108">
        <v>42736</v>
      </c>
      <c r="AP106" s="108">
        <v>42767</v>
      </c>
      <c r="AQ106" s="108">
        <v>42795</v>
      </c>
      <c r="AR106" s="108">
        <v>42826</v>
      </c>
      <c r="AS106" s="108">
        <v>42856</v>
      </c>
      <c r="AT106" s="108">
        <v>42887</v>
      </c>
      <c r="AU106" s="108">
        <v>42917</v>
      </c>
      <c r="AV106" s="108">
        <v>42948</v>
      </c>
      <c r="AW106" s="108">
        <v>42979</v>
      </c>
      <c r="AX106" s="108">
        <v>43009</v>
      </c>
      <c r="AY106" s="108">
        <v>43040</v>
      </c>
      <c r="AZ106" s="108">
        <v>43070</v>
      </c>
      <c r="BA106" s="29" t="s">
        <v>123</v>
      </c>
      <c r="BB106" s="29" t="s">
        <v>124</v>
      </c>
      <c r="BC106" s="29" t="s">
        <v>125</v>
      </c>
      <c r="BD106" s="29" t="s">
        <v>126</v>
      </c>
      <c r="BE106" s="29" t="str">
        <f>"YTD " &amp; A105 &amp;"/17"</f>
        <v>YTD /17</v>
      </c>
      <c r="BF106" s="121">
        <v>42736</v>
      </c>
      <c r="BG106" s="108">
        <v>42767</v>
      </c>
      <c r="BH106" s="108">
        <v>42795</v>
      </c>
      <c r="BI106" s="108">
        <v>42826</v>
      </c>
      <c r="BJ106" s="108">
        <v>42856</v>
      </c>
      <c r="BK106" s="108">
        <v>42887</v>
      </c>
      <c r="BL106" s="108">
        <v>42917</v>
      </c>
      <c r="BM106" s="108">
        <v>42948</v>
      </c>
      <c r="BN106" s="108">
        <v>42979</v>
      </c>
      <c r="BO106" s="108">
        <v>43009</v>
      </c>
      <c r="BP106" s="108">
        <v>43040</v>
      </c>
      <c r="BQ106" s="108">
        <v>43070</v>
      </c>
      <c r="BR106" s="29" t="s">
        <v>127</v>
      </c>
      <c r="BS106" s="29" t="s">
        <v>128</v>
      </c>
      <c r="BT106" s="29" t="s">
        <v>96</v>
      </c>
      <c r="BU106" s="29" t="s">
        <v>129</v>
      </c>
      <c r="BV106" s="112" t="s">
        <v>130</v>
      </c>
    </row>
    <row r="107" spans="1:74" hidden="1" outlineLevel="1" x14ac:dyDescent="0.25">
      <c r="A107" t="s">
        <v>17</v>
      </c>
      <c r="B107" s="6">
        <f>'Agency North'!C109+'Agency South'!C109</f>
        <v>1870</v>
      </c>
      <c r="C107" s="6">
        <f>'Agency North'!D109+'Agency South'!D109</f>
        <v>1926</v>
      </c>
      <c r="D107" s="6">
        <f>'Agency North'!E109+'Agency South'!E109</f>
        <v>2085</v>
      </c>
      <c r="E107" s="6">
        <f>'Agency North'!F109+'Agency South'!F109</f>
        <v>2320</v>
      </c>
      <c r="F107" s="6">
        <f>'Agency North'!G109+'Agency South'!G109</f>
        <v>2186</v>
      </c>
      <c r="G107" s="6">
        <f>'Agency North'!H109+'Agency South'!H109</f>
        <v>2260</v>
      </c>
      <c r="H107" s="6">
        <f>'Agency North'!I109+'Agency South'!I109</f>
        <v>2280</v>
      </c>
      <c r="I107" s="6">
        <f>'Agency North'!J109+'Agency South'!J109</f>
        <v>2477</v>
      </c>
      <c r="J107" s="6">
        <f>'Agency North'!K109+'Agency South'!K109</f>
        <v>2545</v>
      </c>
      <c r="K107" s="6">
        <f>'Agency North'!L109+'Agency South'!L109</f>
        <v>2682</v>
      </c>
      <c r="L107" s="6">
        <f>'Agency North'!M109+'Agency South'!M109</f>
        <v>3005</v>
      </c>
      <c r="M107" s="6">
        <f>'Agency North'!N109+'Agency South'!N109</f>
        <v>3126</v>
      </c>
      <c r="N107" s="6">
        <f>'Agency North'!O109+'Agency South'!O109</f>
        <v>3145</v>
      </c>
      <c r="O107" s="6">
        <f>'Agency North'!P109+'Agency South'!P109</f>
        <v>3064</v>
      </c>
      <c r="P107" s="6">
        <f>'Agency North'!Q109+'Agency South'!Q109</f>
        <v>3271</v>
      </c>
      <c r="Q107" s="6">
        <f>'Agency North'!R109+'Agency South'!R109</f>
        <v>3366</v>
      </c>
      <c r="R107" s="6">
        <f>'Agency North'!S109+'Agency South'!S109</f>
        <v>3707</v>
      </c>
      <c r="S107" s="6">
        <f>'Agency North'!T109+'Agency South'!T109</f>
        <v>4496</v>
      </c>
      <c r="T107" s="6">
        <f>'Agency North'!U109+'Agency South'!U109</f>
        <v>5001</v>
      </c>
      <c r="U107" s="6">
        <f>'Agency North'!V109+'Agency South'!V109</f>
        <v>5521</v>
      </c>
      <c r="V107" s="6">
        <f>'Agency North'!W109+'Agency South'!W109</f>
        <v>6102</v>
      </c>
      <c r="W107" s="6">
        <f>'Agency North'!X109+'Agency South'!X109</f>
        <v>6665</v>
      </c>
      <c r="X107" s="6">
        <f>'Agency North'!Y109+'Agency South'!Y109</f>
        <v>7185</v>
      </c>
      <c r="Y107" s="6">
        <f>'Agency North'!Z109+'Agency South'!Z109</f>
        <v>7861</v>
      </c>
      <c r="Z107" s="22">
        <f>INDEX($N107:$Y107,$A$2)</f>
        <v>5001</v>
      </c>
      <c r="AA107" s="22">
        <f t="shared" ref="AA107" si="203">P107</f>
        <v>3271</v>
      </c>
      <c r="AB107" s="22">
        <f t="shared" ref="AB107" si="204">S107</f>
        <v>4496</v>
      </c>
      <c r="AC107" s="22">
        <f t="shared" ref="AC107:AC112" si="205">INDEX(N107:Y107,$A$2)</f>
        <v>5001</v>
      </c>
      <c r="AD107" s="22">
        <f t="shared" ref="AD107" si="206">Y107</f>
        <v>7861</v>
      </c>
      <c r="AE107" s="22">
        <f>INDEX($B107:$M107,$A$2)</f>
        <v>2280</v>
      </c>
      <c r="AF107" s="22">
        <f t="shared" ref="AF107:AF114" si="207">D107</f>
        <v>2085</v>
      </c>
      <c r="AG107" s="22">
        <f t="shared" ref="AG107:AG114" si="208">G107</f>
        <v>2260</v>
      </c>
      <c r="AH107" s="22">
        <f t="shared" ref="AH107:AH114" si="209">J107</f>
        <v>2545</v>
      </c>
      <c r="AI107" s="22">
        <f t="shared" ref="AI107:AI114" si="210">M107</f>
        <v>3126</v>
      </c>
      <c r="AJ107" s="31">
        <f>Z107/AE107-1</f>
        <v>1.1934210526315789</v>
      </c>
      <c r="AK107" s="31">
        <f t="shared" ref="AK107:AN114" si="211">AA107/AF107-1</f>
        <v>0.56882494004796169</v>
      </c>
      <c r="AL107" s="31">
        <f t="shared" si="211"/>
        <v>0.98938053097345136</v>
      </c>
      <c r="AM107" s="31">
        <f t="shared" si="211"/>
        <v>0.96502946954813362</v>
      </c>
      <c r="AN107" s="31">
        <f t="shared" si="211"/>
        <v>1.514715291106846</v>
      </c>
      <c r="AO107" s="113">
        <f>'GEN Lion NORTH'!AP109+'GEN Lion SOUTH'!AP109</f>
        <v>8036</v>
      </c>
      <c r="AP107" s="113">
        <f>'GEN Lion NORTH'!AQ109+'GEN Lion SOUTH'!AQ109</f>
        <v>5563</v>
      </c>
      <c r="AQ107" s="113">
        <f>'GEN Lion NORTH'!AR109+'GEN Lion SOUTH'!AR109</f>
        <v>5661</v>
      </c>
      <c r="AR107" s="113">
        <f>'GEN Lion NORTH'!AS109+'GEN Lion SOUTH'!AS109</f>
        <v>1650</v>
      </c>
      <c r="AS107" s="113">
        <f>'GEN Lion NORTH'!AT109+'GEN Lion SOUTH'!AT109</f>
        <v>1756</v>
      </c>
      <c r="AT107" s="113">
        <f>'GEN Lion NORTH'!AU109+'GEN Lion SOUTH'!AU109</f>
        <v>1833</v>
      </c>
      <c r="AU107" s="113"/>
      <c r="AV107" s="113"/>
      <c r="AW107" s="113"/>
      <c r="AX107" s="113"/>
      <c r="AY107" s="113"/>
      <c r="AZ107" s="113"/>
      <c r="BA107" s="22">
        <f>INDEX(AO107:AQ107,IF($A$2&lt;3,$A$2,3))</f>
        <v>5661</v>
      </c>
      <c r="BB107" s="22">
        <f>INDEX(AR107:AT107,IF($A$2&lt;7,$A$2-3,3))</f>
        <v>1833</v>
      </c>
      <c r="BE107" s="22">
        <f>INDEX(AO107:AZ107,$A$2)</f>
        <v>0</v>
      </c>
      <c r="BF107" s="125">
        <f>AO107/N107</f>
        <v>2.5551669316375198</v>
      </c>
      <c r="BG107" s="31">
        <f t="shared" ref="BG107:BK112" si="212">AP107/O107</f>
        <v>1.8156005221932114</v>
      </c>
      <c r="BH107" s="31">
        <f t="shared" si="212"/>
        <v>1.7306634056863344</v>
      </c>
      <c r="BI107" s="31">
        <f t="shared" si="212"/>
        <v>0.49019607843137253</v>
      </c>
      <c r="BJ107" s="31">
        <f t="shared" si="212"/>
        <v>0.47369840841650929</v>
      </c>
      <c r="BK107" s="31">
        <f t="shared" si="212"/>
        <v>0.40769572953736655</v>
      </c>
      <c r="BR107" s="111">
        <f>BA107/INDEX(N107:P107,IF($A$2&lt;3,$A$2,3))</f>
        <v>1.7306634056863344</v>
      </c>
      <c r="BS107" s="111">
        <f>BB107/INDEX(Q107:S107,IF($A$2&lt;7,$A$2-3,3))</f>
        <v>0.40769572953736655</v>
      </c>
      <c r="BV107" s="111">
        <f t="shared" ref="BV107:BV112" si="213">BE107/Z107</f>
        <v>0</v>
      </c>
    </row>
    <row r="108" spans="1:74" hidden="1" outlineLevel="1" x14ac:dyDescent="0.25">
      <c r="A108" t="s">
        <v>34</v>
      </c>
      <c r="B108" s="6">
        <f>'Agency North'!C110+'Agency South'!C110</f>
        <v>107</v>
      </c>
      <c r="C108" s="6">
        <f>'Agency North'!D110+'Agency South'!D110</f>
        <v>123</v>
      </c>
      <c r="D108" s="6">
        <f>'Agency North'!E110+'Agency South'!E110</f>
        <v>136</v>
      </c>
      <c r="E108" s="6">
        <f>'Agency North'!F110+'Agency South'!F110</f>
        <v>134</v>
      </c>
      <c r="F108" s="6">
        <f>'Agency North'!G110+'Agency South'!G110</f>
        <v>138</v>
      </c>
      <c r="G108" s="6">
        <f>'Agency North'!H110+'Agency South'!H110</f>
        <v>123</v>
      </c>
      <c r="H108" s="6">
        <f>'Agency North'!I110+'Agency South'!I110</f>
        <v>108</v>
      </c>
      <c r="I108" s="6">
        <f>'Agency North'!J110+'Agency South'!J110</f>
        <v>102</v>
      </c>
      <c r="J108" s="6">
        <f>'Agency North'!K110+'Agency South'!K110</f>
        <v>102</v>
      </c>
      <c r="K108" s="6">
        <f>'Agency North'!L110+'Agency South'!L110</f>
        <v>118</v>
      </c>
      <c r="L108" s="6">
        <f>'Agency North'!M110+'Agency South'!M110</f>
        <v>133</v>
      </c>
      <c r="M108" s="6">
        <f>'Agency North'!N110+'Agency South'!N110</f>
        <v>137</v>
      </c>
      <c r="N108" s="6">
        <f>'Agency North'!O110+'Agency South'!O110</f>
        <v>145</v>
      </c>
      <c r="O108" s="6">
        <f>'Agency North'!P110+'Agency South'!P110</f>
        <v>157</v>
      </c>
      <c r="P108" s="6">
        <f>'Agency North'!Q110+'Agency South'!Q110</f>
        <v>171</v>
      </c>
      <c r="Q108" s="6">
        <f>'Agency North'!R110+'Agency South'!R110</f>
        <v>204</v>
      </c>
      <c r="R108" s="6">
        <f>'Agency North'!S110+'Agency South'!S110</f>
        <v>209</v>
      </c>
      <c r="S108" s="6">
        <f>'Agency North'!T110+'Agency South'!T110</f>
        <v>201</v>
      </c>
      <c r="T108" s="6">
        <f>'Agency North'!U110+'Agency South'!U110</f>
        <v>208</v>
      </c>
      <c r="U108" s="6">
        <f>'Agency North'!V110+'Agency South'!V110</f>
        <v>238</v>
      </c>
      <c r="V108" s="6">
        <f>'Agency North'!W110+'Agency South'!W110</f>
        <v>261</v>
      </c>
      <c r="W108" s="6">
        <f>'Agency North'!X110+'Agency South'!X110</f>
        <v>285</v>
      </c>
      <c r="X108" s="6">
        <f>'Agency North'!Y110+'Agency South'!Y110</f>
        <v>291</v>
      </c>
      <c r="Y108" s="6">
        <f>'Agency North'!Z110+'Agency South'!Z110</f>
        <v>321</v>
      </c>
      <c r="Z108" s="22">
        <f t="shared" ref="Z108:Z114" si="214">INDEX($N108:$Y108,$A$2)</f>
        <v>208</v>
      </c>
      <c r="AA108" s="22">
        <f>P108</f>
        <v>171</v>
      </c>
      <c r="AB108" s="22">
        <f>S108</f>
        <v>201</v>
      </c>
      <c r="AC108" s="22">
        <f t="shared" si="205"/>
        <v>208</v>
      </c>
      <c r="AD108" s="22">
        <f>Y108</f>
        <v>321</v>
      </c>
      <c r="AE108" s="22">
        <f t="shared" ref="AE108:AE114" si="215">INDEX($B108:$M108,$A$2)</f>
        <v>108</v>
      </c>
      <c r="AF108" s="22">
        <f t="shared" si="207"/>
        <v>136</v>
      </c>
      <c r="AG108" s="22">
        <f t="shared" si="208"/>
        <v>123</v>
      </c>
      <c r="AH108" s="22">
        <f t="shared" si="209"/>
        <v>102</v>
      </c>
      <c r="AI108" s="22">
        <f t="shared" si="210"/>
        <v>137</v>
      </c>
      <c r="AJ108" s="31">
        <f t="shared" ref="AJ108:AJ114" si="216">Z108/AE108-1</f>
        <v>0.92592592592592582</v>
      </c>
      <c r="AK108" s="31">
        <f t="shared" si="211"/>
        <v>0.25735294117647056</v>
      </c>
      <c r="AL108" s="31">
        <f t="shared" si="211"/>
        <v>0.63414634146341453</v>
      </c>
      <c r="AM108" s="31">
        <f t="shared" si="211"/>
        <v>1.0392156862745097</v>
      </c>
      <c r="AN108" s="31">
        <f t="shared" si="211"/>
        <v>1.3430656934306571</v>
      </c>
      <c r="AO108" s="113">
        <f>'GEN Lion NORTH'!AP110+'GEN Lion SOUTH'!AP110</f>
        <v>338</v>
      </c>
      <c r="AP108" s="113">
        <f>'GEN Lion NORTH'!AQ110+'GEN Lion SOUTH'!AQ110</f>
        <v>369</v>
      </c>
      <c r="AQ108" s="113">
        <f>'GEN Lion NORTH'!AR110+'GEN Lion SOUTH'!AR110</f>
        <v>412</v>
      </c>
      <c r="AR108" s="113">
        <f>'GEN Lion NORTH'!AS110+'GEN Lion SOUTH'!AS110</f>
        <v>131</v>
      </c>
      <c r="AS108" s="113">
        <f>'GEN Lion NORTH'!AT110+'GEN Lion SOUTH'!AT110</f>
        <v>146</v>
      </c>
      <c r="AT108" s="113">
        <f>'GEN Lion NORTH'!AU110+'GEN Lion SOUTH'!AU110</f>
        <v>143</v>
      </c>
      <c r="AU108" s="113"/>
      <c r="AV108" s="113"/>
      <c r="AW108" s="113"/>
      <c r="AX108" s="113"/>
      <c r="AY108" s="113"/>
      <c r="AZ108" s="113"/>
      <c r="BA108" s="22">
        <f t="shared" ref="BA108:BA112" si="217">INDEX(AO108:AQ108,IF($A$2&lt;3,$A$2,3))</f>
        <v>412</v>
      </c>
      <c r="BB108" s="18">
        <f t="shared" ref="BB108:BB113" si="218">INDEX(AR108:AT108,IF($A$2&lt;7,$A$2-3,3))</f>
        <v>143</v>
      </c>
      <c r="BE108" s="22">
        <f t="shared" ref="BE108:BE112" si="219">INDEX(AO108:AZ108,$A$2)</f>
        <v>0</v>
      </c>
      <c r="BF108" s="125">
        <f t="shared" ref="BF108:BF112" si="220">AO108/N108</f>
        <v>2.3310344827586209</v>
      </c>
      <c r="BG108" s="31">
        <f t="shared" si="212"/>
        <v>2.3503184713375798</v>
      </c>
      <c r="BH108" s="31">
        <f t="shared" si="212"/>
        <v>2.4093567251461989</v>
      </c>
      <c r="BI108" s="31">
        <f t="shared" si="212"/>
        <v>0.64215686274509809</v>
      </c>
      <c r="BJ108" s="31">
        <f t="shared" si="212"/>
        <v>0.69856459330143539</v>
      </c>
      <c r="BK108" s="31">
        <f t="shared" si="212"/>
        <v>0.71144278606965172</v>
      </c>
      <c r="BR108" s="111">
        <f t="shared" ref="BR108:BR112" si="221">BA108/INDEX(N108:P108,IF($A$2&lt;3,$A$2,3))</f>
        <v>2.4093567251461989</v>
      </c>
      <c r="BS108" s="111">
        <f t="shared" ref="BS108:BS114" si="222">BB108/INDEX(Q108:S108,IF($A$2&lt;7,$A$2-3,3))</f>
        <v>0.71144278606965172</v>
      </c>
      <c r="BV108" s="111">
        <f t="shared" si="213"/>
        <v>0</v>
      </c>
    </row>
    <row r="109" spans="1:74" hidden="1" outlineLevel="1" x14ac:dyDescent="0.25">
      <c r="A109" t="s">
        <v>35</v>
      </c>
      <c r="B109" s="6">
        <f>'Agency North'!C111+'Agency South'!C111</f>
        <v>334</v>
      </c>
      <c r="C109" s="6">
        <f>'Agency North'!D111+'Agency South'!D111</f>
        <v>348</v>
      </c>
      <c r="D109" s="6">
        <f>'Agency North'!E111+'Agency South'!E111</f>
        <v>379</v>
      </c>
      <c r="E109" s="6">
        <f>'Agency North'!F111+'Agency South'!F111</f>
        <v>435</v>
      </c>
      <c r="F109" s="6">
        <f>'Agency North'!G111+'Agency South'!G111</f>
        <v>465</v>
      </c>
      <c r="G109" s="6">
        <f>'Agency North'!H111+'Agency South'!H111</f>
        <v>455</v>
      </c>
      <c r="H109" s="6">
        <f>'Agency North'!I111+'Agency South'!I111</f>
        <v>469</v>
      </c>
      <c r="I109" s="6">
        <f>'Agency North'!J111+'Agency South'!J111</f>
        <v>471</v>
      </c>
      <c r="J109" s="6">
        <f>'Agency North'!K111+'Agency South'!K111</f>
        <v>526</v>
      </c>
      <c r="K109" s="6">
        <f>'Agency North'!L111+'Agency South'!L111</f>
        <v>552</v>
      </c>
      <c r="L109" s="6">
        <f>'Agency North'!M111+'Agency South'!M111</f>
        <v>571</v>
      </c>
      <c r="M109" s="6">
        <f>'Agency North'!N111+'Agency South'!N111</f>
        <v>560</v>
      </c>
      <c r="N109" s="6">
        <f>'Agency North'!O111+'Agency South'!O111</f>
        <v>562</v>
      </c>
      <c r="O109" s="6">
        <f>'Agency North'!P111+'Agency South'!P111</f>
        <v>542</v>
      </c>
      <c r="P109" s="6">
        <f>'Agency North'!Q111+'Agency South'!Q111</f>
        <v>565</v>
      </c>
      <c r="Q109" s="6">
        <f>'Agency North'!R111+'Agency South'!R111</f>
        <v>595</v>
      </c>
      <c r="R109" s="6">
        <f>'Agency North'!S111+'Agency South'!S111</f>
        <v>652</v>
      </c>
      <c r="S109" s="6">
        <f>'Agency North'!T111+'Agency South'!T111</f>
        <v>727</v>
      </c>
      <c r="T109" s="6">
        <f>'Agency North'!U111+'Agency South'!U111</f>
        <v>719</v>
      </c>
      <c r="U109" s="6">
        <f>'Agency North'!V111+'Agency South'!V111</f>
        <v>784</v>
      </c>
      <c r="V109" s="6">
        <f>'Agency North'!W111+'Agency South'!W111</f>
        <v>867</v>
      </c>
      <c r="W109" s="6">
        <f>'Agency North'!X111+'Agency South'!X111</f>
        <v>953</v>
      </c>
      <c r="X109" s="6">
        <f>'Agency North'!Y111+'Agency South'!Y111</f>
        <v>1035</v>
      </c>
      <c r="Y109" s="6">
        <f>'Agency North'!Z111+'Agency South'!Z111</f>
        <v>1093</v>
      </c>
      <c r="Z109" s="22">
        <f t="shared" si="214"/>
        <v>719</v>
      </c>
      <c r="AA109" s="22">
        <f t="shared" ref="AA109:AA114" si="223">P109</f>
        <v>565</v>
      </c>
      <c r="AB109" s="22">
        <f t="shared" ref="AB109:AB114" si="224">S109</f>
        <v>727</v>
      </c>
      <c r="AC109" s="22">
        <f t="shared" si="205"/>
        <v>719</v>
      </c>
      <c r="AD109" s="22">
        <f t="shared" ref="AD109:AD114" si="225">Y109</f>
        <v>1093</v>
      </c>
      <c r="AE109" s="22">
        <f t="shared" si="215"/>
        <v>469</v>
      </c>
      <c r="AF109" s="22">
        <f t="shared" si="207"/>
        <v>379</v>
      </c>
      <c r="AG109" s="22">
        <f t="shared" si="208"/>
        <v>455</v>
      </c>
      <c r="AH109" s="22">
        <f t="shared" si="209"/>
        <v>526</v>
      </c>
      <c r="AI109" s="22">
        <f t="shared" si="210"/>
        <v>560</v>
      </c>
      <c r="AJ109" s="31">
        <f t="shared" si="216"/>
        <v>0.53304904051172697</v>
      </c>
      <c r="AK109" s="31">
        <f t="shared" si="211"/>
        <v>0.49076517150395782</v>
      </c>
      <c r="AL109" s="31">
        <f t="shared" si="211"/>
        <v>0.5978021978021979</v>
      </c>
      <c r="AM109" s="31">
        <f t="shared" si="211"/>
        <v>0.36692015209125484</v>
      </c>
      <c r="AN109" s="31">
        <f t="shared" si="211"/>
        <v>0.95178571428571423</v>
      </c>
      <c r="AO109" s="113">
        <f>'GEN Lion NORTH'!AP111+'GEN Lion SOUTH'!AP111</f>
        <v>1078</v>
      </c>
      <c r="AP109" s="113">
        <f>'GEN Lion NORTH'!AQ111+'GEN Lion SOUTH'!AQ111</f>
        <v>1137</v>
      </c>
      <c r="AQ109" s="113">
        <f>'GEN Lion NORTH'!AR111+'GEN Lion SOUTH'!AR111</f>
        <v>1116</v>
      </c>
      <c r="AR109" s="113">
        <f>'GEN Lion NORTH'!AS111+'GEN Lion SOUTH'!AS111</f>
        <v>336</v>
      </c>
      <c r="AS109" s="113">
        <f>'GEN Lion NORTH'!AT111+'GEN Lion SOUTH'!AT111</f>
        <v>325</v>
      </c>
      <c r="AT109" s="113">
        <f>'GEN Lion NORTH'!AU111+'GEN Lion SOUTH'!AU111</f>
        <v>316</v>
      </c>
      <c r="AU109" s="113"/>
      <c r="AV109" s="113"/>
      <c r="AW109" s="113"/>
      <c r="AX109" s="113"/>
      <c r="AY109" s="113"/>
      <c r="AZ109" s="113"/>
      <c r="BA109" s="22">
        <f t="shared" si="217"/>
        <v>1116</v>
      </c>
      <c r="BB109" s="18">
        <f t="shared" si="218"/>
        <v>316</v>
      </c>
      <c r="BE109" s="22">
        <f t="shared" si="219"/>
        <v>0</v>
      </c>
      <c r="BF109" s="125">
        <f t="shared" si="220"/>
        <v>1.9181494661921707</v>
      </c>
      <c r="BG109" s="31">
        <f t="shared" si="212"/>
        <v>2.0977859778597785</v>
      </c>
      <c r="BH109" s="31">
        <f t="shared" si="212"/>
        <v>1.975221238938053</v>
      </c>
      <c r="BI109" s="31">
        <f t="shared" si="212"/>
        <v>0.56470588235294117</v>
      </c>
      <c r="BJ109" s="31">
        <f t="shared" si="212"/>
        <v>0.49846625766871167</v>
      </c>
      <c r="BK109" s="31">
        <f t="shared" si="212"/>
        <v>0.43466299862448421</v>
      </c>
      <c r="BR109" s="111">
        <f t="shared" si="221"/>
        <v>1.975221238938053</v>
      </c>
      <c r="BS109" s="111">
        <f t="shared" si="222"/>
        <v>0.43466299862448421</v>
      </c>
      <c r="BV109" s="111">
        <f t="shared" si="213"/>
        <v>0</v>
      </c>
    </row>
    <row r="110" spans="1:74" hidden="1" outlineLevel="1" x14ac:dyDescent="0.25">
      <c r="A110" t="s">
        <v>36</v>
      </c>
      <c r="B110" s="6">
        <f>'Agency North'!C112+'Agency South'!C112</f>
        <v>111</v>
      </c>
      <c r="C110" s="6">
        <f>'Agency North'!D112+'Agency South'!D112</f>
        <v>113</v>
      </c>
      <c r="D110" s="6">
        <f>'Agency North'!E112+'Agency South'!E112</f>
        <v>125</v>
      </c>
      <c r="E110" s="6">
        <f>'Agency North'!F112+'Agency South'!F112</f>
        <v>152</v>
      </c>
      <c r="F110" s="6">
        <f>'Agency North'!G112+'Agency South'!G112</f>
        <v>162</v>
      </c>
      <c r="G110" s="6">
        <f>'Agency North'!H112+'Agency South'!H112</f>
        <v>170</v>
      </c>
      <c r="H110" s="6">
        <f>'Agency North'!I112+'Agency South'!I112</f>
        <v>178</v>
      </c>
      <c r="I110" s="6">
        <f>'Agency North'!J112+'Agency South'!J112</f>
        <v>175</v>
      </c>
      <c r="J110" s="6">
        <f>'Agency North'!K112+'Agency South'!K112</f>
        <v>191</v>
      </c>
      <c r="K110" s="6">
        <f>'Agency North'!L112+'Agency South'!L112</f>
        <v>200</v>
      </c>
      <c r="L110" s="6">
        <f>'Agency North'!M112+'Agency South'!M112</f>
        <v>198</v>
      </c>
      <c r="M110" s="6">
        <f>'Agency North'!N112+'Agency South'!N112</f>
        <v>198</v>
      </c>
      <c r="N110" s="6">
        <f>'Agency North'!O112+'Agency South'!O112</f>
        <v>204</v>
      </c>
      <c r="O110" s="6">
        <f>'Agency North'!P112+'Agency South'!P112</f>
        <v>205</v>
      </c>
      <c r="P110" s="6">
        <f>'Agency North'!Q112+'Agency South'!Q112</f>
        <v>216</v>
      </c>
      <c r="Q110" s="6">
        <f>'Agency North'!R112+'Agency South'!R112</f>
        <v>235</v>
      </c>
      <c r="R110" s="6">
        <f>'Agency North'!S112+'Agency South'!S112</f>
        <v>255</v>
      </c>
      <c r="S110" s="6">
        <f>'Agency North'!T112+'Agency South'!T112</f>
        <v>277</v>
      </c>
      <c r="T110" s="6">
        <f>'Agency North'!U112+'Agency South'!U112</f>
        <v>282</v>
      </c>
      <c r="U110" s="6">
        <f>'Agency North'!V112+'Agency South'!V112</f>
        <v>297</v>
      </c>
      <c r="V110" s="6">
        <f>'Agency North'!W112+'Agency South'!W112</f>
        <v>326</v>
      </c>
      <c r="W110" s="6">
        <f>'Agency North'!X112+'Agency South'!X112</f>
        <v>340</v>
      </c>
      <c r="X110" s="6">
        <f>'Agency North'!Y112+'Agency South'!Y112</f>
        <v>367</v>
      </c>
      <c r="Y110" s="6">
        <f>'Agency North'!Z112+'Agency South'!Z112</f>
        <v>393</v>
      </c>
      <c r="Z110" s="22">
        <f t="shared" si="214"/>
        <v>282</v>
      </c>
      <c r="AA110" s="22">
        <f t="shared" si="223"/>
        <v>216</v>
      </c>
      <c r="AB110" s="22">
        <f t="shared" si="224"/>
        <v>277</v>
      </c>
      <c r="AC110" s="22">
        <f t="shared" si="205"/>
        <v>282</v>
      </c>
      <c r="AD110" s="22">
        <f t="shared" si="225"/>
        <v>393</v>
      </c>
      <c r="AE110" s="22">
        <f t="shared" si="215"/>
        <v>178</v>
      </c>
      <c r="AF110" s="22">
        <f t="shared" si="207"/>
        <v>125</v>
      </c>
      <c r="AG110" s="22">
        <f t="shared" si="208"/>
        <v>170</v>
      </c>
      <c r="AH110" s="22">
        <f t="shared" si="209"/>
        <v>191</v>
      </c>
      <c r="AI110" s="22">
        <f t="shared" si="210"/>
        <v>198</v>
      </c>
      <c r="AJ110" s="31">
        <f t="shared" si="216"/>
        <v>0.58426966292134841</v>
      </c>
      <c r="AK110" s="31">
        <f t="shared" si="211"/>
        <v>0.72799999999999998</v>
      </c>
      <c r="AL110" s="31">
        <f t="shared" si="211"/>
        <v>0.62941176470588234</v>
      </c>
      <c r="AM110" s="31">
        <f t="shared" si="211"/>
        <v>0.47643979057591612</v>
      </c>
      <c r="AN110" s="31">
        <f t="shared" si="211"/>
        <v>0.98484848484848486</v>
      </c>
      <c r="AO110" s="113">
        <f>'GEN Lion NORTH'!AP112+'GEN Lion SOUTH'!AP112</f>
        <v>398</v>
      </c>
      <c r="AP110" s="113">
        <f>'GEN Lion NORTH'!AQ112+'GEN Lion SOUTH'!AQ112</f>
        <v>410</v>
      </c>
      <c r="AQ110" s="113">
        <f>'GEN Lion NORTH'!AR112+'GEN Lion SOUTH'!AR112</f>
        <v>393</v>
      </c>
      <c r="AR110" s="113">
        <f>'GEN Lion NORTH'!AS112+'GEN Lion SOUTH'!AS112</f>
        <v>147</v>
      </c>
      <c r="AS110" s="113">
        <f>'GEN Lion NORTH'!AT112+'GEN Lion SOUTH'!AT112</f>
        <v>144</v>
      </c>
      <c r="AT110" s="113">
        <f>'GEN Lion NORTH'!AU112+'GEN Lion SOUTH'!AU112</f>
        <v>134</v>
      </c>
      <c r="AU110" s="113"/>
      <c r="AV110" s="113"/>
      <c r="AW110" s="113"/>
      <c r="AX110" s="113"/>
      <c r="AY110" s="113"/>
      <c r="AZ110" s="113"/>
      <c r="BA110" s="22">
        <f t="shared" si="217"/>
        <v>393</v>
      </c>
      <c r="BB110" s="18">
        <f t="shared" si="218"/>
        <v>134</v>
      </c>
      <c r="BE110" s="22">
        <f t="shared" si="219"/>
        <v>0</v>
      </c>
      <c r="BF110" s="125">
        <f t="shared" si="220"/>
        <v>1.9509803921568627</v>
      </c>
      <c r="BG110" s="31">
        <f t="shared" si="212"/>
        <v>2</v>
      </c>
      <c r="BH110" s="31">
        <f t="shared" si="212"/>
        <v>1.8194444444444444</v>
      </c>
      <c r="BI110" s="31">
        <f t="shared" si="212"/>
        <v>0.62553191489361704</v>
      </c>
      <c r="BJ110" s="31">
        <f t="shared" si="212"/>
        <v>0.56470588235294117</v>
      </c>
      <c r="BK110" s="31">
        <f t="shared" si="212"/>
        <v>0.48375451263537905</v>
      </c>
      <c r="BR110" s="111">
        <f t="shared" si="221"/>
        <v>1.8194444444444444</v>
      </c>
      <c r="BS110" s="111">
        <f t="shared" si="222"/>
        <v>0.48375451263537905</v>
      </c>
      <c r="BV110" s="111">
        <f t="shared" si="213"/>
        <v>0</v>
      </c>
    </row>
    <row r="111" spans="1:74" hidden="1" outlineLevel="1" x14ac:dyDescent="0.25">
      <c r="A111" t="s">
        <v>37</v>
      </c>
      <c r="B111" s="6">
        <f>'Agency North'!C113+'Agency South'!C113</f>
        <v>63</v>
      </c>
      <c r="C111" s="6">
        <f>'Agency North'!D113+'Agency South'!D113</f>
        <v>64</v>
      </c>
      <c r="D111" s="6">
        <f>'Agency North'!E113+'Agency South'!E113</f>
        <v>70</v>
      </c>
      <c r="E111" s="6">
        <f>'Agency North'!F113+'Agency South'!F113</f>
        <v>76</v>
      </c>
      <c r="F111" s="6">
        <f>'Agency North'!G113+'Agency South'!G113</f>
        <v>77</v>
      </c>
      <c r="G111" s="6">
        <f>'Agency North'!H113+'Agency South'!H113</f>
        <v>76</v>
      </c>
      <c r="H111" s="6">
        <f>'Agency North'!I113+'Agency South'!I113</f>
        <v>75</v>
      </c>
      <c r="I111" s="6">
        <f>'Agency North'!J113+'Agency South'!J113</f>
        <v>71</v>
      </c>
      <c r="J111" s="6">
        <f>'Agency North'!K113+'Agency South'!K113</f>
        <v>72</v>
      </c>
      <c r="K111" s="6">
        <f>'Agency North'!L113+'Agency South'!L113</f>
        <v>72</v>
      </c>
      <c r="L111" s="6">
        <f>'Agency North'!M113+'Agency South'!M113</f>
        <v>68</v>
      </c>
      <c r="M111" s="6">
        <f>'Agency North'!N113+'Agency South'!N113</f>
        <v>68</v>
      </c>
      <c r="N111" s="6">
        <f>'Agency North'!O113+'Agency South'!O113</f>
        <v>70</v>
      </c>
      <c r="O111" s="6">
        <f>'Agency North'!P113+'Agency South'!P113</f>
        <v>67</v>
      </c>
      <c r="P111" s="6">
        <f>'Agency North'!Q113+'Agency South'!Q113</f>
        <v>68</v>
      </c>
      <c r="Q111" s="6">
        <f>'Agency North'!R113+'Agency South'!R113</f>
        <v>68</v>
      </c>
      <c r="R111" s="6">
        <f>'Agency North'!S113+'Agency South'!S113</f>
        <v>69</v>
      </c>
      <c r="S111" s="6">
        <f>'Agency North'!T113+'Agency South'!T113</f>
        <v>75</v>
      </c>
      <c r="T111" s="6">
        <f>'Agency North'!U113+'Agency South'!U113</f>
        <v>78</v>
      </c>
      <c r="U111" s="6">
        <f>'Agency North'!V113+'Agency South'!V113</f>
        <v>80</v>
      </c>
      <c r="V111" s="6">
        <f>'Agency North'!W113+'Agency South'!W113</f>
        <v>94</v>
      </c>
      <c r="W111" s="6">
        <f>'Agency North'!X113+'Agency South'!X113</f>
        <v>105</v>
      </c>
      <c r="X111" s="6">
        <f>'Agency North'!Y113+'Agency South'!Y113</f>
        <v>109</v>
      </c>
      <c r="Y111" s="6">
        <f>'Agency North'!Z113+'Agency South'!Z113</f>
        <v>109</v>
      </c>
      <c r="Z111" s="22">
        <f t="shared" si="214"/>
        <v>78</v>
      </c>
      <c r="AA111" s="22">
        <f t="shared" si="223"/>
        <v>68</v>
      </c>
      <c r="AB111" s="22">
        <f t="shared" si="224"/>
        <v>75</v>
      </c>
      <c r="AC111" s="22">
        <f t="shared" si="205"/>
        <v>78</v>
      </c>
      <c r="AD111" s="22">
        <f t="shared" si="225"/>
        <v>109</v>
      </c>
      <c r="AE111" s="22">
        <f t="shared" si="215"/>
        <v>75</v>
      </c>
      <c r="AF111" s="22">
        <f t="shared" si="207"/>
        <v>70</v>
      </c>
      <c r="AG111" s="22">
        <f t="shared" si="208"/>
        <v>76</v>
      </c>
      <c r="AH111" s="22">
        <f t="shared" si="209"/>
        <v>72</v>
      </c>
      <c r="AI111" s="22">
        <f t="shared" si="210"/>
        <v>68</v>
      </c>
      <c r="AJ111" s="31">
        <f t="shared" si="216"/>
        <v>4.0000000000000036E-2</v>
      </c>
      <c r="AK111" s="31">
        <f t="shared" si="211"/>
        <v>-2.8571428571428581E-2</v>
      </c>
      <c r="AL111" s="31">
        <f t="shared" si="211"/>
        <v>-1.3157894736842146E-2</v>
      </c>
      <c r="AM111" s="31">
        <f t="shared" si="211"/>
        <v>8.3333333333333259E-2</v>
      </c>
      <c r="AN111" s="31">
        <f t="shared" si="211"/>
        <v>0.60294117647058831</v>
      </c>
      <c r="AO111" s="113">
        <f>'GEN Lion NORTH'!AP113+'GEN Lion SOUTH'!AP113</f>
        <v>111</v>
      </c>
      <c r="AP111" s="113">
        <f>'GEN Lion NORTH'!AQ113+'GEN Lion SOUTH'!AQ113</f>
        <v>123</v>
      </c>
      <c r="AQ111" s="113">
        <f>'GEN Lion NORTH'!AR113+'GEN Lion SOUTH'!AR113</f>
        <v>122</v>
      </c>
      <c r="AR111" s="113">
        <f>'GEN Lion NORTH'!AS113+'GEN Lion SOUTH'!AS113</f>
        <v>42</v>
      </c>
      <c r="AS111" s="113">
        <f>'GEN Lion NORTH'!AT113+'GEN Lion SOUTH'!AT113</f>
        <v>43</v>
      </c>
      <c r="AT111" s="113">
        <f>'GEN Lion NORTH'!AU113+'GEN Lion SOUTH'!AU113</f>
        <v>42</v>
      </c>
      <c r="AU111" s="113"/>
      <c r="AV111" s="113"/>
      <c r="AW111" s="113"/>
      <c r="AX111" s="113"/>
      <c r="AY111" s="113"/>
      <c r="AZ111" s="113"/>
      <c r="BA111" s="22">
        <f t="shared" si="217"/>
        <v>122</v>
      </c>
      <c r="BB111" s="18">
        <f t="shared" si="218"/>
        <v>42</v>
      </c>
      <c r="BE111" s="22">
        <f t="shared" si="219"/>
        <v>0</v>
      </c>
      <c r="BF111" s="125">
        <f t="shared" si="220"/>
        <v>1.5857142857142856</v>
      </c>
      <c r="BG111" s="31">
        <f t="shared" si="212"/>
        <v>1.835820895522388</v>
      </c>
      <c r="BH111" s="31">
        <f t="shared" si="212"/>
        <v>1.7941176470588236</v>
      </c>
      <c r="BI111" s="31">
        <f t="shared" si="212"/>
        <v>0.61764705882352944</v>
      </c>
      <c r="BJ111" s="31">
        <f t="shared" si="212"/>
        <v>0.62318840579710144</v>
      </c>
      <c r="BK111" s="31">
        <f t="shared" si="212"/>
        <v>0.56000000000000005</v>
      </c>
      <c r="BR111" s="111">
        <f t="shared" si="221"/>
        <v>1.7941176470588236</v>
      </c>
      <c r="BS111" s="111">
        <f t="shared" si="222"/>
        <v>0.56000000000000005</v>
      </c>
      <c r="BV111" s="111">
        <f t="shared" si="213"/>
        <v>0</v>
      </c>
    </row>
    <row r="112" spans="1:74" hidden="1" outlineLevel="1" x14ac:dyDescent="0.25">
      <c r="A112" t="s">
        <v>38</v>
      </c>
      <c r="B112" s="6">
        <f>'Agency North'!C114+'Agency South'!C114</f>
        <v>11</v>
      </c>
      <c r="C112" s="6">
        <f>'Agency North'!D114+'Agency South'!D114</f>
        <v>12</v>
      </c>
      <c r="D112" s="6">
        <f>'Agency North'!E114+'Agency South'!E114</f>
        <v>13</v>
      </c>
      <c r="E112" s="6">
        <f>'Agency North'!F114+'Agency South'!F114</f>
        <v>18</v>
      </c>
      <c r="F112" s="6">
        <f>'Agency North'!G114+'Agency South'!G114</f>
        <v>21</v>
      </c>
      <c r="G112" s="6">
        <f>'Agency North'!H114+'Agency South'!H114</f>
        <v>22</v>
      </c>
      <c r="H112" s="6">
        <f>'Agency North'!I114+'Agency South'!I114</f>
        <v>25</v>
      </c>
      <c r="I112" s="6">
        <f>'Agency North'!J114+'Agency South'!J114</f>
        <v>27</v>
      </c>
      <c r="J112" s="6">
        <f>'Agency North'!K114+'Agency South'!K114</f>
        <v>30</v>
      </c>
      <c r="K112" s="6">
        <f>'Agency North'!L114+'Agency South'!L114</f>
        <v>30</v>
      </c>
      <c r="L112" s="6">
        <f>'Agency North'!M114+'Agency South'!M114</f>
        <v>30</v>
      </c>
      <c r="M112" s="6">
        <f>'Agency North'!N114+'Agency South'!N114</f>
        <v>31</v>
      </c>
      <c r="N112" s="6">
        <f>'Agency North'!O114+'Agency South'!O114</f>
        <v>32</v>
      </c>
      <c r="O112" s="6">
        <f>'Agency North'!P114+'Agency South'!P114</f>
        <v>33</v>
      </c>
      <c r="P112" s="6">
        <f>'Agency North'!Q114+'Agency South'!Q114</f>
        <v>36</v>
      </c>
      <c r="Q112" s="6">
        <f>'Agency North'!R114+'Agency South'!R114</f>
        <v>38</v>
      </c>
      <c r="R112" s="6">
        <f>'Agency North'!S114+'Agency South'!S114</f>
        <v>38</v>
      </c>
      <c r="S112" s="6">
        <f>'Agency North'!T114+'Agency South'!T114</f>
        <v>45</v>
      </c>
      <c r="T112" s="6">
        <f>'Agency North'!U114+'Agency South'!U114</f>
        <v>47</v>
      </c>
      <c r="U112" s="6">
        <f>'Agency North'!V114+'Agency South'!V114</f>
        <v>50</v>
      </c>
      <c r="V112" s="6">
        <f>'Agency North'!W114+'Agency South'!W114</f>
        <v>56</v>
      </c>
      <c r="W112" s="6">
        <f>'Agency North'!X114+'Agency South'!X114</f>
        <v>60</v>
      </c>
      <c r="X112" s="6">
        <f>'Agency North'!Y114+'Agency South'!Y114</f>
        <v>64</v>
      </c>
      <c r="Y112" s="6">
        <f>'Agency North'!Z114+'Agency South'!Z114</f>
        <v>68</v>
      </c>
      <c r="Z112" s="22">
        <f t="shared" si="214"/>
        <v>47</v>
      </c>
      <c r="AA112" s="22">
        <f t="shared" si="223"/>
        <v>36</v>
      </c>
      <c r="AB112" s="22">
        <f t="shared" si="224"/>
        <v>45</v>
      </c>
      <c r="AC112" s="22">
        <f t="shared" si="205"/>
        <v>47</v>
      </c>
      <c r="AD112" s="22">
        <f t="shared" si="225"/>
        <v>68</v>
      </c>
      <c r="AE112" s="22">
        <f t="shared" si="215"/>
        <v>25</v>
      </c>
      <c r="AF112" s="22">
        <f t="shared" si="207"/>
        <v>13</v>
      </c>
      <c r="AG112" s="22">
        <f t="shared" si="208"/>
        <v>22</v>
      </c>
      <c r="AH112" s="22">
        <f t="shared" si="209"/>
        <v>30</v>
      </c>
      <c r="AI112" s="22">
        <f t="shared" si="210"/>
        <v>31</v>
      </c>
      <c r="AJ112" s="31">
        <f t="shared" si="216"/>
        <v>0.87999999999999989</v>
      </c>
      <c r="AK112" s="31">
        <f t="shared" si="211"/>
        <v>1.7692307692307692</v>
      </c>
      <c r="AL112" s="31">
        <f t="shared" si="211"/>
        <v>1.0454545454545454</v>
      </c>
      <c r="AM112" s="31">
        <f t="shared" si="211"/>
        <v>0.56666666666666665</v>
      </c>
      <c r="AN112" s="31">
        <f t="shared" si="211"/>
        <v>1.193548387096774</v>
      </c>
      <c r="AO112" s="113">
        <f>'GEN Lion NORTH'!AP114+'GEN Lion SOUTH'!AP114</f>
        <v>69</v>
      </c>
      <c r="AP112" s="113">
        <f>'GEN Lion NORTH'!AQ114+'GEN Lion SOUTH'!AQ114</f>
        <v>74</v>
      </c>
      <c r="AQ112" s="113">
        <f>'GEN Lion NORTH'!AR114+'GEN Lion SOUTH'!AR114</f>
        <v>73</v>
      </c>
      <c r="AR112" s="113">
        <f>'GEN Lion NORTH'!AS114+'GEN Lion SOUTH'!AS114</f>
        <v>21</v>
      </c>
      <c r="AS112" s="113">
        <f>'GEN Lion NORTH'!AT114+'GEN Lion SOUTH'!AT114</f>
        <v>22</v>
      </c>
      <c r="AT112" s="113">
        <f>'GEN Lion NORTH'!AU114+'GEN Lion SOUTH'!AU114</f>
        <v>23</v>
      </c>
      <c r="AU112" s="113"/>
      <c r="AV112" s="113"/>
      <c r="AW112" s="113"/>
      <c r="AX112" s="113"/>
      <c r="AY112" s="113"/>
      <c r="AZ112" s="113"/>
      <c r="BA112" s="22">
        <f t="shared" si="217"/>
        <v>73</v>
      </c>
      <c r="BB112" s="18">
        <f t="shared" si="218"/>
        <v>23</v>
      </c>
      <c r="BE112" s="22">
        <f t="shared" si="219"/>
        <v>0</v>
      </c>
      <c r="BF112" s="125">
        <f t="shared" si="220"/>
        <v>2.15625</v>
      </c>
      <c r="BG112" s="31">
        <f t="shared" si="212"/>
        <v>2.2424242424242422</v>
      </c>
      <c r="BH112" s="31">
        <f t="shared" si="212"/>
        <v>2.0277777777777777</v>
      </c>
      <c r="BI112" s="31">
        <f t="shared" si="212"/>
        <v>0.55263157894736847</v>
      </c>
      <c r="BJ112" s="31">
        <f t="shared" si="212"/>
        <v>0.57894736842105265</v>
      </c>
      <c r="BK112" s="31">
        <f t="shared" si="212"/>
        <v>0.51111111111111107</v>
      </c>
      <c r="BR112" s="111">
        <f t="shared" si="221"/>
        <v>2.0277777777777777</v>
      </c>
      <c r="BS112" s="111">
        <f t="shared" si="222"/>
        <v>0.51111111111111107</v>
      </c>
      <c r="BV112" s="111">
        <f t="shared" si="213"/>
        <v>0</v>
      </c>
    </row>
    <row r="113" spans="1:77" hidden="1" outlineLevel="1" x14ac:dyDescent="0.25">
      <c r="A113" s="135" t="s">
        <v>136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31"/>
      <c r="AK113" s="31"/>
      <c r="AL113" s="31"/>
      <c r="AM113" s="31"/>
      <c r="AN113" s="31"/>
      <c r="AO113" s="113"/>
      <c r="AP113" s="113">
        <f>'GEN Lion NORTH'!AQ115+'GEN Lion SOUTH'!AQ115</f>
        <v>2354</v>
      </c>
      <c r="AQ113" s="113">
        <f>'GEN Lion NORTH'!AR115+'GEN Lion SOUTH'!AR115</f>
        <v>2611</v>
      </c>
      <c r="AR113" s="113">
        <f>'GEN Lion NORTH'!AS115+'GEN Lion SOUTH'!AS115</f>
        <v>1130</v>
      </c>
      <c r="AS113" s="113">
        <f>'GEN Lion NORTH'!AT115+'GEN Lion SOUTH'!AT115</f>
        <v>1301</v>
      </c>
      <c r="AT113" s="113">
        <f>'GEN Lion NORTH'!AU115+'GEN Lion SOUTH'!AU115</f>
        <v>1550</v>
      </c>
      <c r="AU113" s="113"/>
      <c r="AV113" s="113"/>
      <c r="AW113" s="113"/>
      <c r="AX113" s="113"/>
      <c r="AY113" s="113"/>
      <c r="AZ113" s="113"/>
      <c r="BA113" s="22"/>
      <c r="BB113" s="18">
        <f t="shared" si="218"/>
        <v>1550</v>
      </c>
      <c r="BE113" s="22"/>
      <c r="BF113" s="125"/>
      <c r="BG113" s="31"/>
      <c r="BH113" s="31"/>
      <c r="BI113" s="31"/>
      <c r="BJ113" s="31"/>
      <c r="BK113" s="31"/>
      <c r="BR113" s="111"/>
      <c r="BS113" s="111"/>
      <c r="BV113" s="111"/>
    </row>
    <row r="114" spans="1:77" s="17" customFormat="1" hidden="1" outlineLevel="1" x14ac:dyDescent="0.25">
      <c r="A114" s="1" t="s">
        <v>137</v>
      </c>
      <c r="B114" s="7">
        <f t="shared" ref="B114:Y114" si="226">SUM(B107:B112)</f>
        <v>2496</v>
      </c>
      <c r="C114" s="7">
        <f t="shared" si="226"/>
        <v>2586</v>
      </c>
      <c r="D114" s="7">
        <f t="shared" si="226"/>
        <v>2808</v>
      </c>
      <c r="E114" s="7">
        <f t="shared" si="226"/>
        <v>3135</v>
      </c>
      <c r="F114" s="7">
        <f t="shared" si="226"/>
        <v>3049</v>
      </c>
      <c r="G114" s="7">
        <f t="shared" si="226"/>
        <v>3106</v>
      </c>
      <c r="H114" s="7">
        <f t="shared" si="226"/>
        <v>3135</v>
      </c>
      <c r="I114" s="7">
        <f t="shared" si="226"/>
        <v>3323</v>
      </c>
      <c r="J114" s="7">
        <f t="shared" si="226"/>
        <v>3466</v>
      </c>
      <c r="K114" s="7">
        <f t="shared" si="226"/>
        <v>3654</v>
      </c>
      <c r="L114" s="7">
        <f t="shared" si="226"/>
        <v>4005</v>
      </c>
      <c r="M114" s="7">
        <f t="shared" si="226"/>
        <v>4120</v>
      </c>
      <c r="N114" s="7">
        <f t="shared" si="226"/>
        <v>4158</v>
      </c>
      <c r="O114" s="7">
        <f t="shared" si="226"/>
        <v>4068</v>
      </c>
      <c r="P114" s="7">
        <f t="shared" si="226"/>
        <v>4327</v>
      </c>
      <c r="Q114" s="7">
        <f t="shared" si="226"/>
        <v>4506</v>
      </c>
      <c r="R114" s="7">
        <f t="shared" si="226"/>
        <v>4930</v>
      </c>
      <c r="S114" s="7">
        <f t="shared" si="226"/>
        <v>5821</v>
      </c>
      <c r="T114" s="7">
        <f t="shared" si="226"/>
        <v>6335</v>
      </c>
      <c r="U114" s="7">
        <f t="shared" si="226"/>
        <v>6970</v>
      </c>
      <c r="V114" s="7">
        <f t="shared" si="226"/>
        <v>7706</v>
      </c>
      <c r="W114" s="7">
        <f t="shared" si="226"/>
        <v>8408</v>
      </c>
      <c r="X114" s="7">
        <f t="shared" si="226"/>
        <v>9051</v>
      </c>
      <c r="Y114" s="7">
        <f t="shared" si="226"/>
        <v>9845</v>
      </c>
      <c r="Z114" s="27">
        <f t="shared" si="214"/>
        <v>6335</v>
      </c>
      <c r="AA114" s="27">
        <f t="shared" si="223"/>
        <v>4327</v>
      </c>
      <c r="AB114" s="27">
        <f t="shared" si="224"/>
        <v>5821</v>
      </c>
      <c r="AC114" s="27">
        <f>SUM(AC107:AC112)</f>
        <v>6335</v>
      </c>
      <c r="AD114" s="27">
        <f t="shared" si="225"/>
        <v>9845</v>
      </c>
      <c r="AE114" s="27">
        <f t="shared" si="215"/>
        <v>3135</v>
      </c>
      <c r="AF114" s="27">
        <f t="shared" si="207"/>
        <v>2808</v>
      </c>
      <c r="AG114" s="27">
        <f t="shared" si="208"/>
        <v>3106</v>
      </c>
      <c r="AH114" s="27">
        <f t="shared" si="209"/>
        <v>3466</v>
      </c>
      <c r="AI114" s="27">
        <f t="shared" si="210"/>
        <v>4120</v>
      </c>
      <c r="AJ114" s="32">
        <f t="shared" si="216"/>
        <v>1.0207336523125998</v>
      </c>
      <c r="AK114" s="32">
        <f t="shared" si="211"/>
        <v>0.54095441595441596</v>
      </c>
      <c r="AL114" s="32">
        <f t="shared" si="211"/>
        <v>0.87411461687057312</v>
      </c>
      <c r="AM114" s="32">
        <f t="shared" si="211"/>
        <v>0.82775533756491626</v>
      </c>
      <c r="AN114" s="32">
        <f t="shared" si="211"/>
        <v>1.3895631067961167</v>
      </c>
      <c r="AO114" s="114">
        <f t="shared" ref="AO114:BE114" si="227">SUM(AO107:AO112)</f>
        <v>10030</v>
      </c>
      <c r="AP114" s="114">
        <f t="shared" si="227"/>
        <v>7676</v>
      </c>
      <c r="AQ114" s="114">
        <f t="shared" si="227"/>
        <v>7777</v>
      </c>
      <c r="AR114" s="114">
        <f t="shared" si="227"/>
        <v>2327</v>
      </c>
      <c r="AS114" s="114">
        <f t="shared" si="227"/>
        <v>2436</v>
      </c>
      <c r="AT114" s="114">
        <f t="shared" si="227"/>
        <v>2491</v>
      </c>
      <c r="AU114" s="114">
        <f t="shared" si="227"/>
        <v>0</v>
      </c>
      <c r="AV114" s="114">
        <f t="shared" si="227"/>
        <v>0</v>
      </c>
      <c r="AW114" s="114">
        <f t="shared" si="227"/>
        <v>0</v>
      </c>
      <c r="AX114" s="114">
        <f t="shared" si="227"/>
        <v>0</v>
      </c>
      <c r="AY114" s="114">
        <f t="shared" si="227"/>
        <v>0</v>
      </c>
      <c r="AZ114" s="114">
        <f t="shared" si="227"/>
        <v>0</v>
      </c>
      <c r="BA114" s="114">
        <f t="shared" si="227"/>
        <v>7777</v>
      </c>
      <c r="BB114" s="114">
        <f t="shared" si="227"/>
        <v>2491</v>
      </c>
      <c r="BC114" s="114">
        <f t="shared" si="227"/>
        <v>0</v>
      </c>
      <c r="BD114" s="114">
        <f t="shared" si="227"/>
        <v>0</v>
      </c>
      <c r="BE114" s="114">
        <f t="shared" si="227"/>
        <v>0</v>
      </c>
      <c r="BF114" s="134">
        <f t="shared" ref="BF114:BK114" si="228">AO114/N114</f>
        <v>2.4122174122174123</v>
      </c>
      <c r="BG114" s="32">
        <f t="shared" si="228"/>
        <v>1.8869223205506391</v>
      </c>
      <c r="BH114" s="32">
        <f t="shared" si="228"/>
        <v>1.7973191587705108</v>
      </c>
      <c r="BI114" s="32">
        <f t="shared" si="228"/>
        <v>0.51642254771415885</v>
      </c>
      <c r="BJ114" s="32">
        <f t="shared" si="228"/>
        <v>0.49411764705882355</v>
      </c>
      <c r="BK114" s="32">
        <f t="shared" si="228"/>
        <v>0.42793334478611922</v>
      </c>
      <c r="BL114" s="37"/>
      <c r="BM114" s="37"/>
      <c r="BN114" s="37"/>
      <c r="BO114" s="37"/>
      <c r="BP114" s="37"/>
      <c r="BQ114" s="37"/>
      <c r="BR114" s="118">
        <f t="shared" ref="BR114" si="229">BA114/INDEX(N114:P114,IF($A$2&lt;3,$A$2,3))</f>
        <v>1.7973191587705108</v>
      </c>
      <c r="BS114" s="111">
        <f t="shared" si="222"/>
        <v>0.42793334478611922</v>
      </c>
      <c r="BT114" s="37"/>
      <c r="BU114" s="37"/>
      <c r="BV114" s="118">
        <f t="shared" ref="BV114" si="230">BE114/Z114</f>
        <v>0</v>
      </c>
    </row>
    <row r="115" spans="1:77" hidden="1" outlineLevel="1" x14ac:dyDescent="0.25">
      <c r="B115" s="6">
        <f t="shared" ref="B115:S115" si="231">B24</f>
        <v>2496</v>
      </c>
      <c r="C115" s="6">
        <f t="shared" si="231"/>
        <v>2586</v>
      </c>
      <c r="D115" s="6">
        <f t="shared" si="231"/>
        <v>2805</v>
      </c>
      <c r="E115" s="6">
        <f t="shared" si="231"/>
        <v>3133</v>
      </c>
      <c r="F115" s="6">
        <f t="shared" si="231"/>
        <v>3046</v>
      </c>
      <c r="G115" s="6">
        <f t="shared" si="231"/>
        <v>3101</v>
      </c>
      <c r="H115" s="6">
        <f t="shared" si="231"/>
        <v>3127</v>
      </c>
      <c r="I115" s="6">
        <f t="shared" si="231"/>
        <v>3315</v>
      </c>
      <c r="J115" s="6">
        <f t="shared" si="231"/>
        <v>3461</v>
      </c>
      <c r="K115" s="6">
        <f t="shared" si="231"/>
        <v>3650</v>
      </c>
      <c r="L115" s="6">
        <f t="shared" si="231"/>
        <v>4000</v>
      </c>
      <c r="M115" s="6">
        <f t="shared" si="231"/>
        <v>4117</v>
      </c>
      <c r="N115" s="6">
        <f t="shared" si="231"/>
        <v>4156</v>
      </c>
      <c r="O115" s="6">
        <f t="shared" si="231"/>
        <v>4067</v>
      </c>
      <c r="P115" s="6">
        <f t="shared" si="231"/>
        <v>4326</v>
      </c>
      <c r="Q115" s="6">
        <f t="shared" si="231"/>
        <v>4505</v>
      </c>
      <c r="R115" s="6">
        <f t="shared" si="231"/>
        <v>4930</v>
      </c>
      <c r="S115" s="6">
        <f t="shared" si="231"/>
        <v>5819</v>
      </c>
      <c r="BF115" s="124"/>
    </row>
    <row r="116" spans="1:77" hidden="1" outlineLevel="1" x14ac:dyDescent="0.25">
      <c r="BF116" s="124"/>
    </row>
    <row r="117" spans="1:77" s="20" customFormat="1" hidden="1" outlineLevel="1" x14ac:dyDescent="0.25">
      <c r="A117" s="2" t="s">
        <v>15</v>
      </c>
      <c r="B117" s="3">
        <v>42005</v>
      </c>
      <c r="C117" s="3">
        <v>42036</v>
      </c>
      <c r="D117" s="3">
        <v>42064</v>
      </c>
      <c r="E117" s="3">
        <v>42095</v>
      </c>
      <c r="F117" s="3">
        <v>42125</v>
      </c>
      <c r="G117" s="3">
        <v>42156</v>
      </c>
      <c r="H117" s="3">
        <v>42186</v>
      </c>
      <c r="I117" s="3">
        <v>42217</v>
      </c>
      <c r="J117" s="3">
        <v>42248</v>
      </c>
      <c r="K117" s="3">
        <v>42278</v>
      </c>
      <c r="L117" s="3">
        <v>42309</v>
      </c>
      <c r="M117" s="3">
        <v>42339</v>
      </c>
      <c r="N117" s="3">
        <v>42370</v>
      </c>
      <c r="O117" s="3">
        <v>42401</v>
      </c>
      <c r="P117" s="3">
        <v>42430</v>
      </c>
      <c r="Q117" s="3">
        <v>42461</v>
      </c>
      <c r="R117" s="3">
        <v>42491</v>
      </c>
      <c r="S117" s="3">
        <v>42522</v>
      </c>
      <c r="T117" s="3">
        <v>42552</v>
      </c>
      <c r="U117" s="3">
        <v>42583</v>
      </c>
      <c r="V117" s="3">
        <v>42614</v>
      </c>
      <c r="W117" s="3">
        <v>42644</v>
      </c>
      <c r="X117" s="3">
        <v>42675</v>
      </c>
      <c r="Y117" s="3">
        <v>42705</v>
      </c>
      <c r="Z117" s="29" t="s">
        <v>18</v>
      </c>
      <c r="AA117" s="29" t="s">
        <v>19</v>
      </c>
      <c r="AB117" s="29" t="s">
        <v>20</v>
      </c>
      <c r="AC117" s="29" t="s">
        <v>21</v>
      </c>
      <c r="AD117" s="29" t="s">
        <v>22</v>
      </c>
      <c r="AE117" s="26" t="str">
        <f t="shared" ref="AE117:AI117" si="232">AE106</f>
        <v>YTD /15</v>
      </c>
      <c r="AF117" s="26" t="str">
        <f t="shared" si="232"/>
        <v>Q1 '15</v>
      </c>
      <c r="AG117" s="26" t="str">
        <f t="shared" si="232"/>
        <v>Q2 '15</v>
      </c>
      <c r="AH117" s="26" t="str">
        <f t="shared" si="232"/>
        <v>Q3 '15</v>
      </c>
      <c r="AI117" s="26" t="str">
        <f t="shared" si="232"/>
        <v>Q4 '15</v>
      </c>
      <c r="AJ117" s="30" t="s">
        <v>27</v>
      </c>
      <c r="AK117" s="30" t="s">
        <v>29</v>
      </c>
      <c r="AL117" s="30" t="s">
        <v>30</v>
      </c>
      <c r="AM117" s="30" t="s">
        <v>31</v>
      </c>
      <c r="AN117" s="30" t="s">
        <v>32</v>
      </c>
      <c r="AO117" s="108">
        <v>42736</v>
      </c>
      <c r="AP117" s="108">
        <v>42767</v>
      </c>
      <c r="AQ117" s="108">
        <v>42795</v>
      </c>
      <c r="AR117" s="108">
        <v>42826</v>
      </c>
      <c r="AS117" s="108">
        <v>42856</v>
      </c>
      <c r="AT117" s="108">
        <v>42887</v>
      </c>
      <c r="AU117" s="108">
        <v>42917</v>
      </c>
      <c r="AV117" s="108">
        <v>42948</v>
      </c>
      <c r="AW117" s="108">
        <v>42979</v>
      </c>
      <c r="AX117" s="108">
        <v>43009</v>
      </c>
      <c r="AY117" s="108">
        <v>43040</v>
      </c>
      <c r="AZ117" s="108">
        <v>43070</v>
      </c>
      <c r="BA117" s="29" t="s">
        <v>123</v>
      </c>
      <c r="BB117" s="29" t="s">
        <v>124</v>
      </c>
      <c r="BC117" s="29" t="s">
        <v>125</v>
      </c>
      <c r="BD117" s="29" t="s">
        <v>126</v>
      </c>
      <c r="BE117" s="29" t="str">
        <f>"YTD " &amp; A116 &amp;"/17"</f>
        <v>YTD /17</v>
      </c>
      <c r="BF117" s="121">
        <v>42736</v>
      </c>
      <c r="BG117" s="108">
        <v>42767</v>
      </c>
      <c r="BH117" s="108">
        <v>42795</v>
      </c>
      <c r="BI117" s="108">
        <v>42826</v>
      </c>
      <c r="BJ117" s="108">
        <v>42856</v>
      </c>
      <c r="BK117" s="108">
        <v>42887</v>
      </c>
      <c r="BL117" s="108">
        <v>42917</v>
      </c>
      <c r="BM117" s="108">
        <v>42948</v>
      </c>
      <c r="BN117" s="108">
        <v>42979</v>
      </c>
      <c r="BO117" s="108">
        <v>43009</v>
      </c>
      <c r="BP117" s="108">
        <v>43040</v>
      </c>
      <c r="BQ117" s="108">
        <v>43070</v>
      </c>
      <c r="BR117" s="29" t="s">
        <v>127</v>
      </c>
      <c r="BS117" s="29" t="s">
        <v>128</v>
      </c>
      <c r="BT117" s="29" t="s">
        <v>96</v>
      </c>
      <c r="BU117" s="29" t="s">
        <v>129</v>
      </c>
      <c r="BV117" s="112" t="s">
        <v>130</v>
      </c>
    </row>
    <row r="118" spans="1:77" s="20" customFormat="1" hidden="1" outlineLevel="1" x14ac:dyDescent="0.25">
      <c r="A118" t="s">
        <v>17</v>
      </c>
      <c r="B118" s="6">
        <f>'Agency North'!C121+'Agency South'!C121</f>
        <v>350</v>
      </c>
      <c r="C118" s="6">
        <f>'Agency North'!D121+'Agency South'!D121</f>
        <v>183</v>
      </c>
      <c r="D118" s="6">
        <f>'Agency North'!E121+'Agency South'!E121</f>
        <v>388</v>
      </c>
      <c r="E118" s="6">
        <f>'Agency North'!F121+'Agency South'!F121</f>
        <v>478</v>
      </c>
      <c r="F118" s="6">
        <f>'Agency North'!G121+'Agency South'!G121</f>
        <v>404</v>
      </c>
      <c r="G118" s="6">
        <f>'Agency North'!H121+'Agency South'!H121</f>
        <v>426</v>
      </c>
      <c r="H118" s="6">
        <f>'Agency North'!I121+'Agency South'!I121</f>
        <v>446</v>
      </c>
      <c r="I118" s="6">
        <f>'Agency North'!J121+'Agency South'!J121</f>
        <v>428</v>
      </c>
      <c r="J118" s="6">
        <f>'Agency North'!K121+'Agency South'!K121</f>
        <v>475</v>
      </c>
      <c r="K118" s="6">
        <f>'Agency North'!L121+'Agency South'!L121</f>
        <v>408</v>
      </c>
      <c r="L118" s="6">
        <f>'Agency North'!M121+'Agency South'!M121</f>
        <v>746</v>
      </c>
      <c r="M118" s="6">
        <f>'Agency North'!N121+'Agency South'!N121</f>
        <v>548</v>
      </c>
      <c r="N118" s="6">
        <f>'Agency North'!O121+'Agency South'!O121</f>
        <v>191</v>
      </c>
      <c r="O118" s="6">
        <f>'Agency North'!P121+'Agency South'!P121</f>
        <v>188</v>
      </c>
      <c r="P118" s="6">
        <f>'Agency North'!Q121+'Agency South'!Q121</f>
        <v>627</v>
      </c>
      <c r="Q118" s="6">
        <f>'Agency North'!R121+'Agency South'!R121</f>
        <v>481</v>
      </c>
      <c r="R118" s="6">
        <f>'Agency North'!S121+'Agency South'!S121</f>
        <v>625</v>
      </c>
      <c r="S118" s="6">
        <f>'Agency North'!T121+'Agency South'!T121</f>
        <v>1127</v>
      </c>
      <c r="T118" s="6">
        <f>'Agency North'!U121+'Agency South'!U121</f>
        <v>826</v>
      </c>
      <c r="U118" s="6">
        <f>'Agency North'!V121+'Agency South'!V121</f>
        <v>949</v>
      </c>
      <c r="V118" s="6">
        <f>'Agency North'!W121+'Agency South'!W121</f>
        <v>1083</v>
      </c>
      <c r="W118" s="6">
        <f>'Agency North'!X121+'Agency South'!X121</f>
        <v>1014</v>
      </c>
      <c r="X118" s="6">
        <f>'Agency North'!Y121+'Agency South'!Y121</f>
        <v>1100</v>
      </c>
      <c r="Y118" s="6">
        <f>'Agency North'!Z121+'Agency South'!Z121</f>
        <v>1354</v>
      </c>
      <c r="Z118" s="22">
        <f>SUM(N118:INDEX(N118:Y118,$A$2))</f>
        <v>4065</v>
      </c>
      <c r="AA118" s="22">
        <f t="shared" ref="AA118:AA123" si="233">SUM(N118:P118)</f>
        <v>1006</v>
      </c>
      <c r="AB118" s="22">
        <f t="shared" ref="AB118:AB123" si="234">SUM(Q118:S118)</f>
        <v>2233</v>
      </c>
      <c r="AC118" s="22">
        <f t="shared" ref="AC118:AC123" si="235">SUM(T118:V118)</f>
        <v>2858</v>
      </c>
      <c r="AD118" s="22">
        <f t="shared" ref="AD118:AD123" si="236">SUM(W118:Y118)</f>
        <v>3468</v>
      </c>
      <c r="AE118" s="22">
        <f>SUM(B118                                                                                : INDEX(B118:M118,$A$2))</f>
        <v>2675</v>
      </c>
      <c r="AF118" s="22">
        <f t="shared" ref="AF118:AF124" si="237">SUM(B118:D118)</f>
        <v>921</v>
      </c>
      <c r="AG118" s="22">
        <f t="shared" ref="AG118:AG124" si="238">SUM(E118:G118)</f>
        <v>1308</v>
      </c>
      <c r="AH118" s="22">
        <f t="shared" ref="AH118:AH124" si="239">SUM(H118:J118)</f>
        <v>1349</v>
      </c>
      <c r="AI118" s="22">
        <f t="shared" ref="AI118:AI124" si="240">SUM(K118:M118)</f>
        <v>1702</v>
      </c>
      <c r="AJ118" s="31">
        <f>Z118/AE118-1</f>
        <v>0.51962616822429908</v>
      </c>
      <c r="AK118" s="31">
        <f t="shared" ref="AK118:AN124" si="241">AA118/AF118-1</f>
        <v>9.229098805646041E-2</v>
      </c>
      <c r="AL118" s="31">
        <f t="shared" si="241"/>
        <v>0.70718654434250761</v>
      </c>
      <c r="AM118" s="31">
        <f t="shared" si="241"/>
        <v>1.1186063750926611</v>
      </c>
      <c r="AN118" s="31">
        <f t="shared" si="241"/>
        <v>1.0376028202115157</v>
      </c>
      <c r="AO118" s="113">
        <f>'GEN Lion NORTH'!AP120+'GEN Lion SOUTH'!AP120</f>
        <v>431</v>
      </c>
      <c r="AP118" s="113">
        <f>'GEN Lion NORTH'!AQ120+'GEN Lion SOUTH'!AQ120</f>
        <v>920</v>
      </c>
      <c r="AQ118" s="113">
        <f>'GEN Lion NORTH'!AR120+'GEN Lion SOUTH'!AR120</f>
        <v>1151</v>
      </c>
      <c r="AR118" s="113">
        <f>'GEN Lion NORTH'!AS120+'GEN Lion SOUTH'!AS120</f>
        <v>905</v>
      </c>
      <c r="AS118" s="113">
        <f>'GEN Lion NORTH'!AT120+'GEN Lion SOUTH'!AT120</f>
        <v>899</v>
      </c>
      <c r="AT118" s="113">
        <f>'GEN Lion NORTH'!AU120+'GEN Lion SOUTH'!AU120</f>
        <v>1684</v>
      </c>
      <c r="AU118" s="113">
        <f>'GEN Lion NORTH'!AV120+'GEN Lion SOUTH'!AV120</f>
        <v>0</v>
      </c>
      <c r="AV118" s="113">
        <f>'GEN Lion NORTH'!AW120+'GEN Lion SOUTH'!AW120</f>
        <v>0</v>
      </c>
      <c r="AW118" s="113">
        <f>'GEN Lion NORTH'!AX120+'GEN Lion SOUTH'!AX120</f>
        <v>0</v>
      </c>
      <c r="AX118" s="113">
        <f>'GEN Lion NORTH'!AY120+'GEN Lion SOUTH'!AY120</f>
        <v>0</v>
      </c>
      <c r="AY118" s="113">
        <f>'GEN Lion NORTH'!AZ120+'GEN Lion SOUTH'!AZ120</f>
        <v>0</v>
      </c>
      <c r="AZ118" s="113">
        <f>'GEN Lion NORTH'!BA120+'GEN Lion SOUTH'!BA120</f>
        <v>0</v>
      </c>
      <c r="BA118" s="113">
        <f>SUM(AO118:INDEX(AO118:AQ118,IF($A$2&lt;3,$A$2,3)))</f>
        <v>2502</v>
      </c>
      <c r="BB118" s="113" t="e">
        <f>SUM(AR118:INDEX(AR118:AT118,IF(AND($A$2&gt;3,A116&lt;7),$A$2-3,0)))</f>
        <v>#REF!</v>
      </c>
      <c r="BC118" s="113">
        <f>SUM(AU118:INDEX(AU118:AW118,IF(AND($A$2&gt;6,$A$2&lt;10),$A$2-6,0)))</f>
        <v>0</v>
      </c>
      <c r="BD118" s="113">
        <f>SUM(AX118:INDEX(AX118:AZ118,IF($A$2&gt;9,$A$2-9,0)))</f>
        <v>0</v>
      </c>
      <c r="BE118" s="113">
        <f>SUM($AO118:INDEX(AO118:AZ118,$A$2))</f>
        <v>5990</v>
      </c>
      <c r="BF118" s="122">
        <f>IFERROR(AO118/N118,0)</f>
        <v>2.256544502617801</v>
      </c>
      <c r="BG118" s="111">
        <f t="shared" ref="BG118:BQ123" si="242">IFERROR(AP118/O118,0)</f>
        <v>4.8936170212765955</v>
      </c>
      <c r="BH118" s="111">
        <f t="shared" si="242"/>
        <v>1.835725677830941</v>
      </c>
      <c r="BI118" s="111">
        <f t="shared" si="242"/>
        <v>1.8814968814968815</v>
      </c>
      <c r="BJ118" s="111">
        <f t="shared" si="242"/>
        <v>1.4383999999999999</v>
      </c>
      <c r="BK118" s="111">
        <f t="shared" si="242"/>
        <v>1.4942324755989351</v>
      </c>
      <c r="BL118" s="111">
        <f t="shared" si="242"/>
        <v>0</v>
      </c>
      <c r="BM118" s="111">
        <f t="shared" si="242"/>
        <v>0</v>
      </c>
      <c r="BN118" s="111">
        <f t="shared" si="242"/>
        <v>0</v>
      </c>
      <c r="BO118" s="111">
        <f t="shared" si="242"/>
        <v>0</v>
      </c>
      <c r="BP118" s="111">
        <f t="shared" si="242"/>
        <v>0</v>
      </c>
      <c r="BQ118" s="111">
        <f t="shared" si="242"/>
        <v>0</v>
      </c>
      <c r="BR118" s="111">
        <f>IFERROR(BA118/SUM(N118:INDEX(N118:P118,IF($A$2&lt;3,$A$2,3))),0)</f>
        <v>2.4870775347912524</v>
      </c>
      <c r="BS118" s="111">
        <f>IFERROR(BB118/SUM(Q118:INDEX(Q118:S118,IF($A$2&lt;7,$A$2-3,3))),0)</f>
        <v>0</v>
      </c>
      <c r="BT118" s="111">
        <f>IFERROR(BC118/SUM(T118:INDEX(T118:V118,IF($A$2&lt;3,$A$2,3))),0)</f>
        <v>0</v>
      </c>
      <c r="BU118" s="111">
        <f>IFERROR(BD118/SUM(W118:INDEX(W118:Y118,IF($A$2&lt;3,$A$2,3))),0)</f>
        <v>0</v>
      </c>
      <c r="BV118" s="111">
        <f>IFERROR(BE118/Z118,0)</f>
        <v>1.4735547355473555</v>
      </c>
    </row>
    <row r="119" spans="1:77" s="20" customFormat="1" hidden="1" outlineLevel="1" x14ac:dyDescent="0.25">
      <c r="A119" t="s">
        <v>34</v>
      </c>
      <c r="B119" s="6">
        <f>'Agency North'!C122+'Agency South'!C122</f>
        <v>19</v>
      </c>
      <c r="C119" s="6">
        <f>'Agency North'!D122+'Agency South'!D122</f>
        <v>8</v>
      </c>
      <c r="D119" s="6">
        <f>'Agency North'!E122+'Agency South'!E122</f>
        <v>16</v>
      </c>
      <c r="E119" s="6">
        <f>'Agency North'!F122+'Agency South'!F122</f>
        <v>6</v>
      </c>
      <c r="F119" s="6">
        <f>'Agency North'!G122+'Agency South'!G122</f>
        <v>4</v>
      </c>
      <c r="G119" s="6">
        <f>'Agency North'!H122+'Agency South'!H122</f>
        <v>2</v>
      </c>
      <c r="H119" s="6">
        <f>'Agency North'!I122+'Agency South'!I122</f>
        <v>0</v>
      </c>
      <c r="I119" s="6">
        <f>'Agency North'!J122+'Agency South'!J122</f>
        <v>0</v>
      </c>
      <c r="J119" s="6">
        <f>'Agency North'!K122+'Agency South'!K122</f>
        <v>0</v>
      </c>
      <c r="K119" s="6">
        <f>'Agency North'!L122+'Agency South'!L122</f>
        <v>0</v>
      </c>
      <c r="L119" s="6">
        <f>'Agency North'!M122+'Agency South'!M122</f>
        <v>0</v>
      </c>
      <c r="M119" s="6">
        <f>'Agency North'!N122+'Agency South'!N122</f>
        <v>0</v>
      </c>
      <c r="N119" s="6">
        <f>'Agency North'!O122+'Agency South'!O122</f>
        <v>0</v>
      </c>
      <c r="O119" s="6">
        <f>'Agency North'!P122+'Agency South'!P122</f>
        <v>0</v>
      </c>
      <c r="P119" s="6">
        <f>'Agency North'!Q122+'Agency South'!Q122</f>
        <v>0</v>
      </c>
      <c r="Q119" s="6">
        <f>'Agency North'!R122+'Agency South'!R122</f>
        <v>0</v>
      </c>
      <c r="R119" s="6">
        <f>'Agency North'!S122+'Agency South'!S122</f>
        <v>0</v>
      </c>
      <c r="S119" s="6">
        <f>'Agency North'!T122+'Agency South'!T122</f>
        <v>0</v>
      </c>
      <c r="T119" s="6">
        <f>'Agency North'!U122+'Agency South'!U122</f>
        <v>0</v>
      </c>
      <c r="U119" s="6">
        <f>'Agency North'!V122+'Agency South'!V122</f>
        <v>0</v>
      </c>
      <c r="V119" s="6">
        <f>'Agency North'!W122+'Agency South'!W122</f>
        <v>0</v>
      </c>
      <c r="W119" s="6">
        <f>'Agency North'!X122+'Agency South'!X122</f>
        <v>0</v>
      </c>
      <c r="X119" s="6">
        <f>'Agency North'!Y122+'Agency South'!Y122</f>
        <v>0</v>
      </c>
      <c r="Y119" s="6">
        <f>'Agency North'!Z122+'Agency South'!Z122</f>
        <v>0</v>
      </c>
      <c r="Z119" s="22">
        <f>SUM(N119:INDEX(N119:Y119,$A$2))</f>
        <v>0</v>
      </c>
      <c r="AA119" s="22">
        <f t="shared" si="233"/>
        <v>0</v>
      </c>
      <c r="AB119" s="22">
        <f t="shared" si="234"/>
        <v>0</v>
      </c>
      <c r="AC119" s="22">
        <f t="shared" si="235"/>
        <v>0</v>
      </c>
      <c r="AD119" s="22">
        <f t="shared" si="236"/>
        <v>0</v>
      </c>
      <c r="AE119" s="22">
        <f>SUM(B119                                                                                : INDEX(B119:M119,$A$2))</f>
        <v>55</v>
      </c>
      <c r="AF119" s="22">
        <f t="shared" si="237"/>
        <v>43</v>
      </c>
      <c r="AG119" s="22">
        <f t="shared" si="238"/>
        <v>12</v>
      </c>
      <c r="AH119" s="22">
        <f t="shared" si="239"/>
        <v>0</v>
      </c>
      <c r="AI119" s="22">
        <f t="shared" si="240"/>
        <v>0</v>
      </c>
      <c r="AJ119" s="31">
        <f t="shared" ref="AJ119:AJ124" si="243">Z119/AE119-1</f>
        <v>-1</v>
      </c>
      <c r="AK119" s="31">
        <f t="shared" si="241"/>
        <v>-1</v>
      </c>
      <c r="AL119" s="31">
        <f t="shared" si="241"/>
        <v>-1</v>
      </c>
      <c r="AM119" s="31">
        <f>IFERROR(AC119/AH119-1,0)</f>
        <v>0</v>
      </c>
      <c r="AN119" s="31">
        <f>IFERROR(AD119/AI119-1,0)</f>
        <v>0</v>
      </c>
      <c r="AO119" s="113">
        <f>'GEN Lion NORTH'!AP121+'GEN Lion SOUTH'!AP121</f>
        <v>0</v>
      </c>
      <c r="AP119" s="113">
        <f>'GEN Lion NORTH'!AQ121+'GEN Lion SOUTH'!AQ121</f>
        <v>1</v>
      </c>
      <c r="AQ119" s="113">
        <f>'GEN Lion NORTH'!AR121+'GEN Lion SOUTH'!AR121</f>
        <v>0</v>
      </c>
      <c r="AR119" s="113">
        <f>'GEN Lion NORTH'!AS121+'GEN Lion SOUTH'!AS121</f>
        <v>0</v>
      </c>
      <c r="AS119" s="113">
        <f>'GEN Lion NORTH'!AT121+'GEN Lion SOUTH'!AT121</f>
        <v>0</v>
      </c>
      <c r="AT119" s="113">
        <f>'GEN Lion NORTH'!AU121+'GEN Lion SOUTH'!AU121</f>
        <v>2</v>
      </c>
      <c r="AU119" s="113">
        <f>'GEN Lion NORTH'!AV121+'GEN Lion SOUTH'!AV121</f>
        <v>0</v>
      </c>
      <c r="AV119" s="113">
        <f>'GEN Lion NORTH'!AW121+'GEN Lion SOUTH'!AW121</f>
        <v>0</v>
      </c>
      <c r="AW119" s="113">
        <f>'GEN Lion NORTH'!AX121+'GEN Lion SOUTH'!AX121</f>
        <v>0</v>
      </c>
      <c r="AX119" s="113">
        <f>'GEN Lion NORTH'!AY121+'GEN Lion SOUTH'!AY121</f>
        <v>0</v>
      </c>
      <c r="AY119" s="113">
        <f>'GEN Lion NORTH'!AZ121+'GEN Lion SOUTH'!AZ121</f>
        <v>0</v>
      </c>
      <c r="AZ119" s="113">
        <f>'GEN Lion NORTH'!BA121+'GEN Lion SOUTH'!BA121</f>
        <v>0</v>
      </c>
      <c r="BA119" s="113">
        <f>SUM(AO119:INDEX(AO119:AQ119,IF($A$2&lt;3,$A$2,3)))</f>
        <v>1</v>
      </c>
      <c r="BB119" s="113">
        <f>SUM(AR119:INDEX(AR119:AT119,IF(AND($A$2&gt;3,A117&lt;7),$A$2-3,0)))</f>
        <v>2</v>
      </c>
      <c r="BC119" s="113">
        <f>SUM(AU119:INDEX(AU119:AW119,IF(AND($A$2&gt;6,$A$2&lt;10),$A$2-6,0)))</f>
        <v>0</v>
      </c>
      <c r="BD119" s="113">
        <f>SUM(AX119:INDEX(AX119:AZ119,IF($A$2&gt;9,$A$2-9,0)))</f>
        <v>0</v>
      </c>
      <c r="BE119" s="113">
        <f>SUM($AO119:INDEX(AO119:AZ119,$A$2))</f>
        <v>3</v>
      </c>
      <c r="BF119" s="122">
        <f t="shared" ref="BF119:BF123" si="244">IFERROR(AO119/N119,0)</f>
        <v>0</v>
      </c>
      <c r="BG119" s="111">
        <f t="shared" si="242"/>
        <v>0</v>
      </c>
      <c r="BH119" s="111">
        <f t="shared" si="242"/>
        <v>0</v>
      </c>
      <c r="BI119" s="111">
        <f t="shared" si="242"/>
        <v>0</v>
      </c>
      <c r="BJ119" s="111">
        <f t="shared" si="242"/>
        <v>0</v>
      </c>
      <c r="BK119" s="111">
        <f t="shared" si="242"/>
        <v>0</v>
      </c>
      <c r="BL119" s="111">
        <f t="shared" si="242"/>
        <v>0</v>
      </c>
      <c r="BM119" s="111">
        <f t="shared" si="242"/>
        <v>0</v>
      </c>
      <c r="BN119" s="111">
        <f t="shared" si="242"/>
        <v>0</v>
      </c>
      <c r="BO119" s="111">
        <f t="shared" si="242"/>
        <v>0</v>
      </c>
      <c r="BP119" s="111">
        <f t="shared" si="242"/>
        <v>0</v>
      </c>
      <c r="BQ119" s="111">
        <f t="shared" si="242"/>
        <v>0</v>
      </c>
      <c r="BR119" s="111">
        <f>IFERROR(BA119/SUM(N119:INDEX(N119:P119,IF($A$2&lt;3,$A$2,3))),0)</f>
        <v>0</v>
      </c>
      <c r="BS119" s="111">
        <f>IFERROR(BB119/SUM(Q119:INDEX(Q119:S119,IF($A$2&lt;7,$A$2-3,3))),0)</f>
        <v>0</v>
      </c>
      <c r="BT119" s="111">
        <f>IFERROR(BC119/SUM(T119:INDEX(T119:V119,IF($A$2&lt;3,$A$2,3))),0)</f>
        <v>0</v>
      </c>
      <c r="BU119" s="111">
        <f>IFERROR(BD119/SUM(W119:INDEX(W119:Y119,IF($A$2&lt;3,$A$2,3))),0)</f>
        <v>0</v>
      </c>
      <c r="BV119" s="111">
        <f t="shared" ref="BV119:BV124" si="245">IFERROR(BE119/Z119,0)</f>
        <v>0</v>
      </c>
    </row>
    <row r="120" spans="1:77" s="20" customFormat="1" hidden="1" outlineLevel="1" x14ac:dyDescent="0.25">
      <c r="A120" t="s">
        <v>35</v>
      </c>
      <c r="B120" s="6">
        <f>'Agency North'!C123+'Agency South'!C123</f>
        <v>51</v>
      </c>
      <c r="C120" s="6">
        <f>'Agency North'!D123+'Agency South'!D123</f>
        <v>20</v>
      </c>
      <c r="D120" s="6">
        <f>'Agency North'!E123+'Agency South'!E123</f>
        <v>38</v>
      </c>
      <c r="E120" s="6">
        <f>'Agency North'!F123+'Agency South'!F123</f>
        <v>70</v>
      </c>
      <c r="F120" s="6">
        <f>'Agency North'!G123+'Agency South'!G123</f>
        <v>51</v>
      </c>
      <c r="G120" s="6">
        <f>'Agency North'!H123+'Agency South'!H123</f>
        <v>56</v>
      </c>
      <c r="H120" s="6">
        <f>'Agency North'!I123+'Agency South'!I123</f>
        <v>44</v>
      </c>
      <c r="I120" s="6">
        <f>'Agency North'!J123+'Agency South'!J123</f>
        <v>50</v>
      </c>
      <c r="J120" s="6">
        <f>'Agency North'!K123+'Agency South'!K123</f>
        <v>75</v>
      </c>
      <c r="K120" s="6">
        <f>'Agency North'!L123+'Agency South'!L123</f>
        <v>47</v>
      </c>
      <c r="L120" s="6">
        <f>'Agency North'!M123+'Agency South'!M123</f>
        <v>57</v>
      </c>
      <c r="M120" s="6">
        <f>'Agency North'!N123+'Agency South'!N123</f>
        <v>40</v>
      </c>
      <c r="N120" s="6">
        <f>'Agency North'!O123+'Agency South'!O123</f>
        <v>12</v>
      </c>
      <c r="O120" s="6">
        <f>'Agency North'!P123+'Agency South'!P123</f>
        <v>6</v>
      </c>
      <c r="P120" s="6">
        <f>'Agency North'!Q123+'Agency South'!Q123</f>
        <v>44</v>
      </c>
      <c r="Q120" s="6">
        <f>'Agency North'!R123+'Agency South'!R123</f>
        <v>53</v>
      </c>
      <c r="R120" s="6">
        <f>'Agency North'!S123+'Agency South'!S123</f>
        <v>96</v>
      </c>
      <c r="S120" s="6">
        <f>'Agency North'!T123+'Agency South'!T123</f>
        <v>133</v>
      </c>
      <c r="T120" s="6">
        <f>'Agency North'!U123+'Agency South'!U123</f>
        <v>81</v>
      </c>
      <c r="U120" s="6">
        <f>'Agency North'!V123+'Agency South'!V123</f>
        <v>85</v>
      </c>
      <c r="V120" s="6">
        <f>'Agency North'!W123+'Agency South'!W123</f>
        <v>127</v>
      </c>
      <c r="W120" s="6">
        <f>'Agency North'!X123+'Agency South'!X123</f>
        <v>131</v>
      </c>
      <c r="X120" s="6">
        <f>'Agency North'!Y123+'Agency South'!Y123</f>
        <v>166</v>
      </c>
      <c r="Y120" s="6">
        <f>'Agency North'!Z123+'Agency South'!Z123</f>
        <v>116</v>
      </c>
      <c r="Z120" s="22">
        <f>SUM(N120:INDEX(N120:Y120,$A$2))</f>
        <v>425</v>
      </c>
      <c r="AA120" s="22">
        <f t="shared" si="233"/>
        <v>62</v>
      </c>
      <c r="AB120" s="22">
        <f t="shared" si="234"/>
        <v>282</v>
      </c>
      <c r="AC120" s="22">
        <f t="shared" si="235"/>
        <v>293</v>
      </c>
      <c r="AD120" s="22">
        <f t="shared" si="236"/>
        <v>413</v>
      </c>
      <c r="AE120" s="22">
        <f>SUM(B120                                                                                : INDEX(B120:M120,$A$2))</f>
        <v>330</v>
      </c>
      <c r="AF120" s="22">
        <f t="shared" si="237"/>
        <v>109</v>
      </c>
      <c r="AG120" s="22">
        <f t="shared" si="238"/>
        <v>177</v>
      </c>
      <c r="AH120" s="22">
        <f t="shared" si="239"/>
        <v>169</v>
      </c>
      <c r="AI120" s="22">
        <f t="shared" si="240"/>
        <v>144</v>
      </c>
      <c r="AJ120" s="31">
        <f t="shared" si="243"/>
        <v>0.28787878787878785</v>
      </c>
      <c r="AK120" s="31">
        <f t="shared" si="241"/>
        <v>-0.43119266055045868</v>
      </c>
      <c r="AL120" s="31">
        <f t="shared" si="241"/>
        <v>0.59322033898305082</v>
      </c>
      <c r="AM120" s="31">
        <f t="shared" si="241"/>
        <v>0.73372781065088755</v>
      </c>
      <c r="AN120" s="31">
        <f t="shared" si="241"/>
        <v>1.8680555555555554</v>
      </c>
      <c r="AO120" s="113">
        <f>'GEN Lion NORTH'!AP122+'GEN Lion SOUTH'!AP122</f>
        <v>51</v>
      </c>
      <c r="AP120" s="113">
        <f>'GEN Lion NORTH'!AQ122+'GEN Lion SOUTH'!AQ122</f>
        <v>89</v>
      </c>
      <c r="AQ120" s="113">
        <f>'GEN Lion NORTH'!AR122+'GEN Lion SOUTH'!AR122</f>
        <v>40</v>
      </c>
      <c r="AR120" s="113">
        <f>'GEN Lion NORTH'!AS122+'GEN Lion SOUTH'!AS122</f>
        <v>41</v>
      </c>
      <c r="AS120" s="113">
        <f>'GEN Lion NORTH'!AT122+'GEN Lion SOUTH'!AT122</f>
        <v>33</v>
      </c>
      <c r="AT120" s="113">
        <f>'GEN Lion NORTH'!AU122+'GEN Lion SOUTH'!AU122</f>
        <v>43</v>
      </c>
      <c r="AU120" s="113">
        <f>'GEN Lion NORTH'!AV122+'GEN Lion SOUTH'!AV122</f>
        <v>0</v>
      </c>
      <c r="AV120" s="113">
        <f>'GEN Lion NORTH'!AW122+'GEN Lion SOUTH'!AW122</f>
        <v>0</v>
      </c>
      <c r="AW120" s="113">
        <f>'GEN Lion NORTH'!AX122+'GEN Lion SOUTH'!AX122</f>
        <v>0</v>
      </c>
      <c r="AX120" s="113">
        <f>'GEN Lion NORTH'!AY122+'GEN Lion SOUTH'!AY122</f>
        <v>0</v>
      </c>
      <c r="AY120" s="113">
        <f>'GEN Lion NORTH'!AZ122+'GEN Lion SOUTH'!AZ122</f>
        <v>0</v>
      </c>
      <c r="AZ120" s="113">
        <f>'GEN Lion NORTH'!BA122+'GEN Lion SOUTH'!BA122</f>
        <v>0</v>
      </c>
      <c r="BA120" s="113">
        <f>SUM(AO120:INDEX(AO120:AQ120,IF($A$2&lt;3,$A$2,3)))</f>
        <v>180</v>
      </c>
      <c r="BB120" s="113">
        <f>SUM(AR120:INDEX(AR120:AT120,IF(AND($A$2&gt;3,A118&lt;7),$A$2-3,0)))</f>
        <v>117</v>
      </c>
      <c r="BC120" s="113">
        <f>SUM(AU120:INDEX(AU120:AW120,IF(AND($A$2&gt;6,$A$2&lt;10),$A$2-6,0)))</f>
        <v>0</v>
      </c>
      <c r="BD120" s="113">
        <f>SUM(AX120:INDEX(AX120:AZ120,IF($A$2&gt;9,$A$2-9,0)))</f>
        <v>0</v>
      </c>
      <c r="BE120" s="113">
        <f>SUM($AO120:INDEX(AO120:AZ120,$A$2))</f>
        <v>297</v>
      </c>
      <c r="BF120" s="122">
        <f t="shared" si="244"/>
        <v>4.25</v>
      </c>
      <c r="BG120" s="111">
        <f t="shared" si="242"/>
        <v>14.833333333333334</v>
      </c>
      <c r="BH120" s="111">
        <f t="shared" si="242"/>
        <v>0.90909090909090906</v>
      </c>
      <c r="BI120" s="111">
        <f t="shared" si="242"/>
        <v>0.77358490566037741</v>
      </c>
      <c r="BJ120" s="111">
        <f t="shared" si="242"/>
        <v>0.34375</v>
      </c>
      <c r="BK120" s="111">
        <f t="shared" si="242"/>
        <v>0.32330827067669171</v>
      </c>
      <c r="BL120" s="111">
        <f t="shared" si="242"/>
        <v>0</v>
      </c>
      <c r="BM120" s="111">
        <f t="shared" si="242"/>
        <v>0</v>
      </c>
      <c r="BN120" s="111">
        <f t="shared" si="242"/>
        <v>0</v>
      </c>
      <c r="BO120" s="111">
        <f t="shared" si="242"/>
        <v>0</v>
      </c>
      <c r="BP120" s="111">
        <f t="shared" si="242"/>
        <v>0</v>
      </c>
      <c r="BQ120" s="111">
        <f t="shared" si="242"/>
        <v>0</v>
      </c>
      <c r="BR120" s="111">
        <f>IFERROR(BA120/SUM(N120:INDEX(N120:P120,IF($A$2&lt;3,$A$2,3))),0)</f>
        <v>2.903225806451613</v>
      </c>
      <c r="BS120" s="111">
        <f>IFERROR(BB120/SUM(Q120:INDEX(Q120:S120,IF($A$2&lt;7,$A$2-3,3))),0)</f>
        <v>0.41489361702127658</v>
      </c>
      <c r="BT120" s="111">
        <f>IFERROR(BC120/SUM(T120:INDEX(T120:V120,IF($A$2&lt;3,$A$2,3))),0)</f>
        <v>0</v>
      </c>
      <c r="BU120" s="111">
        <f>IFERROR(BD120/SUM(W120:INDEX(W120:Y120,IF($A$2&lt;3,$A$2,3))),0)</f>
        <v>0</v>
      </c>
      <c r="BV120" s="111">
        <f t="shared" si="245"/>
        <v>0.69882352941176473</v>
      </c>
    </row>
    <row r="121" spans="1:77" s="20" customFormat="1" hidden="1" outlineLevel="1" x14ac:dyDescent="0.25">
      <c r="A121" t="s">
        <v>36</v>
      </c>
      <c r="B121" s="6">
        <f>'Agency North'!C124+'Agency South'!C124</f>
        <v>12</v>
      </c>
      <c r="C121" s="6">
        <f>'Agency North'!D124+'Agency South'!D124</f>
        <v>2</v>
      </c>
      <c r="D121" s="6">
        <f>'Agency North'!E124+'Agency South'!E124</f>
        <v>11</v>
      </c>
      <c r="E121" s="6">
        <f>'Agency North'!F124+'Agency South'!F124</f>
        <v>27</v>
      </c>
      <c r="F121" s="6">
        <f>'Agency North'!G124+'Agency South'!G124</f>
        <v>10</v>
      </c>
      <c r="G121" s="6">
        <f>'Agency North'!H124+'Agency South'!H124</f>
        <v>18</v>
      </c>
      <c r="H121" s="6">
        <f>'Agency North'!I124+'Agency South'!I124</f>
        <v>13</v>
      </c>
      <c r="I121" s="6">
        <f>'Agency North'!J124+'Agency South'!J124</f>
        <v>10</v>
      </c>
      <c r="J121" s="6">
        <f>'Agency North'!K124+'Agency South'!K124</f>
        <v>19</v>
      </c>
      <c r="K121" s="6">
        <f>'Agency North'!L124+'Agency South'!L124</f>
        <v>8</v>
      </c>
      <c r="L121" s="6">
        <f>'Agency North'!M124+'Agency South'!M124</f>
        <v>8</v>
      </c>
      <c r="M121" s="6">
        <f>'Agency North'!N124+'Agency South'!N124</f>
        <v>11</v>
      </c>
      <c r="N121" s="6">
        <f>'Agency North'!O124+'Agency South'!O124</f>
        <v>1</v>
      </c>
      <c r="O121" s="6">
        <f>'Agency North'!P124+'Agency South'!P124</f>
        <v>1</v>
      </c>
      <c r="P121" s="6">
        <f>'Agency North'!Q124+'Agency South'!Q124</f>
        <v>15</v>
      </c>
      <c r="Q121" s="6">
        <f>'Agency North'!R124+'Agency South'!R124</f>
        <v>17</v>
      </c>
      <c r="R121" s="6">
        <f>'Agency North'!S124+'Agency South'!S124</f>
        <v>23</v>
      </c>
      <c r="S121" s="6">
        <f>'Agency North'!T124+'Agency South'!T124</f>
        <v>31</v>
      </c>
      <c r="T121" s="6">
        <f>'Agency North'!U124+'Agency South'!U124</f>
        <v>14</v>
      </c>
      <c r="U121" s="6">
        <f>'Agency North'!V124+'Agency South'!V124</f>
        <v>18</v>
      </c>
      <c r="V121" s="6">
        <f>'Agency North'!W124+'Agency South'!W124</f>
        <v>40</v>
      </c>
      <c r="W121" s="6">
        <f>'Agency North'!X124+'Agency South'!X124</f>
        <v>26</v>
      </c>
      <c r="X121" s="6">
        <f>'Agency North'!Y124+'Agency South'!Y124</f>
        <v>38</v>
      </c>
      <c r="Y121" s="6">
        <f>'Agency North'!Z124+'Agency South'!Z124</f>
        <v>29</v>
      </c>
      <c r="Z121" s="22">
        <f>SUM(N121:INDEX(N121:Y121,$A$2))</f>
        <v>102</v>
      </c>
      <c r="AA121" s="22">
        <f t="shared" si="233"/>
        <v>17</v>
      </c>
      <c r="AB121" s="22">
        <f t="shared" si="234"/>
        <v>71</v>
      </c>
      <c r="AC121" s="22">
        <f t="shared" si="235"/>
        <v>72</v>
      </c>
      <c r="AD121" s="22">
        <f t="shared" si="236"/>
        <v>93</v>
      </c>
      <c r="AE121" s="22">
        <f>SUM(B121                                                                                : INDEX(B121:M121,$A$2))</f>
        <v>93</v>
      </c>
      <c r="AF121" s="22">
        <f t="shared" si="237"/>
        <v>25</v>
      </c>
      <c r="AG121" s="22">
        <f t="shared" si="238"/>
        <v>55</v>
      </c>
      <c r="AH121" s="22">
        <f t="shared" si="239"/>
        <v>42</v>
      </c>
      <c r="AI121" s="22">
        <f t="shared" si="240"/>
        <v>27</v>
      </c>
      <c r="AJ121" s="31">
        <f t="shared" si="243"/>
        <v>9.6774193548387011E-2</v>
      </c>
      <c r="AK121" s="31">
        <f t="shared" si="241"/>
        <v>-0.31999999999999995</v>
      </c>
      <c r="AL121" s="31">
        <f t="shared" si="241"/>
        <v>0.29090909090909101</v>
      </c>
      <c r="AM121" s="31">
        <f t="shared" si="241"/>
        <v>0.71428571428571419</v>
      </c>
      <c r="AN121" s="31">
        <f t="shared" si="241"/>
        <v>2.4444444444444446</v>
      </c>
      <c r="AO121" s="113">
        <f>'GEN Lion NORTH'!AP123+'GEN Lion SOUTH'!AP123</f>
        <v>20</v>
      </c>
      <c r="AP121" s="113">
        <f>'GEN Lion NORTH'!AQ123+'GEN Lion SOUTH'!AQ123</f>
        <v>25</v>
      </c>
      <c r="AQ121" s="113">
        <f>'GEN Lion NORTH'!AR123+'GEN Lion SOUTH'!AR123</f>
        <v>15</v>
      </c>
      <c r="AR121" s="113">
        <f>'GEN Lion NORTH'!AS123+'GEN Lion SOUTH'!AS123</f>
        <v>7</v>
      </c>
      <c r="AS121" s="113">
        <f>'GEN Lion NORTH'!AT123+'GEN Lion SOUTH'!AT123</f>
        <v>13</v>
      </c>
      <c r="AT121" s="113">
        <f>'GEN Lion NORTH'!AU123+'GEN Lion SOUTH'!AU123</f>
        <v>5</v>
      </c>
      <c r="AU121" s="113">
        <f>'GEN Lion NORTH'!AV123+'GEN Lion SOUTH'!AV123</f>
        <v>0</v>
      </c>
      <c r="AV121" s="113">
        <f>'GEN Lion NORTH'!AW123+'GEN Lion SOUTH'!AW123</f>
        <v>0</v>
      </c>
      <c r="AW121" s="113">
        <f>'GEN Lion NORTH'!AX123+'GEN Lion SOUTH'!AX123</f>
        <v>0</v>
      </c>
      <c r="AX121" s="113">
        <f>'GEN Lion NORTH'!AY123+'GEN Lion SOUTH'!AY123</f>
        <v>0</v>
      </c>
      <c r="AY121" s="113">
        <f>'GEN Lion NORTH'!AZ123+'GEN Lion SOUTH'!AZ123</f>
        <v>0</v>
      </c>
      <c r="AZ121" s="113">
        <f>'GEN Lion NORTH'!BA123+'GEN Lion SOUTH'!BA123</f>
        <v>0</v>
      </c>
      <c r="BA121" s="113">
        <f>SUM(AO121:INDEX(AO121:AQ121,IF($A$2&lt;3,$A$2,3)))</f>
        <v>60</v>
      </c>
      <c r="BB121" s="113">
        <f>SUM(AR121:INDEX(AR121:AT121,IF(AND($A$2&gt;3,A119&lt;7),$A$2-3,0)))</f>
        <v>25</v>
      </c>
      <c r="BC121" s="113">
        <f>SUM(AU121:INDEX(AU121:AW121,IF(AND($A$2&gt;6,$A$2&lt;10),$A$2-6,0)))</f>
        <v>0</v>
      </c>
      <c r="BD121" s="113">
        <f>SUM(AX121:INDEX(AX121:AZ121,IF($A$2&gt;9,$A$2-9,0)))</f>
        <v>0</v>
      </c>
      <c r="BE121" s="113">
        <f>SUM($AO121:INDEX(AO121:AZ121,$A$2))</f>
        <v>85</v>
      </c>
      <c r="BF121" s="122">
        <f t="shared" si="244"/>
        <v>20</v>
      </c>
      <c r="BG121" s="111">
        <f t="shared" si="242"/>
        <v>25</v>
      </c>
      <c r="BH121" s="111">
        <f t="shared" si="242"/>
        <v>1</v>
      </c>
      <c r="BI121" s="111">
        <f t="shared" si="242"/>
        <v>0.41176470588235292</v>
      </c>
      <c r="BJ121" s="111">
        <f t="shared" si="242"/>
        <v>0.56521739130434778</v>
      </c>
      <c r="BK121" s="111">
        <f t="shared" si="242"/>
        <v>0.16129032258064516</v>
      </c>
      <c r="BL121" s="111">
        <f t="shared" si="242"/>
        <v>0</v>
      </c>
      <c r="BM121" s="111">
        <f t="shared" si="242"/>
        <v>0</v>
      </c>
      <c r="BN121" s="111">
        <f t="shared" si="242"/>
        <v>0</v>
      </c>
      <c r="BO121" s="111">
        <f t="shared" si="242"/>
        <v>0</v>
      </c>
      <c r="BP121" s="111">
        <f t="shared" si="242"/>
        <v>0</v>
      </c>
      <c r="BQ121" s="111">
        <f t="shared" si="242"/>
        <v>0</v>
      </c>
      <c r="BR121" s="111">
        <f>IFERROR(BA121/SUM(N121:INDEX(N121:P121,IF($A$2&lt;3,$A$2,3))),0)</f>
        <v>3.5294117647058822</v>
      </c>
      <c r="BS121" s="111">
        <f>IFERROR(BB121/SUM(Q121:INDEX(Q121:S121,IF($A$2&lt;7,$A$2-3,3))),0)</f>
        <v>0.352112676056338</v>
      </c>
      <c r="BT121" s="111">
        <f>IFERROR(BC121/SUM(T121:INDEX(T121:V121,IF($A$2&lt;3,$A$2,3))),0)</f>
        <v>0</v>
      </c>
      <c r="BU121" s="111">
        <f>IFERROR(BD121/SUM(W121:INDEX(W121:Y121,IF($A$2&lt;3,$A$2,3))),0)</f>
        <v>0</v>
      </c>
      <c r="BV121" s="111">
        <f t="shared" si="245"/>
        <v>0.83333333333333337</v>
      </c>
    </row>
    <row r="122" spans="1:77" s="20" customFormat="1" hidden="1" outlineLevel="1" x14ac:dyDescent="0.25">
      <c r="A122" t="s">
        <v>37</v>
      </c>
      <c r="B122" s="6">
        <f>'Agency North'!C125+'Agency South'!C125</f>
        <v>8</v>
      </c>
      <c r="C122" s="6">
        <f>'Agency North'!D125+'Agency South'!D125</f>
        <v>2</v>
      </c>
      <c r="D122" s="6">
        <f>'Agency North'!E125+'Agency South'!E125</f>
        <v>7</v>
      </c>
      <c r="E122" s="6">
        <f>'Agency North'!F125+'Agency South'!F125</f>
        <v>6</v>
      </c>
      <c r="F122" s="6">
        <f>'Agency North'!G125+'Agency South'!G125</f>
        <v>3</v>
      </c>
      <c r="G122" s="6">
        <f>'Agency North'!H125+'Agency South'!H125</f>
        <v>3</v>
      </c>
      <c r="H122" s="6">
        <f>'Agency North'!I125+'Agency South'!I125</f>
        <v>2</v>
      </c>
      <c r="I122" s="6">
        <f>'Agency North'!J125+'Agency South'!J125</f>
        <v>2</v>
      </c>
      <c r="J122" s="6">
        <f>'Agency North'!K125+'Agency South'!K125</f>
        <v>5</v>
      </c>
      <c r="K122" s="6">
        <f>'Agency North'!L125+'Agency South'!L125</f>
        <v>2</v>
      </c>
      <c r="L122" s="6">
        <f>'Agency North'!M125+'Agency South'!M125</f>
        <v>2</v>
      </c>
      <c r="M122" s="6">
        <f>'Agency North'!N125+'Agency South'!N125</f>
        <v>1</v>
      </c>
      <c r="N122" s="6">
        <f>'Agency North'!O125+'Agency South'!O125</f>
        <v>1</v>
      </c>
      <c r="O122" s="6">
        <f>'Agency North'!P125+'Agency South'!P125</f>
        <v>1</v>
      </c>
      <c r="P122" s="6">
        <f>'Agency North'!Q125+'Agency South'!Q125</f>
        <v>3</v>
      </c>
      <c r="Q122" s="6">
        <f>'Agency North'!R125+'Agency South'!R125</f>
        <v>2</v>
      </c>
      <c r="R122" s="6">
        <f>'Agency North'!S125+'Agency South'!S125</f>
        <v>8</v>
      </c>
      <c r="S122" s="6">
        <f>'Agency North'!T125+'Agency South'!T125</f>
        <v>9</v>
      </c>
      <c r="T122" s="6">
        <f>'Agency North'!U125+'Agency South'!U125</f>
        <v>5</v>
      </c>
      <c r="U122" s="6">
        <f>'Agency North'!V125+'Agency South'!V125</f>
        <v>5</v>
      </c>
      <c r="V122" s="6">
        <f>'Agency North'!W125+'Agency South'!W125</f>
        <v>16</v>
      </c>
      <c r="W122" s="6">
        <f>'Agency North'!X125+'Agency South'!X125</f>
        <v>14</v>
      </c>
      <c r="X122" s="6">
        <f>'Agency North'!Y125+'Agency South'!Y125</f>
        <v>10</v>
      </c>
      <c r="Y122" s="6">
        <f>'Agency North'!Z125+'Agency South'!Z125</f>
        <v>4</v>
      </c>
      <c r="Z122" s="22">
        <f>SUM(N122:INDEX(N122:Y122,$A$2))</f>
        <v>29</v>
      </c>
      <c r="AA122" s="22">
        <f t="shared" si="233"/>
        <v>5</v>
      </c>
      <c r="AB122" s="22">
        <f t="shared" si="234"/>
        <v>19</v>
      </c>
      <c r="AC122" s="22">
        <f t="shared" si="235"/>
        <v>26</v>
      </c>
      <c r="AD122" s="22">
        <f t="shared" si="236"/>
        <v>28</v>
      </c>
      <c r="AE122" s="22">
        <f>SUM(B122                                                                                : INDEX(B122:M122,$A$2))</f>
        <v>31</v>
      </c>
      <c r="AF122" s="22">
        <f t="shared" si="237"/>
        <v>17</v>
      </c>
      <c r="AG122" s="22">
        <f t="shared" si="238"/>
        <v>12</v>
      </c>
      <c r="AH122" s="22">
        <f t="shared" si="239"/>
        <v>9</v>
      </c>
      <c r="AI122" s="22">
        <f t="shared" si="240"/>
        <v>5</v>
      </c>
      <c r="AJ122" s="31">
        <f t="shared" si="243"/>
        <v>-6.4516129032258118E-2</v>
      </c>
      <c r="AK122" s="31">
        <f t="shared" si="241"/>
        <v>-0.70588235294117641</v>
      </c>
      <c r="AL122" s="31">
        <f t="shared" si="241"/>
        <v>0.58333333333333326</v>
      </c>
      <c r="AM122" s="31">
        <f t="shared" si="241"/>
        <v>1.8888888888888888</v>
      </c>
      <c r="AN122" s="31">
        <f t="shared" si="241"/>
        <v>4.5999999999999996</v>
      </c>
      <c r="AO122" s="113">
        <f>'GEN Lion NORTH'!AP124+'GEN Lion SOUTH'!AP124</f>
        <v>4</v>
      </c>
      <c r="AP122" s="113">
        <f>'GEN Lion NORTH'!AQ124+'GEN Lion SOUTH'!AQ124</f>
        <v>11</v>
      </c>
      <c r="AQ122" s="113">
        <f>'GEN Lion NORTH'!AR124+'GEN Lion SOUTH'!AR124</f>
        <v>3</v>
      </c>
      <c r="AR122" s="113">
        <f>'GEN Lion NORTH'!AS124+'GEN Lion SOUTH'!AS124</f>
        <v>5</v>
      </c>
      <c r="AS122" s="113">
        <f>'GEN Lion NORTH'!AT124+'GEN Lion SOUTH'!AT124</f>
        <v>6</v>
      </c>
      <c r="AT122" s="113">
        <f>'GEN Lion NORTH'!AU124+'GEN Lion SOUTH'!AU124</f>
        <v>3</v>
      </c>
      <c r="AU122" s="113">
        <f>'GEN Lion NORTH'!AV124+'GEN Lion SOUTH'!AV124</f>
        <v>0</v>
      </c>
      <c r="AV122" s="113">
        <f>'GEN Lion NORTH'!AW124+'GEN Lion SOUTH'!AW124</f>
        <v>0</v>
      </c>
      <c r="AW122" s="113">
        <f>'GEN Lion NORTH'!AX124+'GEN Lion SOUTH'!AX124</f>
        <v>0</v>
      </c>
      <c r="AX122" s="113">
        <f>'GEN Lion NORTH'!AY124+'GEN Lion SOUTH'!AY124</f>
        <v>0</v>
      </c>
      <c r="AY122" s="113">
        <f>'GEN Lion NORTH'!AZ124+'GEN Lion SOUTH'!AZ124</f>
        <v>0</v>
      </c>
      <c r="AZ122" s="113">
        <f>'GEN Lion NORTH'!BA124+'GEN Lion SOUTH'!BA124</f>
        <v>0</v>
      </c>
      <c r="BA122" s="113">
        <f>SUM(AO122:INDEX(AO122:AQ122,IF($A$2&lt;3,$A$2,3)))</f>
        <v>18</v>
      </c>
      <c r="BB122" s="113">
        <f>SUM(AR122:INDEX(AR122:AT122,IF(AND($A$2&gt;3,A120&lt;7),$A$2-3,0)))</f>
        <v>14</v>
      </c>
      <c r="BC122" s="113">
        <f>SUM(AU122:INDEX(AU122:AW122,IF(AND($A$2&gt;6,$A$2&lt;10),$A$2-6,0)))</f>
        <v>0</v>
      </c>
      <c r="BD122" s="113">
        <f>SUM(AX122:INDEX(AX122:AZ122,IF($A$2&gt;9,$A$2-9,0)))</f>
        <v>0</v>
      </c>
      <c r="BE122" s="113">
        <f>SUM($AO122:INDEX(AO122:AZ122,$A$2))</f>
        <v>32</v>
      </c>
      <c r="BF122" s="122">
        <f t="shared" si="244"/>
        <v>4</v>
      </c>
      <c r="BG122" s="111">
        <f t="shared" si="242"/>
        <v>11</v>
      </c>
      <c r="BH122" s="111">
        <f t="shared" si="242"/>
        <v>1</v>
      </c>
      <c r="BI122" s="111">
        <f t="shared" si="242"/>
        <v>2.5</v>
      </c>
      <c r="BJ122" s="111">
        <f t="shared" si="242"/>
        <v>0.75</v>
      </c>
      <c r="BK122" s="111">
        <f t="shared" si="242"/>
        <v>0.33333333333333331</v>
      </c>
      <c r="BL122" s="111">
        <f t="shared" si="242"/>
        <v>0</v>
      </c>
      <c r="BM122" s="111">
        <f t="shared" si="242"/>
        <v>0</v>
      </c>
      <c r="BN122" s="111">
        <f t="shared" si="242"/>
        <v>0</v>
      </c>
      <c r="BO122" s="111">
        <f t="shared" si="242"/>
        <v>0</v>
      </c>
      <c r="BP122" s="111">
        <f t="shared" si="242"/>
        <v>0</v>
      </c>
      <c r="BQ122" s="111">
        <f t="shared" si="242"/>
        <v>0</v>
      </c>
      <c r="BR122" s="111">
        <f>IFERROR(BA122/SUM(N122:INDEX(N122:P122,IF($A$2&lt;3,$A$2,3))),0)</f>
        <v>3.6</v>
      </c>
      <c r="BS122" s="111">
        <f>IFERROR(BB122/SUM(Q122:INDEX(Q122:S122,IF($A$2&lt;7,$A$2-3,3))),0)</f>
        <v>0.73684210526315785</v>
      </c>
      <c r="BT122" s="111">
        <f>IFERROR(BC122/SUM(T122:INDEX(T122:V122,IF($A$2&lt;3,$A$2,3))),0)</f>
        <v>0</v>
      </c>
      <c r="BU122" s="111">
        <f>IFERROR(BD122/SUM(W122:INDEX(W122:Y122,IF($A$2&lt;3,$A$2,3))),0)</f>
        <v>0</v>
      </c>
      <c r="BV122" s="111">
        <f t="shared" si="245"/>
        <v>1.103448275862069</v>
      </c>
    </row>
    <row r="123" spans="1:77" s="20" customFormat="1" hidden="1" outlineLevel="1" x14ac:dyDescent="0.25">
      <c r="A123" t="s">
        <v>38</v>
      </c>
      <c r="B123" s="6">
        <f>'Agency North'!C126+'Agency South'!C126</f>
        <v>0</v>
      </c>
      <c r="C123" s="6">
        <f>'Agency North'!D126+'Agency South'!D126</f>
        <v>1</v>
      </c>
      <c r="D123" s="6">
        <f>'Agency North'!E126+'Agency South'!E126</f>
        <v>0</v>
      </c>
      <c r="E123" s="6">
        <f>'Agency North'!F126+'Agency South'!F126</f>
        <v>4</v>
      </c>
      <c r="F123" s="6">
        <f>'Agency North'!G126+'Agency South'!G126</f>
        <v>2</v>
      </c>
      <c r="G123" s="6">
        <f>'Agency North'!H126+'Agency South'!H126</f>
        <v>1</v>
      </c>
      <c r="H123" s="6">
        <f>'Agency North'!I126+'Agency South'!I126</f>
        <v>2</v>
      </c>
      <c r="I123" s="6">
        <f>'Agency North'!J126+'Agency South'!J126</f>
        <v>1</v>
      </c>
      <c r="J123" s="6">
        <f>'Agency North'!K126+'Agency South'!K126</f>
        <v>3</v>
      </c>
      <c r="K123" s="6">
        <f>'Agency North'!L126+'Agency South'!L126</f>
        <v>2</v>
      </c>
      <c r="L123" s="6">
        <f>'Agency North'!M126+'Agency South'!M126</f>
        <v>0</v>
      </c>
      <c r="M123" s="6">
        <f>'Agency North'!N126+'Agency South'!N126</f>
        <v>1</v>
      </c>
      <c r="N123" s="6">
        <f>'Agency North'!O126+'Agency South'!O126</f>
        <v>0</v>
      </c>
      <c r="O123" s="6">
        <f>'Agency North'!P126+'Agency South'!P126</f>
        <v>1</v>
      </c>
      <c r="P123" s="6">
        <f>'Agency North'!Q126+'Agency South'!Q126</f>
        <v>4</v>
      </c>
      <c r="Q123" s="6">
        <f>'Agency North'!R126+'Agency South'!R126</f>
        <v>3</v>
      </c>
      <c r="R123" s="6">
        <f>'Agency North'!S126+'Agency South'!S126</f>
        <v>3</v>
      </c>
      <c r="S123" s="6">
        <f>'Agency North'!T126+'Agency South'!T126</f>
        <v>7</v>
      </c>
      <c r="T123" s="6">
        <f>'Agency North'!U126+'Agency South'!U126</f>
        <v>3</v>
      </c>
      <c r="U123" s="6">
        <f>'Agency North'!V126+'Agency South'!V126</f>
        <v>4</v>
      </c>
      <c r="V123" s="6">
        <f>'Agency North'!W126+'Agency South'!W126</f>
        <v>9</v>
      </c>
      <c r="W123" s="6">
        <f>'Agency North'!X126+'Agency South'!X126</f>
        <v>5</v>
      </c>
      <c r="X123" s="6">
        <f>'Agency North'!Y126+'Agency South'!Y126</f>
        <v>5</v>
      </c>
      <c r="Y123" s="6">
        <f>'Agency North'!Z126+'Agency South'!Z126</f>
        <v>4</v>
      </c>
      <c r="Z123" s="22">
        <f>SUM(N123:INDEX(N123:Y123,$A$2))</f>
        <v>21</v>
      </c>
      <c r="AA123" s="22">
        <f t="shared" si="233"/>
        <v>5</v>
      </c>
      <c r="AB123" s="22">
        <f t="shared" si="234"/>
        <v>13</v>
      </c>
      <c r="AC123" s="22">
        <f t="shared" si="235"/>
        <v>16</v>
      </c>
      <c r="AD123" s="22">
        <f t="shared" si="236"/>
        <v>14</v>
      </c>
      <c r="AE123" s="22">
        <f>SUM(B123                                                                                : INDEX(B123:M123,$A$2))</f>
        <v>10</v>
      </c>
      <c r="AF123" s="22">
        <f t="shared" si="237"/>
        <v>1</v>
      </c>
      <c r="AG123" s="22">
        <f t="shared" si="238"/>
        <v>7</v>
      </c>
      <c r="AH123" s="22">
        <f t="shared" si="239"/>
        <v>6</v>
      </c>
      <c r="AI123" s="22">
        <f t="shared" si="240"/>
        <v>3</v>
      </c>
      <c r="AJ123" s="31">
        <f>IFERROR(Z123/AE123-1,0)</f>
        <v>1.1000000000000001</v>
      </c>
      <c r="AK123" s="31">
        <f t="shared" si="241"/>
        <v>4</v>
      </c>
      <c r="AL123" s="31">
        <f t="shared" si="241"/>
        <v>0.85714285714285721</v>
      </c>
      <c r="AM123" s="31">
        <f t="shared" si="241"/>
        <v>1.6666666666666665</v>
      </c>
      <c r="AN123" s="31">
        <f t="shared" si="241"/>
        <v>3.666666666666667</v>
      </c>
      <c r="AO123" s="113">
        <f>'GEN Lion NORTH'!AP125+'GEN Lion SOUTH'!AP125</f>
        <v>3</v>
      </c>
      <c r="AP123" s="113">
        <f>'GEN Lion NORTH'!AQ125+'GEN Lion SOUTH'!AQ125</f>
        <v>6</v>
      </c>
      <c r="AQ123" s="113">
        <f>'GEN Lion NORTH'!AR125+'GEN Lion SOUTH'!AR125</f>
        <v>0</v>
      </c>
      <c r="AR123" s="113">
        <f>'GEN Lion NORTH'!AS125+'GEN Lion SOUTH'!AS125</f>
        <v>4</v>
      </c>
      <c r="AS123" s="113">
        <f>'GEN Lion NORTH'!AT125+'GEN Lion SOUTH'!AT125</f>
        <v>2</v>
      </c>
      <c r="AT123" s="113">
        <f>'GEN Lion NORTH'!AU125+'GEN Lion SOUTH'!AU125</f>
        <v>2</v>
      </c>
      <c r="AU123" s="113">
        <f>'GEN Lion NORTH'!AV125+'GEN Lion SOUTH'!AV125</f>
        <v>0</v>
      </c>
      <c r="AV123" s="113">
        <f>'GEN Lion NORTH'!AW125+'GEN Lion SOUTH'!AW125</f>
        <v>0</v>
      </c>
      <c r="AW123" s="113">
        <f>'GEN Lion NORTH'!AX125+'GEN Lion SOUTH'!AX125</f>
        <v>0</v>
      </c>
      <c r="AX123" s="113">
        <f>'GEN Lion NORTH'!AY125+'GEN Lion SOUTH'!AY125</f>
        <v>0</v>
      </c>
      <c r="AY123" s="113">
        <f>'GEN Lion NORTH'!AZ125+'GEN Lion SOUTH'!AZ125</f>
        <v>0</v>
      </c>
      <c r="AZ123" s="113">
        <f>'GEN Lion NORTH'!BA125+'GEN Lion SOUTH'!BA125</f>
        <v>0</v>
      </c>
      <c r="BA123" s="113">
        <f>SUM(AO123:INDEX(AO123:AQ123,IF($A$2&lt;3,$A$2,3)))</f>
        <v>9</v>
      </c>
      <c r="BB123" s="113">
        <f>SUM(AR123:INDEX(AR123:AT123,IF(AND($A$2&gt;3,A121&lt;7),$A$2-3,0)))</f>
        <v>8</v>
      </c>
      <c r="BC123" s="113">
        <f>SUM(AU123:INDEX(AU123:AW123,IF(AND($A$2&gt;6,$A$2&lt;10),$A$2-6,0)))</f>
        <v>0</v>
      </c>
      <c r="BD123" s="113">
        <f>SUM(AX123:INDEX(AX123:AZ123,IF($A$2&gt;9,$A$2-9,0)))</f>
        <v>0</v>
      </c>
      <c r="BE123" s="113">
        <f>SUM($AO123:INDEX(AO123:AZ123,$A$2))</f>
        <v>17</v>
      </c>
      <c r="BF123" s="122">
        <f t="shared" si="244"/>
        <v>0</v>
      </c>
      <c r="BG123" s="111">
        <f t="shared" si="242"/>
        <v>6</v>
      </c>
      <c r="BH123" s="111">
        <f t="shared" si="242"/>
        <v>0</v>
      </c>
      <c r="BI123" s="111">
        <f t="shared" si="242"/>
        <v>1.3333333333333333</v>
      </c>
      <c r="BJ123" s="111">
        <f t="shared" si="242"/>
        <v>0.66666666666666663</v>
      </c>
      <c r="BK123" s="111">
        <f t="shared" si="242"/>
        <v>0.2857142857142857</v>
      </c>
      <c r="BL123" s="111">
        <f t="shared" si="242"/>
        <v>0</v>
      </c>
      <c r="BM123" s="111">
        <f t="shared" si="242"/>
        <v>0</v>
      </c>
      <c r="BN123" s="111">
        <f t="shared" si="242"/>
        <v>0</v>
      </c>
      <c r="BO123" s="111">
        <f t="shared" si="242"/>
        <v>0</v>
      </c>
      <c r="BP123" s="111">
        <f t="shared" si="242"/>
        <v>0</v>
      </c>
      <c r="BQ123" s="111">
        <f t="shared" si="242"/>
        <v>0</v>
      </c>
      <c r="BR123" s="111">
        <f>IFERROR(BA123/SUM(N123:INDEX(N123:P123,IF($A$2&lt;3,$A$2,3))),0)</f>
        <v>1.8</v>
      </c>
      <c r="BS123" s="111">
        <f>IFERROR(BB123/SUM(Q123:INDEX(Q123:S123,IF($A$2&lt;7,$A$2-3,3))),0)</f>
        <v>0.61538461538461542</v>
      </c>
      <c r="BT123" s="111">
        <f>IFERROR(BC123/SUM(T123:INDEX(T123:V123,IF($A$2&lt;3,$A$2,3))),0)</f>
        <v>0</v>
      </c>
      <c r="BU123" s="111">
        <f>IFERROR(BD123/SUM(W123:INDEX(W123:Y123,IF($A$2&lt;3,$A$2,3))),0)</f>
        <v>0</v>
      </c>
      <c r="BV123" s="111">
        <f t="shared" si="245"/>
        <v>0.80952380952380953</v>
      </c>
    </row>
    <row r="124" spans="1:77" s="20" customFormat="1" hidden="1" outlineLevel="1" x14ac:dyDescent="0.25">
      <c r="A124" s="1" t="s">
        <v>3</v>
      </c>
      <c r="B124" s="7">
        <f>SUM(B118:B123)</f>
        <v>440</v>
      </c>
      <c r="C124" s="7">
        <f t="shared" ref="C124:AD124" si="246">SUM(C118:C123)</f>
        <v>216</v>
      </c>
      <c r="D124" s="7">
        <f t="shared" si="246"/>
        <v>460</v>
      </c>
      <c r="E124" s="7">
        <f t="shared" si="246"/>
        <v>591</v>
      </c>
      <c r="F124" s="7">
        <f t="shared" si="246"/>
        <v>474</v>
      </c>
      <c r="G124" s="7">
        <f t="shared" si="246"/>
        <v>506</v>
      </c>
      <c r="H124" s="7">
        <f t="shared" si="246"/>
        <v>507</v>
      </c>
      <c r="I124" s="7">
        <f t="shared" si="246"/>
        <v>491</v>
      </c>
      <c r="J124" s="7">
        <f t="shared" si="246"/>
        <v>577</v>
      </c>
      <c r="K124" s="7">
        <f t="shared" si="246"/>
        <v>467</v>
      </c>
      <c r="L124" s="7">
        <f t="shared" si="246"/>
        <v>813</v>
      </c>
      <c r="M124" s="7">
        <f t="shared" si="246"/>
        <v>601</v>
      </c>
      <c r="N124" s="7">
        <f t="shared" si="246"/>
        <v>205</v>
      </c>
      <c r="O124" s="7">
        <f t="shared" si="246"/>
        <v>197</v>
      </c>
      <c r="P124" s="7">
        <f t="shared" si="246"/>
        <v>693</v>
      </c>
      <c r="Q124" s="7">
        <f t="shared" si="246"/>
        <v>556</v>
      </c>
      <c r="R124" s="7">
        <f t="shared" si="246"/>
        <v>755</v>
      </c>
      <c r="S124" s="7">
        <f t="shared" si="246"/>
        <v>1307</v>
      </c>
      <c r="T124" s="7">
        <f>SUM(T118:T123)</f>
        <v>929</v>
      </c>
      <c r="U124" s="7">
        <f t="shared" si="246"/>
        <v>1061</v>
      </c>
      <c r="V124" s="7">
        <f t="shared" si="246"/>
        <v>1275</v>
      </c>
      <c r="W124" s="7">
        <f t="shared" si="246"/>
        <v>1190</v>
      </c>
      <c r="X124" s="7">
        <f t="shared" si="246"/>
        <v>1319</v>
      </c>
      <c r="Y124" s="7">
        <f t="shared" si="246"/>
        <v>1507</v>
      </c>
      <c r="Z124" s="7">
        <f>SUM(N124:INDEX(N124:Y124,$A$2))</f>
        <v>4642</v>
      </c>
      <c r="AA124" s="7">
        <f t="shared" si="246"/>
        <v>1095</v>
      </c>
      <c r="AB124" s="7">
        <f t="shared" si="246"/>
        <v>2618</v>
      </c>
      <c r="AC124" s="7">
        <f t="shared" si="246"/>
        <v>3265</v>
      </c>
      <c r="AD124" s="7">
        <f t="shared" si="246"/>
        <v>4016</v>
      </c>
      <c r="AE124" s="7">
        <f>SUM(B124                                                                                : INDEX(B124:M124,$A$2))</f>
        <v>3194</v>
      </c>
      <c r="AF124" s="7">
        <f t="shared" si="237"/>
        <v>1116</v>
      </c>
      <c r="AG124" s="7">
        <f t="shared" si="238"/>
        <v>1571</v>
      </c>
      <c r="AH124" s="7">
        <f t="shared" si="239"/>
        <v>1575</v>
      </c>
      <c r="AI124" s="7">
        <f t="shared" si="240"/>
        <v>1881</v>
      </c>
      <c r="AJ124" s="32">
        <f t="shared" si="243"/>
        <v>0.45335003130870377</v>
      </c>
      <c r="AK124" s="32">
        <f t="shared" si="241"/>
        <v>-1.8817204301075252E-2</v>
      </c>
      <c r="AL124" s="32">
        <f t="shared" si="241"/>
        <v>0.66645448758752379</v>
      </c>
      <c r="AM124" s="32">
        <f t="shared" si="241"/>
        <v>1.0730158730158732</v>
      </c>
      <c r="AN124" s="32">
        <f t="shared" si="241"/>
        <v>1.1350345560871875</v>
      </c>
      <c r="AO124" s="113">
        <f t="shared" ref="AO124:BA124" si="247">SUM(AO118:AO123)</f>
        <v>509</v>
      </c>
      <c r="AP124" s="113">
        <f t="shared" si="247"/>
        <v>1052</v>
      </c>
      <c r="AQ124" s="113">
        <f t="shared" si="247"/>
        <v>1209</v>
      </c>
      <c r="AR124" s="113">
        <f t="shared" si="247"/>
        <v>962</v>
      </c>
      <c r="AS124" s="113">
        <f t="shared" si="247"/>
        <v>953</v>
      </c>
      <c r="AT124" s="113">
        <f t="shared" si="247"/>
        <v>1739</v>
      </c>
      <c r="AU124" s="113">
        <f t="shared" si="247"/>
        <v>0</v>
      </c>
      <c r="AV124" s="113">
        <f t="shared" si="247"/>
        <v>0</v>
      </c>
      <c r="AW124" s="113">
        <f t="shared" si="247"/>
        <v>0</v>
      </c>
      <c r="AX124" s="113">
        <f t="shared" si="247"/>
        <v>0</v>
      </c>
      <c r="AY124" s="113">
        <f t="shared" si="247"/>
        <v>0</v>
      </c>
      <c r="AZ124" s="113">
        <f t="shared" si="247"/>
        <v>0</v>
      </c>
      <c r="BA124" s="117">
        <f t="shared" si="247"/>
        <v>2770</v>
      </c>
      <c r="BB124" s="117">
        <f>SUM(AR124:INDEX(AR124:AT124,IF(AND($A$2&gt;3,A122&lt;7),$A$2-3,0)))</f>
        <v>3654</v>
      </c>
      <c r="BC124" s="117">
        <f>SUM(AU124:INDEX(AU124:AW124,IF(AND($A$2&gt;6,$A$2&lt;10),$A$2-6,0)))</f>
        <v>0</v>
      </c>
      <c r="BD124" s="117">
        <f>SUM(AX124:INDEX(AX124:AZ124,IF($A$2&gt;9,$A$2-9,0)))</f>
        <v>0</v>
      </c>
      <c r="BE124" s="117">
        <f>SUM($AO124:INDEX(AO124:AZ124,$A$2))</f>
        <v>6424</v>
      </c>
      <c r="BF124" s="123">
        <f t="shared" ref="BF124:BQ124" si="248">AO124/N124</f>
        <v>2.4829268292682927</v>
      </c>
      <c r="BG124" s="118">
        <f t="shared" si="248"/>
        <v>5.3401015228426392</v>
      </c>
      <c r="BH124" s="118">
        <f t="shared" si="248"/>
        <v>1.7445887445887447</v>
      </c>
      <c r="BI124" s="118">
        <f t="shared" si="248"/>
        <v>1.7302158273381294</v>
      </c>
      <c r="BJ124" s="118">
        <f t="shared" si="248"/>
        <v>1.262251655629139</v>
      </c>
      <c r="BK124" s="118">
        <f t="shared" si="248"/>
        <v>1.3305279265493497</v>
      </c>
      <c r="BL124" s="118">
        <f t="shared" si="248"/>
        <v>0</v>
      </c>
      <c r="BM124" s="118">
        <f t="shared" si="248"/>
        <v>0</v>
      </c>
      <c r="BN124" s="118">
        <f t="shared" si="248"/>
        <v>0</v>
      </c>
      <c r="BO124" s="118">
        <f t="shared" si="248"/>
        <v>0</v>
      </c>
      <c r="BP124" s="118">
        <f t="shared" si="248"/>
        <v>0</v>
      </c>
      <c r="BQ124" s="118">
        <f t="shared" si="248"/>
        <v>0</v>
      </c>
      <c r="BR124" s="118">
        <f>IFERROR(BA124/SUM(N124:INDEX(N124:P124,IF($A$2&lt;3,$A$2,3))),0)</f>
        <v>2.5296803652968038</v>
      </c>
      <c r="BS124" s="118">
        <f>IFERROR(BB124/SUM(Q124:INDEX(Q124:S124,IF($A$2&lt;7,$A$2-3,3))),0)</f>
        <v>1.3957219251336899</v>
      </c>
      <c r="BT124" s="118">
        <f>IFERROR(BC124/SUM(T124:INDEX(T124:V124,IF($A$2&lt;3,$A$2,3))),0)</f>
        <v>0</v>
      </c>
      <c r="BU124" s="118">
        <f>IFERROR(BD124/SUM(W124:INDEX(W124:Y124,IF($A$2&lt;3,$A$2,3))),0)</f>
        <v>0</v>
      </c>
      <c r="BV124" s="118">
        <f t="shared" si="245"/>
        <v>1.3838862559241707</v>
      </c>
    </row>
    <row r="125" spans="1:77" hidden="1" outlineLevel="1" x14ac:dyDescent="0.25">
      <c r="B125" s="6">
        <f t="shared" ref="B125:L125" si="249">B90</f>
        <v>448</v>
      </c>
      <c r="C125" s="6">
        <f t="shared" si="249"/>
        <v>219</v>
      </c>
      <c r="D125" s="6">
        <f t="shared" si="249"/>
        <v>462</v>
      </c>
      <c r="E125" s="6">
        <f t="shared" si="249"/>
        <v>595</v>
      </c>
      <c r="F125" s="6">
        <f t="shared" si="249"/>
        <v>476</v>
      </c>
      <c r="G125" s="6">
        <f t="shared" si="249"/>
        <v>507</v>
      </c>
      <c r="H125" s="6">
        <f t="shared" si="249"/>
        <v>508</v>
      </c>
      <c r="I125" s="6">
        <f t="shared" si="249"/>
        <v>492</v>
      </c>
      <c r="J125" s="6">
        <f t="shared" si="249"/>
        <v>575</v>
      </c>
      <c r="K125" s="6">
        <f t="shared" si="249"/>
        <v>464</v>
      </c>
      <c r="L125" s="6">
        <f t="shared" si="249"/>
        <v>809</v>
      </c>
      <c r="M125" s="6">
        <f>M90</f>
        <v>610</v>
      </c>
      <c r="N125" s="6">
        <f t="shared" ref="N125:T125" si="250">N90</f>
        <v>206</v>
      </c>
      <c r="O125" s="6">
        <f t="shared" si="250"/>
        <v>198</v>
      </c>
      <c r="P125" s="6">
        <f t="shared" si="250"/>
        <v>685</v>
      </c>
      <c r="Q125" s="6">
        <f t="shared" si="250"/>
        <v>545</v>
      </c>
      <c r="R125" s="6">
        <f t="shared" si="250"/>
        <v>749</v>
      </c>
      <c r="S125" s="6">
        <f t="shared" si="250"/>
        <v>1300</v>
      </c>
      <c r="T125" s="6">
        <f t="shared" si="250"/>
        <v>929</v>
      </c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</row>
    <row r="126" spans="1:77" hidden="1" outlineLevel="1" x14ac:dyDescent="0.25"/>
    <row r="127" spans="1:77" collapsed="1" x14ac:dyDescent="0.25">
      <c r="A127" s="2" t="s">
        <v>47</v>
      </c>
      <c r="B127" s="3">
        <v>42005</v>
      </c>
      <c r="C127" s="3">
        <v>42036</v>
      </c>
      <c r="D127" s="3">
        <v>42064</v>
      </c>
      <c r="E127" s="3">
        <v>42095</v>
      </c>
      <c r="F127" s="3">
        <v>42125</v>
      </c>
      <c r="G127" s="3">
        <v>42156</v>
      </c>
      <c r="H127" s="3">
        <v>42186</v>
      </c>
      <c r="I127" s="3">
        <v>42217</v>
      </c>
      <c r="J127" s="3">
        <v>42248</v>
      </c>
      <c r="K127" s="3">
        <v>42278</v>
      </c>
      <c r="L127" s="3">
        <v>42309</v>
      </c>
      <c r="M127" s="3">
        <v>42339</v>
      </c>
      <c r="N127" s="3">
        <v>42370</v>
      </c>
      <c r="O127" s="3">
        <v>42401</v>
      </c>
      <c r="P127" s="3">
        <v>42430</v>
      </c>
      <c r="Q127" s="3">
        <v>42461</v>
      </c>
      <c r="R127" s="3">
        <v>42491</v>
      </c>
      <c r="S127" s="3">
        <v>42522</v>
      </c>
      <c r="T127" s="3">
        <v>42552</v>
      </c>
      <c r="U127" s="3">
        <v>42583</v>
      </c>
      <c r="V127" s="3">
        <v>42614</v>
      </c>
      <c r="W127" s="3">
        <v>42644</v>
      </c>
      <c r="X127" s="3">
        <v>42675</v>
      </c>
      <c r="Y127" s="3">
        <v>42705</v>
      </c>
      <c r="Z127" s="18" t="s">
        <v>122</v>
      </c>
      <c r="AO127" s="108">
        <v>42736</v>
      </c>
      <c r="AP127" s="108">
        <v>42767</v>
      </c>
      <c r="AQ127" s="108">
        <v>42795</v>
      </c>
      <c r="AR127" s="108">
        <v>42826</v>
      </c>
      <c r="AS127" s="108">
        <v>42856</v>
      </c>
      <c r="AT127" s="108">
        <v>42887</v>
      </c>
      <c r="AU127" s="108">
        <v>42917</v>
      </c>
      <c r="AV127" s="108">
        <v>42948</v>
      </c>
      <c r="AW127" s="108">
        <v>42979</v>
      </c>
      <c r="AX127" s="108">
        <v>43009</v>
      </c>
      <c r="AY127" s="108">
        <v>43040</v>
      </c>
      <c r="AZ127" s="108">
        <v>43070</v>
      </c>
      <c r="BA127" s="29" t="s">
        <v>123</v>
      </c>
      <c r="BB127" s="29" t="s">
        <v>124</v>
      </c>
      <c r="BC127" s="29" t="s">
        <v>125</v>
      </c>
      <c r="BD127" s="29" t="s">
        <v>126</v>
      </c>
      <c r="BE127" s="29" t="str">
        <f>"YTD " &amp; A126 &amp;"/17"</f>
        <v>YTD /17</v>
      </c>
      <c r="BF127" s="108">
        <v>42736</v>
      </c>
      <c r="BG127" s="108">
        <v>42767</v>
      </c>
      <c r="BH127" s="108">
        <v>42795</v>
      </c>
      <c r="BI127" s="108">
        <v>42826</v>
      </c>
      <c r="BJ127" s="108">
        <v>42856</v>
      </c>
      <c r="BK127" s="108">
        <v>42887</v>
      </c>
      <c r="BL127" s="108">
        <v>42917</v>
      </c>
      <c r="BM127" s="108">
        <v>42948</v>
      </c>
      <c r="BN127" s="108">
        <v>42979</v>
      </c>
      <c r="BO127" s="108">
        <v>43009</v>
      </c>
      <c r="BP127" s="108">
        <v>43040</v>
      </c>
      <c r="BQ127" s="108">
        <v>43070</v>
      </c>
      <c r="BR127" s="29" t="s">
        <v>127</v>
      </c>
      <c r="BS127" s="29" t="s">
        <v>128</v>
      </c>
      <c r="BT127" s="29" t="s">
        <v>96</v>
      </c>
      <c r="BU127" s="29" t="s">
        <v>129</v>
      </c>
      <c r="BV127" s="112" t="s">
        <v>130</v>
      </c>
    </row>
    <row r="128" spans="1:77" x14ac:dyDescent="0.25">
      <c r="A128" t="s">
        <v>5</v>
      </c>
      <c r="B128" s="8">
        <v>0.21262111309481932</v>
      </c>
      <c r="C128" s="8">
        <v>0.12550006868156918</v>
      </c>
      <c r="D128" s="8">
        <v>0.15252401662255535</v>
      </c>
      <c r="E128" s="8">
        <v>0.20720532101352498</v>
      </c>
      <c r="F128" s="8">
        <v>0.17397816289510715</v>
      </c>
      <c r="G128" s="8">
        <v>0.14465571370954175</v>
      </c>
      <c r="H128" s="8">
        <v>0.1558796774204817</v>
      </c>
      <c r="I128" s="8">
        <v>0.17664562659413122</v>
      </c>
      <c r="J128" s="8">
        <v>0.16514076198955696</v>
      </c>
      <c r="K128" s="8">
        <v>0.14954541302589053</v>
      </c>
      <c r="L128" s="8">
        <v>0.21068415726554748</v>
      </c>
      <c r="M128" s="8">
        <v>0.15319723696220608</v>
      </c>
      <c r="N128" s="8">
        <v>0.10657568359013686</v>
      </c>
      <c r="O128" s="8">
        <v>7.992238323488346E-2</v>
      </c>
      <c r="P128" s="8">
        <v>0.26717322539217886</v>
      </c>
      <c r="Q128" s="8">
        <v>0.24146886900346712</v>
      </c>
      <c r="R128" s="8">
        <v>0.21720141590413253</v>
      </c>
      <c r="S128" s="8">
        <v>0.3003922854713294</v>
      </c>
      <c r="T128" s="8">
        <v>0.21929388672166172</v>
      </c>
      <c r="U128" s="8">
        <v>0.25055627980832801</v>
      </c>
      <c r="V128" s="8">
        <v>0.27758934008050795</v>
      </c>
      <c r="W128" s="8">
        <f>VLOOKUP($A128,$A$4:$W$10,23,0)/$W$12</f>
        <v>0.21180383944251063</v>
      </c>
      <c r="X128" s="8">
        <f t="shared" ref="X128:X134" si="251">VLOOKUP($A128,$A$4:$X$10,24,0)/$X$12</f>
        <v>0.22019447623739483</v>
      </c>
      <c r="Y128" s="8">
        <f t="shared" ref="Y128:Y134" si="252">VLOOKUP($A128,$A$4:$Y$10,25,0)/$Y$12</f>
        <v>0.21324797856093705</v>
      </c>
      <c r="Z128" s="8">
        <f t="shared" ref="Z128:Z134" si="253">VLOOKUP($A128,$A$4:$Z$10,26,0)/$Z$12</f>
        <v>0.23135312875348951</v>
      </c>
      <c r="AO128" s="170">
        <f>VLOOKUP($A128,$A$4:AO$10,41,0)/AO$12</f>
        <v>0.15689002985189229</v>
      </c>
      <c r="AP128" s="170">
        <f>VLOOKUP($A128,$A$4:AP$10,42,0)/SUM($AP$4:$AP$10)</f>
        <v>0.14899150428115265</v>
      </c>
      <c r="AQ128" s="170">
        <f>VLOOKUP($A128,$A$4:AQ$10,43,0)/SUM($AQ$4:$AQ$10)</f>
        <v>0.2569252665654414</v>
      </c>
      <c r="AR128" s="167">
        <f>VLOOKUP($A128,$A$4:AR$10,44,0)/SUM($AR$4:$AR$10)</f>
        <v>0.22104117604340651</v>
      </c>
      <c r="AS128" s="167">
        <f>VLOOKUP($A128,$A$4:AS$10,45,0)/SUM($AS$4:$AS$10)</f>
        <v>0.18762147489771527</v>
      </c>
      <c r="AT128" s="167">
        <f>VLOOKUP($A128,$A$4:AT$10,46,0)/SUM($AS$4:$AS$10)</f>
        <v>0.37023047124098402</v>
      </c>
      <c r="AU128" s="167">
        <f>VLOOKUP($A128,$A$4:AU$10,47,0)/SUM($AU$4:$AU$10)</f>
        <v>0.25077354339489349</v>
      </c>
      <c r="BA128" s="167">
        <f>BA5/SUM(BA$4:BA$10)</f>
        <v>0.20059649662214782</v>
      </c>
      <c r="BB128" s="167">
        <f>BB5/SUM(BB$4:BB$10)</f>
        <v>0.25150557077889357</v>
      </c>
      <c r="BC128" s="167">
        <f>BC5/SUM(BC$4:BC$10)</f>
        <v>0.25077354339489349</v>
      </c>
      <c r="BE128" s="8">
        <f>INDEX($A$4:$BE$10,MATCH(A128,$A$4:$A$10,0),57)/SUM($BE$4:$BE$10)</f>
        <v>0.23231335790896032</v>
      </c>
      <c r="BW128"/>
      <c r="BY128"/>
    </row>
    <row r="129" spans="1:77" x14ac:dyDescent="0.25">
      <c r="A129" t="s">
        <v>6</v>
      </c>
      <c r="B129" s="8">
        <v>0.17599179622177347</v>
      </c>
      <c r="C129" s="8">
        <v>0.20398613903160859</v>
      </c>
      <c r="D129" s="8">
        <v>0.11324688087661548</v>
      </c>
      <c r="E129" s="8">
        <v>0.13616148790782093</v>
      </c>
      <c r="F129" s="8">
        <v>0.18627224795958089</v>
      </c>
      <c r="G129" s="8">
        <v>0.1312466245733005</v>
      </c>
      <c r="H129" s="8">
        <v>0.12354008000308501</v>
      </c>
      <c r="I129" s="8">
        <v>0.15184947783425704</v>
      </c>
      <c r="J129" s="8">
        <v>0.11935948040351022</v>
      </c>
      <c r="K129" s="8">
        <v>0.18223860977134418</v>
      </c>
      <c r="L129" s="8">
        <v>7.1778628910426259E-2</v>
      </c>
      <c r="M129" s="8">
        <v>0.15140921339420196</v>
      </c>
      <c r="N129" s="8">
        <v>0.14737700557356362</v>
      </c>
      <c r="O129" s="8">
        <v>7.7084576528537632E-2</v>
      </c>
      <c r="P129" s="8">
        <v>4.635427432217E-2</v>
      </c>
      <c r="Q129" s="8">
        <v>0.1276795549967123</v>
      </c>
      <c r="R129" s="8">
        <v>0.1302802082049824</v>
      </c>
      <c r="S129" s="8">
        <v>0.15301253331094794</v>
      </c>
      <c r="T129" s="8">
        <v>0.17835314646613831</v>
      </c>
      <c r="U129" s="8">
        <v>0.12489174270535976</v>
      </c>
      <c r="V129" s="8">
        <v>0.16299921514038912</v>
      </c>
      <c r="W129" s="8">
        <f t="shared" ref="W129:W134" si="254">VLOOKUP(A129,$A$4:$W$10,23,0)/$W$12</f>
        <v>0.19523302141107515</v>
      </c>
      <c r="X129" s="8">
        <f t="shared" si="251"/>
        <v>0.16729466166590992</v>
      </c>
      <c r="Y129" s="8">
        <f t="shared" si="252"/>
        <v>0.10518829172458818</v>
      </c>
      <c r="Z129" s="8">
        <f t="shared" si="253"/>
        <v>0.12475386675007472</v>
      </c>
      <c r="AO129" s="170">
        <f>VLOOKUP($A129,$A$4:AO$10,41,0)/AO$12</f>
        <v>0.13835736208233404</v>
      </c>
      <c r="AP129" s="170">
        <f>VLOOKUP($A129,$A$4:AP$10,42,0)/SUM($AP$4:$AP$10)</f>
        <v>6.7285732384538569E-2</v>
      </c>
      <c r="AQ129" s="170">
        <f>VLOOKUP($A129,$A$4:AQ$10,43,0)/SUM($AQ$4:$AQ$10)</f>
        <v>0.12615467294255961</v>
      </c>
      <c r="AR129" s="167">
        <f>VLOOKUP($A129,$A$4:AR$10,44,0)/SUM($AR$4:$AR$10)</f>
        <v>0.11220134659874885</v>
      </c>
      <c r="AS129" s="167">
        <f>VLOOKUP($A129,$A$4:AS$10,45,0)/SUM($AS$4:$AS$10)</f>
        <v>0.1128944547463808</v>
      </c>
      <c r="AT129" s="167">
        <f>VLOOKUP($A129,$A$4:AT$10,46,0)/SUM($AS$4:$AS$10)</f>
        <v>8.2612492927144912E-2</v>
      </c>
      <c r="AU129" s="167">
        <f>VLOOKUP($A129,$A$4:AU$10,47,0)/SUM($AU$4:$AU$10)</f>
        <v>0.12192415282393525</v>
      </c>
      <c r="BA129" s="167">
        <f t="shared" ref="BA129:BB133" si="255">BA6/SUM(BA$4:BA$10)</f>
        <v>0.10958410397430414</v>
      </c>
      <c r="BB129" s="167">
        <f t="shared" si="255"/>
        <v>9.8794455414904503E-2</v>
      </c>
      <c r="BC129" s="167">
        <f>BC6/SUM(BC$4:BC$10)</f>
        <v>0.12192415282393525</v>
      </c>
      <c r="BE129" s="8">
        <f t="shared" ref="BE129:BE134" si="256">INDEX($A$4:$BE$10,MATCH(A129,$A$4:$A$10,0),57)/SUM($BE$4:$BE$10)</f>
        <v>0.10602118368602309</v>
      </c>
      <c r="BW129"/>
      <c r="BY129"/>
    </row>
    <row r="130" spans="1:77" x14ac:dyDescent="0.25">
      <c r="A130" t="s">
        <v>7</v>
      </c>
      <c r="B130" s="8">
        <v>0.20531110743998712</v>
      </c>
      <c r="C130" s="8">
        <v>0.22382245919358892</v>
      </c>
      <c r="D130" s="8">
        <v>0.21065562776151761</v>
      </c>
      <c r="E130" s="8">
        <v>9.5104609499621351E-2</v>
      </c>
      <c r="F130" s="8">
        <v>0.1349325079205036</v>
      </c>
      <c r="G130" s="8">
        <v>0.20946819114337079</v>
      </c>
      <c r="H130" s="8">
        <v>0.1606966984977144</v>
      </c>
      <c r="I130" s="8">
        <v>0.15360742552152309</v>
      </c>
      <c r="J130" s="8">
        <v>0.14464709501162606</v>
      </c>
      <c r="K130" s="8">
        <v>0.18157512996188455</v>
      </c>
      <c r="L130" s="8">
        <v>0.17570713220805886</v>
      </c>
      <c r="M130" s="8">
        <v>0.12810698203078211</v>
      </c>
      <c r="N130" s="8">
        <v>0.18198201706847919</v>
      </c>
      <c r="O130" s="8">
        <v>0.24799392854863658</v>
      </c>
      <c r="P130" s="8">
        <v>0.14960058851463887</v>
      </c>
      <c r="Q130" s="8">
        <v>6.915623349822099E-2</v>
      </c>
      <c r="R130" s="8">
        <v>0.15947363181001253</v>
      </c>
      <c r="S130" s="8">
        <v>0.15695793916267192</v>
      </c>
      <c r="T130" s="8">
        <v>0.18153857205372365</v>
      </c>
      <c r="U130" s="8">
        <v>0.18953509313101691</v>
      </c>
      <c r="V130" s="8">
        <v>0.17211077619808585</v>
      </c>
      <c r="W130" s="8">
        <f t="shared" si="254"/>
        <v>0.12908288116022193</v>
      </c>
      <c r="X130" s="8">
        <f t="shared" si="251"/>
        <v>0.21554575067800594</v>
      </c>
      <c r="Y130" s="8">
        <f t="shared" si="252"/>
        <v>0.23576875039513334</v>
      </c>
      <c r="Z130" s="8">
        <f t="shared" si="253"/>
        <v>0.15395644419175322</v>
      </c>
      <c r="AO130" s="170">
        <f>VLOOKUP($A130,$A$4:AO$10,41,0)/AO$12</f>
        <v>0.24078847450318475</v>
      </c>
      <c r="AP130" s="170">
        <f>VLOOKUP($A130,$A$4:AP$10,42,0)/SUM($AP$4:$AP$10)</f>
        <v>0.25309917678305327</v>
      </c>
      <c r="AQ130" s="170">
        <f>VLOOKUP($A130,$A$4:AQ$10,43,0)/SUM($AQ$4:$AQ$10)</f>
        <v>0.11875300238653415</v>
      </c>
      <c r="AR130" s="167">
        <f>VLOOKUP($A130,$A$4:AR$10,44,0)/SUM($AR$4:$AR$10)</f>
        <v>9.0006328391654816E-2</v>
      </c>
      <c r="AS130" s="167">
        <f>VLOOKUP($A130,$A$4:AS$10,45,0)/SUM($AS$4:$AS$10)</f>
        <v>9.5592353183562351E-2</v>
      </c>
      <c r="AT130" s="167">
        <f>VLOOKUP($A130,$A$4:AT$10,46,0)/SUM($AS$4:$AS$10)</f>
        <v>0.11819631908240366</v>
      </c>
      <c r="AU130" s="167">
        <f>VLOOKUP($A130,$A$4:AU$10,47,0)/SUM($AU$4:$AU$10)</f>
        <v>0.13720577945972184</v>
      </c>
      <c r="BA130" s="167">
        <f t="shared" si="255"/>
        <v>0.18834040225639179</v>
      </c>
      <c r="BB130" s="167">
        <f>BB7/SUM(BB$4:BB$10)</f>
        <v>9.8009659448176786E-2</v>
      </c>
      <c r="BC130" s="167">
        <f t="shared" ref="BC130" si="257">BC7/SUM(BC$4:BC$10)</f>
        <v>0.13720577945972184</v>
      </c>
      <c r="BE130" s="8">
        <f t="shared" si="256"/>
        <v>0.13727454593451516</v>
      </c>
      <c r="BW130"/>
      <c r="BY130"/>
    </row>
    <row r="131" spans="1:77" x14ac:dyDescent="0.25">
      <c r="A131" t="s">
        <v>8</v>
      </c>
      <c r="B131" s="8">
        <v>8.5705119941284214E-2</v>
      </c>
      <c r="C131" s="8">
        <v>0.12611748449304994</v>
      </c>
      <c r="D131" s="8">
        <v>0.13950792096135214</v>
      </c>
      <c r="E131" s="8">
        <v>0.16592078533912377</v>
      </c>
      <c r="F131" s="8">
        <v>0.1678019052251247</v>
      </c>
      <c r="G131" s="8">
        <v>0.10521311455837949</v>
      </c>
      <c r="H131" s="8">
        <v>0.12338458009408011</v>
      </c>
      <c r="I131" s="8">
        <v>0.17421652526760459</v>
      </c>
      <c r="J131" s="8">
        <v>0.12206931322804548</v>
      </c>
      <c r="K131" s="8">
        <v>0.14845669485459062</v>
      </c>
      <c r="L131" s="8">
        <v>0.13690363697407754</v>
      </c>
      <c r="M131" s="8">
        <v>0.14458417549879099</v>
      </c>
      <c r="N131" s="8">
        <v>0.15461262933483721</v>
      </c>
      <c r="O131" s="8">
        <v>0.12682344472967425</v>
      </c>
      <c r="P131" s="8">
        <v>0.16521908439146171</v>
      </c>
      <c r="Q131" s="8">
        <v>0.18149905600382626</v>
      </c>
      <c r="R131" s="8">
        <v>0.10594342798280053</v>
      </c>
      <c r="S131" s="8">
        <v>6.3707938332714306E-2</v>
      </c>
      <c r="T131" s="8">
        <v>8.765532885500131E-2</v>
      </c>
      <c r="U131" s="8">
        <v>0.12413702977549995</v>
      </c>
      <c r="V131" s="8">
        <v>0.12307442818616079</v>
      </c>
      <c r="W131" s="8">
        <f t="shared" si="254"/>
        <v>0.17155415523500647</v>
      </c>
      <c r="X131" s="8">
        <f t="shared" si="251"/>
        <v>9.0356819619241829E-2</v>
      </c>
      <c r="Y131" s="8">
        <f t="shared" si="252"/>
        <v>9.7218453201283611E-2</v>
      </c>
      <c r="Z131" s="8">
        <f t="shared" si="253"/>
        <v>0.12125447001692494</v>
      </c>
      <c r="AO131" s="170">
        <f>VLOOKUP($A131,$A$4:AO$10,41,0)/AO$12</f>
        <v>0.11553910560436104</v>
      </c>
      <c r="AP131" s="170">
        <f>VLOOKUP($A131,$A$4:AP$10,42,0)/SUM($AP$4:$AP$10)</f>
        <v>0.17376280784543538</v>
      </c>
      <c r="AQ131" s="170">
        <f>VLOOKUP($A131,$A$4:AQ$10,43,0)/SUM($AQ$4:$AQ$10)</f>
        <v>0.18484510590658709</v>
      </c>
      <c r="AR131" s="167">
        <f>VLOOKUP($A131,$A$4:AR$10,44,0)/SUM($AR$4:$AR$10)</f>
        <v>6.7416667531201041E-2</v>
      </c>
      <c r="AS131" s="167">
        <f>VLOOKUP($A131,$A$4:AS$10,45,0)/SUM($AS$4:$AS$10)</f>
        <v>5.1734566397519867E-2</v>
      </c>
      <c r="AT131" s="167">
        <f>VLOOKUP($A131,$A$4:AT$10,46,0)/SUM($AS$4:$AS$10)</f>
        <v>4.786436963643835E-2</v>
      </c>
      <c r="AU131" s="167">
        <f>VLOOKUP($A131,$A$4:AU$10,47,0)/SUM($AU$4:$AU$10)</f>
        <v>6.1491455723183555E-2</v>
      </c>
      <c r="BA131" s="167">
        <f t="shared" si="255"/>
        <v>0.16654765895847051</v>
      </c>
      <c r="BB131" s="167">
        <f t="shared" si="255"/>
        <v>5.3474921935546718E-2</v>
      </c>
      <c r="BC131" s="167">
        <f t="shared" ref="BC131" si="258">BC8/SUM(BC$4:BC$10)</f>
        <v>6.1491455723183555E-2</v>
      </c>
      <c r="BE131" s="8">
        <f t="shared" si="256"/>
        <v>9.698096766297061E-2</v>
      </c>
      <c r="BW131"/>
      <c r="BY131"/>
    </row>
    <row r="132" spans="1:77" x14ac:dyDescent="0.25">
      <c r="A132" t="s">
        <v>1</v>
      </c>
      <c r="B132" s="8">
        <v>8.7781790096585238E-2</v>
      </c>
      <c r="C132" s="8">
        <v>0.13405946088891305</v>
      </c>
      <c r="D132" s="8">
        <v>7.5339154234120451E-2</v>
      </c>
      <c r="E132" s="8">
        <v>0.14073898463097417</v>
      </c>
      <c r="F132" s="8">
        <v>0.13675530654238846</v>
      </c>
      <c r="G132" s="8">
        <v>0.19454797655311931</v>
      </c>
      <c r="H132" s="8">
        <v>0.14293176285217624</v>
      </c>
      <c r="I132" s="8">
        <v>0.1353858928134494</v>
      </c>
      <c r="J132" s="8">
        <v>0.14291186314395091</v>
      </c>
      <c r="K132" s="8">
        <v>0.1826941987226888</v>
      </c>
      <c r="L132" s="8">
        <v>0.18658787292822662</v>
      </c>
      <c r="M132" s="8">
        <v>0.15017872953291</v>
      </c>
      <c r="N132" s="8">
        <v>0.12593893966367006</v>
      </c>
      <c r="O132" s="8">
        <v>0.15015160114345796</v>
      </c>
      <c r="P132" s="8">
        <v>0.14627875592152198</v>
      </c>
      <c r="Q132" s="8">
        <v>0.11176046541625868</v>
      </c>
      <c r="R132" s="8">
        <v>0.16541198406555524</v>
      </c>
      <c r="S132" s="8">
        <v>0.13846519939616991</v>
      </c>
      <c r="T132" s="8">
        <v>0.13851261998947259</v>
      </c>
      <c r="U132" s="8">
        <v>0.11512070274377788</v>
      </c>
      <c r="V132" s="8">
        <v>9.4157795165604685E-2</v>
      </c>
      <c r="W132" s="8">
        <f t="shared" si="254"/>
        <v>9.0337317933873035E-2</v>
      </c>
      <c r="X132" s="8">
        <f t="shared" si="251"/>
        <v>0.135458099013093</v>
      </c>
      <c r="Y132" s="8">
        <f t="shared" si="252"/>
        <v>0.14331644484262079</v>
      </c>
      <c r="Z132" s="8">
        <f t="shared" si="253"/>
        <v>0.13952551835027996</v>
      </c>
      <c r="AO132" s="170">
        <f>VLOOKUP($A132,$A$4:AO$10,41,0)/AO$12</f>
        <v>3.8714795876942203E-2</v>
      </c>
      <c r="AP132" s="170">
        <f>VLOOKUP($A132,$A$4:AP$10,42,0)/SUM($AP$4:$AP$10)</f>
        <v>4.3207840708416635E-2</v>
      </c>
      <c r="AQ132" s="170">
        <f>VLOOKUP($A132,$A$4:AQ$10,43,0)/SUM($AQ$4:$AQ$10)</f>
        <v>6.1358903163279598E-2</v>
      </c>
      <c r="AR132" s="167">
        <f>VLOOKUP($A132,$A$4:AR$10,44,0)/SUM($AR$4:$AR$10)</f>
        <v>9.0448900830990442E-2</v>
      </c>
      <c r="AS132" s="167">
        <f>VLOOKUP($A132,$A$4:AS$10,45,0)/SUM($AS$4:$AS$10)</f>
        <v>0.17939329826575237</v>
      </c>
      <c r="AT132" s="167">
        <f>VLOOKUP($A132,$A$4:AT$10,46,0)/SUM($AS$4:$AS$10)</f>
        <v>6.9815768666010761E-2</v>
      </c>
      <c r="AU132" s="167">
        <f>VLOOKUP($A132,$A$4:AU$10,47,0)/SUM($AU$4:$AU$10)</f>
        <v>7.5497790230459313E-2</v>
      </c>
      <c r="BA132" s="167">
        <f t="shared" si="255"/>
        <v>5.0652209713324861E-2</v>
      </c>
      <c r="BB132" s="167">
        <f t="shared" si="255"/>
        <v>0.10981092938611395</v>
      </c>
      <c r="BC132" s="167">
        <f t="shared" ref="BC132" si="259">BC9/SUM(BC$4:BC$10)</f>
        <v>7.5497790230459313E-2</v>
      </c>
      <c r="BE132" s="8">
        <f t="shared" si="256"/>
        <v>8.2907389853801666E-2</v>
      </c>
      <c r="BW132"/>
      <c r="BY132"/>
    </row>
    <row r="133" spans="1:77" x14ac:dyDescent="0.25">
      <c r="A133" t="s">
        <v>2</v>
      </c>
      <c r="B133" s="8">
        <v>3.5552009433231467E-2</v>
      </c>
      <c r="C133" s="8">
        <v>4.2427196707881878E-2</v>
      </c>
      <c r="D133" s="8">
        <v>3.4339627665326389E-2</v>
      </c>
      <c r="E133" s="8">
        <v>1.8259564185044461E-2</v>
      </c>
      <c r="F133" s="8">
        <v>2.629843935747142E-2</v>
      </c>
      <c r="G133" s="8">
        <v>4.0965260612879903E-2</v>
      </c>
      <c r="H133" s="8">
        <v>3.5118732339946751E-2</v>
      </c>
      <c r="I133" s="8">
        <v>6.5185923660691758E-2</v>
      </c>
      <c r="J133" s="8">
        <v>0.13153850057683303</v>
      </c>
      <c r="K133" s="8">
        <v>-2.9566270463637398E-2</v>
      </c>
      <c r="L133" s="8">
        <v>0.10510128636326518</v>
      </c>
      <c r="M133" s="8">
        <v>0.11379390040457341</v>
      </c>
      <c r="N133" s="8">
        <v>0.10828868497622542</v>
      </c>
      <c r="O133" s="8">
        <v>0.16300362882917166</v>
      </c>
      <c r="P133" s="8">
        <v>9.6202971322606981E-2</v>
      </c>
      <c r="Q133" s="8">
        <v>5.2731390580487522E-2</v>
      </c>
      <c r="R133" s="8">
        <v>9.520270604104962E-2</v>
      </c>
      <c r="S133" s="8">
        <v>9.9127939651161456E-2</v>
      </c>
      <c r="T133" s="8">
        <v>8.0085007765568109E-2</v>
      </c>
      <c r="U133" s="8">
        <v>0.11148508776465052</v>
      </c>
      <c r="V133" s="8">
        <v>9.4569936662279766E-2</v>
      </c>
      <c r="W133" s="8">
        <f t="shared" si="254"/>
        <v>0.12316798475780862</v>
      </c>
      <c r="X133" s="8">
        <f t="shared" si="251"/>
        <v>9.4989543912168586E-2</v>
      </c>
      <c r="Y133" s="8">
        <f t="shared" si="252"/>
        <v>0.13323462940761502</v>
      </c>
      <c r="Z133" s="8">
        <f t="shared" si="253"/>
        <v>9.2794779739468036E-2</v>
      </c>
      <c r="AO133" s="170">
        <f>VLOOKUP($A133,$A$4:AO$10,41,0)/AO$12</f>
        <v>0.11341516595987679</v>
      </c>
      <c r="AP133" s="170">
        <f>VLOOKUP($A133,$A$4:AP$10,42,0)/SUM($AP$4:$AP$10)</f>
        <v>7.5023753118529934E-2</v>
      </c>
      <c r="AQ133" s="170">
        <f>VLOOKUP($A133,$A$4:AQ$10,43,0)/SUM($AQ$4:$AQ$10)</f>
        <v>7.1648943311902982E-2</v>
      </c>
      <c r="AR133" s="167">
        <f>VLOOKUP($A133,$A$4:AR$10,44,0)/SUM($AR$4:$AR$10)</f>
        <v>9.3239410318390711E-2</v>
      </c>
      <c r="AS133" s="167">
        <f>VLOOKUP($A133,$A$4:AS$10,45,0)/SUM($AS$4:$AS$10)</f>
        <v>8.7536494386823788E-2</v>
      </c>
      <c r="AT133" s="167">
        <f>VLOOKUP($A133,$A$4:AT$10,46,0)/SUM($AS$4:$AS$10)</f>
        <v>8.2065789481309798E-2</v>
      </c>
      <c r="AU133" s="167">
        <f>VLOOKUP($A133,$A$4:AU$10,47,0)/SUM($AU$4:$AU$10)</f>
        <v>0.10166879666466221</v>
      </c>
      <c r="BA133" s="167">
        <f t="shared" si="255"/>
        <v>8.1600507660359797E-2</v>
      </c>
      <c r="BB133" s="167">
        <f t="shared" si="255"/>
        <v>8.4448436041928143E-2</v>
      </c>
      <c r="BC133" s="167">
        <f t="shared" ref="BC133" si="260">BC10/SUM(BC$4:BC$10)</f>
        <v>0.10166879666466221</v>
      </c>
      <c r="BE133" s="8">
        <f t="shared" si="256"/>
        <v>8.5748329131726489E-2</v>
      </c>
      <c r="BW133"/>
      <c r="BY133"/>
    </row>
    <row r="134" spans="1:77" x14ac:dyDescent="0.25">
      <c r="A134" t="s">
        <v>157</v>
      </c>
      <c r="B134" s="8">
        <v>0.19703706377231925</v>
      </c>
      <c r="C134" s="8">
        <v>0.14408719100338857</v>
      </c>
      <c r="D134" s="8">
        <v>0.27438677187851263</v>
      </c>
      <c r="E134" s="8">
        <v>0.23660924742389047</v>
      </c>
      <c r="F134" s="8">
        <v>0.17396143009982376</v>
      </c>
      <c r="G134" s="8">
        <v>0.17390311884940818</v>
      </c>
      <c r="H134" s="8">
        <v>0.25844846879251593</v>
      </c>
      <c r="I134" s="8">
        <v>0.14310912830834294</v>
      </c>
      <c r="J134" s="8">
        <v>0.17433298564647726</v>
      </c>
      <c r="K134" s="8">
        <v>0.18505622412723863</v>
      </c>
      <c r="L134" s="8">
        <v>0.11323728535039804</v>
      </c>
      <c r="M134" s="8">
        <v>0.15872976217653562</v>
      </c>
      <c r="N134" s="8">
        <v>0.17522503979308765</v>
      </c>
      <c r="O134" s="8">
        <v>0.15502043698563842</v>
      </c>
      <c r="P134" s="8">
        <v>0.12917110013542152</v>
      </c>
      <c r="Q134" s="8">
        <v>0.21570443050102706</v>
      </c>
      <c r="R134" s="8">
        <v>0.12648662599146734</v>
      </c>
      <c r="S134" s="8">
        <v>8.8336164675004991E-2</v>
      </c>
      <c r="T134" s="8">
        <v>0.11456143814843422</v>
      </c>
      <c r="U134" s="8">
        <v>8.4274064071366964E-2</v>
      </c>
      <c r="V134" s="8">
        <v>7.5498508566971989E-2</v>
      </c>
      <c r="W134" s="8">
        <f t="shared" si="254"/>
        <v>7.8820800059504259E-2</v>
      </c>
      <c r="X134" s="8">
        <f t="shared" si="251"/>
        <v>7.6160648874185846E-2</v>
      </c>
      <c r="Y134" s="8">
        <f t="shared" si="252"/>
        <v>7.2025451867821999E-2</v>
      </c>
      <c r="Z134" s="8">
        <f t="shared" si="253"/>
        <v>0.13636179219800965</v>
      </c>
      <c r="AO134" s="170">
        <f>VLOOKUP($A134,$A$4:AO$10,41,0)/AO$12</f>
        <v>0.19629506612140887</v>
      </c>
      <c r="AP134" s="170">
        <f>VLOOKUP($A134,$A$4:AP$10,42,0)/SUM($AP$4:$AP$10)</f>
        <v>0.23862918487887347</v>
      </c>
      <c r="AQ134" s="170">
        <f>VLOOKUP($A134,$A$4:AQ$10,43,0)/SUM($AQ$4:$AQ$10)</f>
        <v>0.18031410572369519</v>
      </c>
      <c r="AR134" s="167">
        <f>VLOOKUP($A134,$A$4:AR$10,44,0)/SUM($AR$4:$AR$10)</f>
        <v>0.32564617028560761</v>
      </c>
      <c r="AS134" s="167">
        <f>VLOOKUP($A134,$A$4:AS$10,45,0)/SUM($AS$4:$AS$10)</f>
        <v>0.28522735812224559</v>
      </c>
      <c r="AT134" s="167">
        <f>VLOOKUP($A134,$A$4:AT$10,46,0)/SUM($AS$4:$AS$10)</f>
        <v>0.33448881585772267</v>
      </c>
      <c r="AU134" s="167">
        <f>VLOOKUP($A134,$A$4:AU$10,47,0)/SUM($AU$4:$AU$10)</f>
        <v>0.25143848170314426</v>
      </c>
      <c r="BA134" s="185">
        <f>BA4/SUM(BA$4:BA$10)</f>
        <v>0.2026786208150011</v>
      </c>
      <c r="BB134" s="185">
        <f>BB4/SUM(BB$4:BB$10)</f>
        <v>0.30395602699443636</v>
      </c>
      <c r="BC134" s="185">
        <f>BC4/SUM(BC$4:BC$10)</f>
        <v>0.25143848170314426</v>
      </c>
      <c r="BE134" s="8">
        <f t="shared" si="256"/>
        <v>0.25875422582200269</v>
      </c>
      <c r="BW134"/>
      <c r="BY134"/>
    </row>
    <row r="135" spans="1:77" x14ac:dyDescent="0.25">
      <c r="A135" s="1" t="s">
        <v>3</v>
      </c>
      <c r="B135" s="8">
        <f t="shared" ref="B135:Z135" si="261">B12/B$12</f>
        <v>1</v>
      </c>
      <c r="C135" s="8">
        <f t="shared" si="261"/>
        <v>1</v>
      </c>
      <c r="D135" s="8">
        <f t="shared" si="261"/>
        <v>1</v>
      </c>
      <c r="E135" s="8">
        <f t="shared" si="261"/>
        <v>1</v>
      </c>
      <c r="F135" s="8">
        <f t="shared" si="261"/>
        <v>1</v>
      </c>
      <c r="G135" s="8">
        <f t="shared" si="261"/>
        <v>1</v>
      </c>
      <c r="H135" s="8">
        <f t="shared" si="261"/>
        <v>1</v>
      </c>
      <c r="I135" s="8">
        <f t="shared" si="261"/>
        <v>1</v>
      </c>
      <c r="J135" s="8">
        <f t="shared" si="261"/>
        <v>1</v>
      </c>
      <c r="K135" s="8">
        <f t="shared" si="261"/>
        <v>1</v>
      </c>
      <c r="L135" s="8">
        <f t="shared" si="261"/>
        <v>1</v>
      </c>
      <c r="M135" s="8">
        <f t="shared" si="261"/>
        <v>1</v>
      </c>
      <c r="N135" s="8">
        <f t="shared" si="261"/>
        <v>1</v>
      </c>
      <c r="O135" s="8">
        <f t="shared" si="261"/>
        <v>1</v>
      </c>
      <c r="P135" s="8">
        <f t="shared" si="261"/>
        <v>1</v>
      </c>
      <c r="Q135" s="8">
        <f t="shared" si="261"/>
        <v>1</v>
      </c>
      <c r="R135" s="8">
        <f t="shared" si="261"/>
        <v>1</v>
      </c>
      <c r="S135" s="8">
        <f t="shared" si="261"/>
        <v>1</v>
      </c>
      <c r="T135" s="8">
        <f t="shared" si="261"/>
        <v>1</v>
      </c>
      <c r="U135" s="8">
        <f t="shared" si="261"/>
        <v>1</v>
      </c>
      <c r="V135" s="8">
        <f t="shared" si="261"/>
        <v>1</v>
      </c>
      <c r="W135" s="8">
        <f t="shared" si="261"/>
        <v>1</v>
      </c>
      <c r="X135" s="8">
        <f t="shared" si="261"/>
        <v>1</v>
      </c>
      <c r="Y135" s="8">
        <f t="shared" si="261"/>
        <v>1</v>
      </c>
      <c r="Z135" s="8">
        <f t="shared" si="261"/>
        <v>1</v>
      </c>
      <c r="AO135" s="8">
        <f t="shared" ref="AO135:AU135" si="262">AO12/AO$12</f>
        <v>1</v>
      </c>
      <c r="AP135" s="8">
        <f t="shared" si="262"/>
        <v>1</v>
      </c>
      <c r="AQ135" s="8">
        <f t="shared" si="262"/>
        <v>1</v>
      </c>
      <c r="AR135" s="8">
        <f t="shared" si="262"/>
        <v>1</v>
      </c>
      <c r="AS135" s="8">
        <f t="shared" si="262"/>
        <v>1</v>
      </c>
      <c r="AT135" s="8">
        <f t="shared" si="262"/>
        <v>1</v>
      </c>
      <c r="AU135" s="8">
        <f t="shared" si="262"/>
        <v>1</v>
      </c>
      <c r="BA135" s="31">
        <f>SUM(BA128:BA134)</f>
        <v>0.99999999999999989</v>
      </c>
      <c r="BB135" s="31">
        <f t="shared" ref="BB135:BC135" si="263">SUM(BB128:BB134)</f>
        <v>1</v>
      </c>
      <c r="BC135" s="31">
        <f t="shared" si="263"/>
        <v>1</v>
      </c>
      <c r="BE135" s="8">
        <f>SUM(BE128:BE134)</f>
        <v>1</v>
      </c>
    </row>
    <row r="137" spans="1:77" x14ac:dyDescent="0.25">
      <c r="A137" s="71" t="s">
        <v>51</v>
      </c>
    </row>
    <row r="138" spans="1:77" x14ac:dyDescent="0.25">
      <c r="A138" t="s">
        <v>48</v>
      </c>
      <c r="B138" s="8">
        <f>SUM(B131:B133)</f>
        <v>0.20903891947110093</v>
      </c>
      <c r="C138" s="8">
        <f t="shared" ref="C138:Y138" si="264">SUM(C131:C133)</f>
        <v>0.30260414208984487</v>
      </c>
      <c r="D138" s="8">
        <f t="shared" si="264"/>
        <v>0.24918670286079897</v>
      </c>
      <c r="E138" s="8">
        <f t="shared" si="264"/>
        <v>0.3249193341551424</v>
      </c>
      <c r="F138" s="8">
        <f t="shared" si="264"/>
        <v>0.33085565112498461</v>
      </c>
      <c r="G138" s="8">
        <f t="shared" si="264"/>
        <v>0.34072635172437871</v>
      </c>
      <c r="H138" s="8">
        <f t="shared" si="264"/>
        <v>0.30143507528620306</v>
      </c>
      <c r="I138" s="8">
        <f t="shared" si="264"/>
        <v>0.37478834174174575</v>
      </c>
      <c r="J138" s="8">
        <f t="shared" si="264"/>
        <v>0.39651967694882939</v>
      </c>
      <c r="K138" s="8">
        <f t="shared" si="264"/>
        <v>0.30158462311364204</v>
      </c>
      <c r="L138" s="8">
        <f t="shared" si="264"/>
        <v>0.42859279626556934</v>
      </c>
      <c r="M138" s="8">
        <f t="shared" si="264"/>
        <v>0.40855680543627437</v>
      </c>
      <c r="N138" s="8">
        <f t="shared" si="264"/>
        <v>0.38884025397473271</v>
      </c>
      <c r="O138" s="8">
        <f t="shared" si="264"/>
        <v>0.4399786747023039</v>
      </c>
      <c r="P138" s="8">
        <f t="shared" si="264"/>
        <v>0.40770081163559063</v>
      </c>
      <c r="Q138" s="8">
        <f t="shared" si="264"/>
        <v>0.34599091200057247</v>
      </c>
      <c r="R138" s="8">
        <f t="shared" si="264"/>
        <v>0.36655811808940542</v>
      </c>
      <c r="S138" s="8">
        <f t="shared" si="264"/>
        <v>0.30130107738004569</v>
      </c>
      <c r="T138" s="8">
        <f t="shared" si="264"/>
        <v>0.30625295661004198</v>
      </c>
      <c r="U138" s="8">
        <f t="shared" si="264"/>
        <v>0.35074282028392834</v>
      </c>
      <c r="V138" s="8">
        <f t="shared" si="264"/>
        <v>0.31180216001404526</v>
      </c>
      <c r="W138" s="8">
        <f t="shared" si="264"/>
        <v>0.38505945792668811</v>
      </c>
      <c r="X138" s="8">
        <f t="shared" si="264"/>
        <v>0.3208044625445034</v>
      </c>
      <c r="Y138" s="8">
        <f t="shared" si="264"/>
        <v>0.37376952745151942</v>
      </c>
      <c r="Z138" s="31">
        <f>AVERAGE(N138:Y138)</f>
        <v>0.3582334360511148</v>
      </c>
      <c r="AO138" s="170">
        <f t="shared" ref="AO138:AS138" si="265">SUM(AO131:AO133)</f>
        <v>0.26766906744118002</v>
      </c>
      <c r="AP138" s="170">
        <f t="shared" si="265"/>
        <v>0.29199440167238194</v>
      </c>
      <c r="AQ138" s="170">
        <f t="shared" si="265"/>
        <v>0.31785295238176969</v>
      </c>
      <c r="AR138" s="167">
        <f t="shared" si="265"/>
        <v>0.25110497868058218</v>
      </c>
      <c r="AS138" s="167">
        <f t="shared" si="265"/>
        <v>0.31866435905009605</v>
      </c>
      <c r="AT138" s="167">
        <f>SUM(AT131:AT133)</f>
        <v>0.19974592778375891</v>
      </c>
      <c r="AU138" s="167">
        <f>SUM(AU131:AU133)</f>
        <v>0.23865804261830509</v>
      </c>
      <c r="BA138" s="167">
        <f t="shared" ref="BA138:BC138" si="266">SUM(BA131:BA133)</f>
        <v>0.29880037633215517</v>
      </c>
      <c r="BB138" s="167">
        <f t="shared" si="266"/>
        <v>0.24773428736358882</v>
      </c>
      <c r="BC138" s="167">
        <f t="shared" si="266"/>
        <v>0.23865804261830509</v>
      </c>
      <c r="BE138" s="31">
        <f>AVERAGE(AO138:AZ138)</f>
        <v>0.26938424708972486</v>
      </c>
    </row>
    <row r="139" spans="1:77" x14ac:dyDescent="0.25">
      <c r="A139" t="s">
        <v>49</v>
      </c>
      <c r="B139" s="8">
        <f>SUM(B128:B130)</f>
        <v>0.59392401675657991</v>
      </c>
      <c r="C139" s="8">
        <f t="shared" ref="C139:Y139" si="267">SUM(C128:C130)</f>
        <v>0.55330866690676672</v>
      </c>
      <c r="D139" s="8">
        <f t="shared" si="267"/>
        <v>0.4764265252606884</v>
      </c>
      <c r="E139" s="8">
        <f t="shared" si="267"/>
        <v>0.43847141842096726</v>
      </c>
      <c r="F139" s="8">
        <f t="shared" si="267"/>
        <v>0.49518291877519161</v>
      </c>
      <c r="G139" s="8">
        <f t="shared" si="267"/>
        <v>0.48537052942621306</v>
      </c>
      <c r="H139" s="8">
        <f t="shared" si="267"/>
        <v>0.44011645592128112</v>
      </c>
      <c r="I139" s="8">
        <f t="shared" si="267"/>
        <v>0.48210252994991132</v>
      </c>
      <c r="J139" s="8">
        <f t="shared" si="267"/>
        <v>0.42914733740469324</v>
      </c>
      <c r="K139" s="8">
        <f t="shared" si="267"/>
        <v>0.51335915275911925</v>
      </c>
      <c r="L139" s="8">
        <f t="shared" si="267"/>
        <v>0.45816991838403265</v>
      </c>
      <c r="M139" s="8">
        <f t="shared" si="267"/>
        <v>0.43271343238719018</v>
      </c>
      <c r="N139" s="8">
        <f t="shared" si="267"/>
        <v>0.43593470623217967</v>
      </c>
      <c r="O139" s="8">
        <f t="shared" si="267"/>
        <v>0.40500088831205772</v>
      </c>
      <c r="P139" s="8">
        <f t="shared" si="267"/>
        <v>0.46312808822898771</v>
      </c>
      <c r="Q139" s="8">
        <f t="shared" si="267"/>
        <v>0.43830465749840042</v>
      </c>
      <c r="R139" s="8">
        <f t="shared" si="267"/>
        <v>0.50695525591912749</v>
      </c>
      <c r="S139" s="8">
        <f t="shared" si="267"/>
        <v>0.61036275794494932</v>
      </c>
      <c r="T139" s="8">
        <f t="shared" si="267"/>
        <v>0.57918560524152363</v>
      </c>
      <c r="U139" s="8">
        <f t="shared" si="267"/>
        <v>0.56498311564470471</v>
      </c>
      <c r="V139" s="8">
        <f t="shared" si="267"/>
        <v>0.61269933141898292</v>
      </c>
      <c r="W139" s="8">
        <f t="shared" si="267"/>
        <v>0.53611974201380774</v>
      </c>
      <c r="X139" s="8">
        <f t="shared" si="267"/>
        <v>0.60303488858131071</v>
      </c>
      <c r="Y139" s="8">
        <f t="shared" si="267"/>
        <v>0.55420502068065858</v>
      </c>
      <c r="Z139" s="31">
        <f t="shared" ref="Z139:Z141" si="268">AVERAGE(N139:Y139)</f>
        <v>0.52582617147639099</v>
      </c>
      <c r="AO139" s="170">
        <f t="shared" ref="AO139:AS139" si="269">SUM(AO128:AO130)</f>
        <v>0.53603586643741108</v>
      </c>
      <c r="AP139" s="170">
        <f t="shared" si="269"/>
        <v>0.46937641344874448</v>
      </c>
      <c r="AQ139" s="170">
        <f t="shared" si="269"/>
        <v>0.5018329418945352</v>
      </c>
      <c r="AR139" s="167">
        <f t="shared" si="269"/>
        <v>0.42324885103381016</v>
      </c>
      <c r="AS139" s="167">
        <f t="shared" si="269"/>
        <v>0.39610828282765842</v>
      </c>
      <c r="AT139" s="167">
        <f>SUM(AT128:AT130)</f>
        <v>0.57103928325053255</v>
      </c>
      <c r="AU139" s="167">
        <f>SUM(AU128:AU130)</f>
        <v>0.50990347567855054</v>
      </c>
      <c r="BA139" s="167">
        <f t="shared" ref="BA139:BC139" si="270">SUM(BA128:BA130)</f>
        <v>0.49852100285284373</v>
      </c>
      <c r="BB139" s="167">
        <f t="shared" si="270"/>
        <v>0.44830968564197488</v>
      </c>
      <c r="BC139" s="167">
        <f t="shared" si="270"/>
        <v>0.50990347567855054</v>
      </c>
      <c r="BE139" s="31">
        <f t="shared" ref="BE139:BE141" si="271">AVERAGE(AO139:AZ139)</f>
        <v>0.48679215922446328</v>
      </c>
    </row>
    <row r="140" spans="1:77" x14ac:dyDescent="0.25">
      <c r="A140" t="s">
        <v>157</v>
      </c>
      <c r="B140" s="8">
        <f>B134</f>
        <v>0.19703706377231925</v>
      </c>
      <c r="C140" s="8">
        <f t="shared" ref="C140:Y140" si="272">C134</f>
        <v>0.14408719100338857</v>
      </c>
      <c r="D140" s="8">
        <f t="shared" si="272"/>
        <v>0.27438677187851263</v>
      </c>
      <c r="E140" s="8">
        <f t="shared" si="272"/>
        <v>0.23660924742389047</v>
      </c>
      <c r="F140" s="8">
        <f t="shared" si="272"/>
        <v>0.17396143009982376</v>
      </c>
      <c r="G140" s="8">
        <f t="shared" si="272"/>
        <v>0.17390311884940818</v>
      </c>
      <c r="H140" s="8">
        <f t="shared" si="272"/>
        <v>0.25844846879251593</v>
      </c>
      <c r="I140" s="8">
        <f t="shared" si="272"/>
        <v>0.14310912830834294</v>
      </c>
      <c r="J140" s="8">
        <f t="shared" si="272"/>
        <v>0.17433298564647726</v>
      </c>
      <c r="K140" s="8">
        <f t="shared" si="272"/>
        <v>0.18505622412723863</v>
      </c>
      <c r="L140" s="8">
        <f t="shared" si="272"/>
        <v>0.11323728535039804</v>
      </c>
      <c r="M140" s="8">
        <f t="shared" si="272"/>
        <v>0.15872976217653562</v>
      </c>
      <c r="N140" s="8">
        <f t="shared" si="272"/>
        <v>0.17522503979308765</v>
      </c>
      <c r="O140" s="8">
        <f t="shared" si="272"/>
        <v>0.15502043698563842</v>
      </c>
      <c r="P140" s="8">
        <f t="shared" si="272"/>
        <v>0.12917110013542152</v>
      </c>
      <c r="Q140" s="8">
        <f t="shared" si="272"/>
        <v>0.21570443050102706</v>
      </c>
      <c r="R140" s="8">
        <f t="shared" si="272"/>
        <v>0.12648662599146734</v>
      </c>
      <c r="S140" s="8">
        <f t="shared" si="272"/>
        <v>8.8336164675004991E-2</v>
      </c>
      <c r="T140" s="8">
        <f t="shared" si="272"/>
        <v>0.11456143814843422</v>
      </c>
      <c r="U140" s="8">
        <f t="shared" si="272"/>
        <v>8.4274064071366964E-2</v>
      </c>
      <c r="V140" s="8">
        <f t="shared" si="272"/>
        <v>7.5498508566971989E-2</v>
      </c>
      <c r="W140" s="8">
        <f t="shared" si="272"/>
        <v>7.8820800059504259E-2</v>
      </c>
      <c r="X140" s="8">
        <f t="shared" si="272"/>
        <v>7.6160648874185846E-2</v>
      </c>
      <c r="Y140" s="8">
        <f t="shared" si="272"/>
        <v>7.2025451867821999E-2</v>
      </c>
      <c r="Z140" s="31">
        <f t="shared" si="268"/>
        <v>0.11594039247249438</v>
      </c>
      <c r="AA140" s="31"/>
      <c r="AO140" s="170">
        <f t="shared" ref="AO140" si="273">AO134</f>
        <v>0.19629506612140887</v>
      </c>
      <c r="AP140" s="170">
        <f>AP134</f>
        <v>0.23862918487887347</v>
      </c>
      <c r="AQ140" s="170">
        <f t="shared" ref="AQ140:AU140" si="274">AQ134</f>
        <v>0.18031410572369519</v>
      </c>
      <c r="AR140" s="167">
        <f t="shared" si="274"/>
        <v>0.32564617028560761</v>
      </c>
      <c r="AS140" s="167">
        <f t="shared" si="274"/>
        <v>0.28522735812224559</v>
      </c>
      <c r="AT140" s="167">
        <f t="shared" si="274"/>
        <v>0.33448881585772267</v>
      </c>
      <c r="AU140" s="167">
        <f t="shared" si="274"/>
        <v>0.25143848170314426</v>
      </c>
      <c r="BA140" s="167">
        <f t="shared" ref="BA140:BC140" si="275">BA134</f>
        <v>0.2026786208150011</v>
      </c>
      <c r="BB140" s="167">
        <f t="shared" si="275"/>
        <v>0.30395602699443636</v>
      </c>
      <c r="BC140" s="167">
        <f t="shared" si="275"/>
        <v>0.25143848170314426</v>
      </c>
      <c r="BE140" s="31">
        <f t="shared" si="271"/>
        <v>0.25886274038467111</v>
      </c>
    </row>
    <row r="141" spans="1:77" x14ac:dyDescent="0.25">
      <c r="B141" s="8">
        <f>SUM(B138:B140)</f>
        <v>1.0000000000000002</v>
      </c>
      <c r="C141" s="8">
        <f t="shared" ref="C141:Y141" si="276">SUM(C138:C140)</f>
        <v>1.0000000000000002</v>
      </c>
      <c r="D141" s="8">
        <f t="shared" si="276"/>
        <v>1</v>
      </c>
      <c r="E141" s="8">
        <f t="shared" si="276"/>
        <v>1.0000000000000002</v>
      </c>
      <c r="F141" s="8">
        <f t="shared" si="276"/>
        <v>1</v>
      </c>
      <c r="G141" s="8">
        <f t="shared" si="276"/>
        <v>1</v>
      </c>
      <c r="H141" s="8">
        <f t="shared" si="276"/>
        <v>1</v>
      </c>
      <c r="I141" s="8">
        <f t="shared" si="276"/>
        <v>1</v>
      </c>
      <c r="J141" s="8">
        <f t="shared" si="276"/>
        <v>0.99999999999999989</v>
      </c>
      <c r="K141" s="8">
        <f t="shared" si="276"/>
        <v>1</v>
      </c>
      <c r="L141" s="8">
        <f t="shared" si="276"/>
        <v>1</v>
      </c>
      <c r="M141" s="8">
        <f t="shared" si="276"/>
        <v>1.0000000000000002</v>
      </c>
      <c r="N141" s="8">
        <f t="shared" si="276"/>
        <v>1</v>
      </c>
      <c r="O141" s="8">
        <f t="shared" si="276"/>
        <v>1</v>
      </c>
      <c r="P141" s="8">
        <f t="shared" si="276"/>
        <v>0.99999999999999989</v>
      </c>
      <c r="Q141" s="8">
        <f t="shared" si="276"/>
        <v>0.99999999999999989</v>
      </c>
      <c r="R141" s="8">
        <f t="shared" si="276"/>
        <v>1.0000000000000002</v>
      </c>
      <c r="S141" s="8">
        <f t="shared" si="276"/>
        <v>1</v>
      </c>
      <c r="T141" s="8">
        <f t="shared" si="276"/>
        <v>0.99999999999999989</v>
      </c>
      <c r="U141" s="8">
        <f t="shared" si="276"/>
        <v>1</v>
      </c>
      <c r="V141" s="8">
        <f t="shared" si="276"/>
        <v>1.0000000000000002</v>
      </c>
      <c r="W141" s="8">
        <f t="shared" si="276"/>
        <v>1.0000000000000002</v>
      </c>
      <c r="X141" s="8">
        <f t="shared" si="276"/>
        <v>0.99999999999999989</v>
      </c>
      <c r="Y141" s="8">
        <f t="shared" si="276"/>
        <v>1</v>
      </c>
      <c r="Z141" s="31">
        <f t="shared" si="268"/>
        <v>1</v>
      </c>
      <c r="AO141" s="8">
        <f t="shared" ref="AO141" si="277">SUM(AO138:AO140)</f>
        <v>1</v>
      </c>
      <c r="AP141" s="8">
        <f>SUM(AP138:AP140)</f>
        <v>1</v>
      </c>
      <c r="AQ141" s="8">
        <f t="shared" ref="AQ141:AU141" si="278">SUM(AQ138:AQ140)</f>
        <v>1</v>
      </c>
      <c r="AR141" s="8">
        <f t="shared" si="278"/>
        <v>0.99999999999999989</v>
      </c>
      <c r="AS141" s="8">
        <f t="shared" si="278"/>
        <v>1</v>
      </c>
      <c r="AT141" s="8">
        <f t="shared" si="278"/>
        <v>1.105274026892014</v>
      </c>
      <c r="AU141" s="8">
        <f t="shared" si="278"/>
        <v>1</v>
      </c>
      <c r="BA141" s="8">
        <f t="shared" ref="BA141:BC141" si="279">SUM(BA138:BA140)</f>
        <v>1</v>
      </c>
      <c r="BB141" s="8">
        <f t="shared" si="279"/>
        <v>1</v>
      </c>
      <c r="BC141" s="8">
        <f t="shared" si="279"/>
        <v>1</v>
      </c>
      <c r="BE141" s="31">
        <f t="shared" si="271"/>
        <v>1.0150391466988591</v>
      </c>
    </row>
    <row r="142" spans="1:77" x14ac:dyDescent="0.25">
      <c r="A142" s="71" t="s">
        <v>50</v>
      </c>
      <c r="AO142"/>
      <c r="AP142"/>
      <c r="AQ142"/>
      <c r="AR142"/>
      <c r="AS142"/>
      <c r="AT142"/>
    </row>
    <row r="143" spans="1:77" x14ac:dyDescent="0.25">
      <c r="A143" t="s">
        <v>48</v>
      </c>
      <c r="B143" s="8">
        <f>SUM(B20:B22)/B$24</f>
        <v>0.41506410256410259</v>
      </c>
      <c r="C143" s="8">
        <f t="shared" ref="C143:V143" si="280">SUM(C20:C22)/C$24</f>
        <v>0.43155452436194897</v>
      </c>
      <c r="D143" s="8">
        <f t="shared" si="280"/>
        <v>0.45597147950089129</v>
      </c>
      <c r="E143" s="8">
        <f t="shared" si="280"/>
        <v>0.45355888924353654</v>
      </c>
      <c r="F143" s="8">
        <f t="shared" si="280"/>
        <v>0.46257386736703876</v>
      </c>
      <c r="G143" s="8">
        <f t="shared" si="280"/>
        <v>0.4124475975491777</v>
      </c>
      <c r="H143" s="8">
        <f t="shared" si="280"/>
        <v>0.39654621042532778</v>
      </c>
      <c r="I143" s="8">
        <f t="shared" si="280"/>
        <v>0.43257918552036201</v>
      </c>
      <c r="J143" s="8">
        <f t="shared" si="280"/>
        <v>0.43397861889627276</v>
      </c>
      <c r="K143" s="8">
        <f t="shared" si="280"/>
        <v>0.46410958904109589</v>
      </c>
      <c r="L143" s="8">
        <f t="shared" si="280"/>
        <v>0.44074999999999998</v>
      </c>
      <c r="M143" s="8">
        <f t="shared" si="280"/>
        <v>0.44644158367743503</v>
      </c>
      <c r="N143" s="8">
        <f t="shared" si="280"/>
        <v>0.51804619826756493</v>
      </c>
      <c r="O143" s="8">
        <f t="shared" si="280"/>
        <v>0.5677403491517089</v>
      </c>
      <c r="P143" s="8">
        <f t="shared" si="280"/>
        <v>0.60702727693018954</v>
      </c>
      <c r="Q143" s="8">
        <f t="shared" si="280"/>
        <v>0.62086570477247505</v>
      </c>
      <c r="R143" s="8">
        <f t="shared" si="280"/>
        <v>0.55050709939148068</v>
      </c>
      <c r="S143" s="8">
        <f t="shared" si="280"/>
        <v>0.43804777453170646</v>
      </c>
      <c r="T143" s="8">
        <f t="shared" si="280"/>
        <v>0.44183109707971585</v>
      </c>
      <c r="U143" s="8">
        <f t="shared" si="280"/>
        <v>0.43127690100430416</v>
      </c>
      <c r="V143" s="8">
        <f t="shared" si="280"/>
        <v>0.42447443550480146</v>
      </c>
      <c r="W143" s="8">
        <f t="shared" ref="W143:X143" si="281">SUM(W20:W22)/W$24</f>
        <v>0.4774024738344434</v>
      </c>
      <c r="X143" s="8">
        <f t="shared" si="281"/>
        <v>0.47442271572201966</v>
      </c>
      <c r="Y143" s="8">
        <f t="shared" ref="Y143" si="282">SUM(Y20:Y22)/Y$24</f>
        <v>0.475469781615033</v>
      </c>
      <c r="Z143" s="31">
        <f>AVERAGE(N143:X143)</f>
        <v>0.50469472965367368</v>
      </c>
      <c r="AO143" s="170">
        <f t="shared" ref="AO143:AP143" si="283">SUM(AO20:AO22)/AO$24</f>
        <v>0.54795613160518442</v>
      </c>
      <c r="AP143" s="170">
        <f t="shared" si="283"/>
        <v>0.42222511724856698</v>
      </c>
      <c r="AQ143" s="170">
        <f t="shared" ref="AQ143:AR143" si="284">SUM(AQ20:AQ22)/AQ$24</f>
        <v>0.44490163302044489</v>
      </c>
      <c r="AR143" s="167">
        <f t="shared" si="284"/>
        <v>0.418449766189599</v>
      </c>
      <c r="AS143" s="167">
        <f t="shared" ref="AS143" si="285">SUM(AS20:AS22)/AS$24</f>
        <v>0.37899728997289972</v>
      </c>
      <c r="AT143" s="167">
        <f>SUM(AT20:AT22)/AT$24</f>
        <v>0.35658140985651904</v>
      </c>
      <c r="AU143" s="167">
        <f>SUM(AU20:AU22)/AU$24</f>
        <v>0.35342744499554879</v>
      </c>
      <c r="BA143" s="167">
        <f t="shared" ref="BA143:BC143" si="286">SUM(BA20:BA22)/BA$24</f>
        <v>0.44490163302044489</v>
      </c>
      <c r="BB143" s="167">
        <f t="shared" si="286"/>
        <v>0.35658140985651904</v>
      </c>
      <c r="BC143" s="167">
        <f t="shared" si="286"/>
        <v>0.35342744499554879</v>
      </c>
      <c r="BE143" s="31">
        <f>AVERAGE(AO143:AZ143)</f>
        <v>0.41750554184125183</v>
      </c>
    </row>
    <row r="144" spans="1:77" x14ac:dyDescent="0.25">
      <c r="A144" t="s">
        <v>49</v>
      </c>
      <c r="B144" s="8">
        <f>SUM(B17:B19)/B$24</f>
        <v>0.5641025641025641</v>
      </c>
      <c r="C144" s="8">
        <f t="shared" ref="C144:V144" si="287">SUM(C17:C19)/C$24</f>
        <v>0.54640371229698381</v>
      </c>
      <c r="D144" s="8">
        <f t="shared" si="287"/>
        <v>0.52156862745098043</v>
      </c>
      <c r="E144" s="8">
        <f t="shared" si="287"/>
        <v>0.5240983083306735</v>
      </c>
      <c r="F144" s="8">
        <f t="shared" si="287"/>
        <v>0.51411687458962574</v>
      </c>
      <c r="G144" s="8">
        <f t="shared" si="287"/>
        <v>0.56465656239922601</v>
      </c>
      <c r="H144" s="8">
        <f t="shared" si="287"/>
        <v>0.57914934441957144</v>
      </c>
      <c r="I144" s="8">
        <f t="shared" si="287"/>
        <v>0.54449472096530915</v>
      </c>
      <c r="J144" s="8">
        <f t="shared" si="287"/>
        <v>0.5437734758740248</v>
      </c>
      <c r="K144" s="8">
        <f t="shared" si="287"/>
        <v>0.51479452054794517</v>
      </c>
      <c r="L144" s="8">
        <f t="shared" si="287"/>
        <v>0.54100000000000004</v>
      </c>
      <c r="M144" s="8">
        <f t="shared" si="287"/>
        <v>0.5350983726014088</v>
      </c>
      <c r="N144" s="8">
        <f t="shared" si="287"/>
        <v>0.45380173243503369</v>
      </c>
      <c r="O144" s="8">
        <f t="shared" si="287"/>
        <v>0.40373739857388741</v>
      </c>
      <c r="P144" s="8">
        <f t="shared" si="287"/>
        <v>0.36569579288025889</v>
      </c>
      <c r="Q144" s="8">
        <f t="shared" si="287"/>
        <v>0.35316315205327414</v>
      </c>
      <c r="R144" s="8">
        <f t="shared" si="287"/>
        <v>0.42677484787018255</v>
      </c>
      <c r="S144" s="8">
        <f t="shared" si="287"/>
        <v>0.54356418628630354</v>
      </c>
      <c r="T144" s="8">
        <f t="shared" si="287"/>
        <v>0.54254143646408837</v>
      </c>
      <c r="U144" s="8">
        <f t="shared" si="287"/>
        <v>0.55494978479196555</v>
      </c>
      <c r="V144" s="8">
        <f t="shared" si="287"/>
        <v>0.56332727744614586</v>
      </c>
      <c r="W144" s="8">
        <f t="shared" ref="W144:X144" si="288">SUM(W17:W19)/W$24</f>
        <v>0.5115366317792579</v>
      </c>
      <c r="X144" s="8">
        <f t="shared" si="288"/>
        <v>0.51563363164291243</v>
      </c>
      <c r="Y144" s="8">
        <f t="shared" ref="Y144" si="289">SUM(Y17:Y19)/Y$24</f>
        <v>0.51609954291518534</v>
      </c>
      <c r="Z144" s="31">
        <f t="shared" ref="Z144:Z146" si="290">AVERAGE(N144:X144)</f>
        <v>0.47588417020211915</v>
      </c>
      <c r="AO144" s="170">
        <f t="shared" ref="AO144:AP144" si="291">SUM(AO17:AO19)/AO$24</f>
        <v>0.43758723828514456</v>
      </c>
      <c r="AP144" s="170">
        <f t="shared" si="291"/>
        <v>0.55914538822303284</v>
      </c>
      <c r="AQ144" s="170">
        <f t="shared" ref="AQ144:AR144" si="292">SUM(AQ17:AQ19)/AQ$24</f>
        <v>0.5367108139385367</v>
      </c>
      <c r="AR144" s="167">
        <f t="shared" si="292"/>
        <v>0.49822870908317984</v>
      </c>
      <c r="AS144" s="167">
        <f t="shared" ref="AS144:AU144" si="293">SUM(AS17:AS19)/AS$24</f>
        <v>0.54281842818428183</v>
      </c>
      <c r="AT144" s="167">
        <f t="shared" si="293"/>
        <v>0.57479725514660007</v>
      </c>
      <c r="AU144" s="167">
        <f t="shared" si="293"/>
        <v>0.58196617067277123</v>
      </c>
      <c r="BA144" s="167">
        <f t="shared" ref="BA144:BC144" si="294">SUM(BA17:BA19)/BA$24</f>
        <v>0.5367108139385367</v>
      </c>
      <c r="BB144" s="167">
        <f t="shared" si="294"/>
        <v>0.57479725514660007</v>
      </c>
      <c r="BC144" s="167">
        <f t="shared" si="294"/>
        <v>0.58196617067277123</v>
      </c>
      <c r="BE144" s="31">
        <f>AVERAGE(AO144:AZ144)</f>
        <v>0.53303628621907806</v>
      </c>
    </row>
    <row r="145" spans="1:57" x14ac:dyDescent="0.25">
      <c r="A145" t="s">
        <v>157</v>
      </c>
      <c r="B145" s="8">
        <f>B16/B$24</f>
        <v>2.0833333333333332E-2</v>
      </c>
      <c r="C145" s="8">
        <f t="shared" ref="C145:Y145" si="295">C16/C$24</f>
        <v>2.2041763341067284E-2</v>
      </c>
      <c r="D145" s="8">
        <f t="shared" si="295"/>
        <v>2.2459893048128343E-2</v>
      </c>
      <c r="E145" s="8">
        <f t="shared" si="295"/>
        <v>2.2342802425789978E-2</v>
      </c>
      <c r="F145" s="8">
        <f t="shared" si="295"/>
        <v>2.3309258043335522E-2</v>
      </c>
      <c r="G145" s="8">
        <f t="shared" si="295"/>
        <v>2.2895840051596259E-2</v>
      </c>
      <c r="H145" s="8">
        <f t="shared" si="295"/>
        <v>2.4304445155100735E-2</v>
      </c>
      <c r="I145" s="8">
        <f t="shared" si="295"/>
        <v>2.2926093514328807E-2</v>
      </c>
      <c r="J145" s="8">
        <f t="shared" si="295"/>
        <v>2.2247905229702398E-2</v>
      </c>
      <c r="K145" s="8">
        <f t="shared" si="295"/>
        <v>2.1095890410958905E-2</v>
      </c>
      <c r="L145" s="8">
        <f t="shared" si="295"/>
        <v>1.8249999999999999E-2</v>
      </c>
      <c r="M145" s="8">
        <f t="shared" si="295"/>
        <v>1.8460043721156182E-2</v>
      </c>
      <c r="N145" s="8">
        <f t="shared" si="295"/>
        <v>2.8152069297401348E-2</v>
      </c>
      <c r="O145" s="8">
        <f t="shared" si="295"/>
        <v>2.8522252274403737E-2</v>
      </c>
      <c r="P145" s="8">
        <f t="shared" si="295"/>
        <v>2.7276930189551549E-2</v>
      </c>
      <c r="Q145" s="8">
        <f t="shared" si="295"/>
        <v>2.5971143174250831E-2</v>
      </c>
      <c r="R145" s="8">
        <f t="shared" si="295"/>
        <v>2.2718052738336714E-2</v>
      </c>
      <c r="S145" s="8">
        <f t="shared" si="295"/>
        <v>1.8388039181990033E-2</v>
      </c>
      <c r="T145" s="8">
        <f t="shared" si="295"/>
        <v>1.5627466456195737E-2</v>
      </c>
      <c r="U145" s="8">
        <f t="shared" si="295"/>
        <v>1.3773314203730272E-2</v>
      </c>
      <c r="V145" s="8">
        <f t="shared" si="295"/>
        <v>1.2198287049052686E-2</v>
      </c>
      <c r="W145" s="8">
        <f t="shared" si="295"/>
        <v>1.1060894386298764E-2</v>
      </c>
      <c r="X145" s="8">
        <f t="shared" si="295"/>
        <v>9.9436526350679486E-3</v>
      </c>
      <c r="Y145" s="8">
        <f t="shared" si="295"/>
        <v>8.430675469781615E-3</v>
      </c>
      <c r="Z145" s="31">
        <f t="shared" si="290"/>
        <v>1.9421100144207233E-2</v>
      </c>
      <c r="AO145" s="170">
        <f t="shared" ref="AO145:AU145" si="296">AO16/AO$24</f>
        <v>1.4456630109670987E-2</v>
      </c>
      <c r="AP145" s="170">
        <f t="shared" si="296"/>
        <v>1.8629494528400209E-2</v>
      </c>
      <c r="AQ145" s="170">
        <f t="shared" si="296"/>
        <v>1.8387553041018388E-2</v>
      </c>
      <c r="AR145" s="167">
        <f t="shared" si="296"/>
        <v>8.3321524727221194E-2</v>
      </c>
      <c r="AS145" s="167">
        <f t="shared" si="296"/>
        <v>7.8184281842818434E-2</v>
      </c>
      <c r="AT145" s="167">
        <f t="shared" si="296"/>
        <v>6.8621334996880848E-2</v>
      </c>
      <c r="AU145" s="167">
        <f t="shared" si="296"/>
        <v>6.460638433168002E-2</v>
      </c>
      <c r="BA145" s="167">
        <f t="shared" ref="BA145:BC145" si="297">BA16/BA$24</f>
        <v>1.8387553041018388E-2</v>
      </c>
      <c r="BB145" s="167">
        <f t="shared" si="297"/>
        <v>6.8621334996880848E-2</v>
      </c>
      <c r="BC145" s="167">
        <f t="shared" si="297"/>
        <v>6.460638433168002E-2</v>
      </c>
      <c r="BE145" s="31">
        <f>AVERAGE(AO145:AZ145)</f>
        <v>4.9458171939670011E-2</v>
      </c>
    </row>
    <row r="146" spans="1:57" x14ac:dyDescent="0.25">
      <c r="B146" s="8">
        <f>SUM(B143:B145)</f>
        <v>1</v>
      </c>
      <c r="C146" s="8">
        <f t="shared" ref="C146:Y146" si="298">SUM(C143:C145)</f>
        <v>1</v>
      </c>
      <c r="D146" s="8">
        <f t="shared" si="298"/>
        <v>1</v>
      </c>
      <c r="E146" s="8">
        <f t="shared" si="298"/>
        <v>1</v>
      </c>
      <c r="F146" s="8">
        <f t="shared" si="298"/>
        <v>1</v>
      </c>
      <c r="G146" s="8">
        <f t="shared" si="298"/>
        <v>1</v>
      </c>
      <c r="H146" s="8">
        <f t="shared" si="298"/>
        <v>1</v>
      </c>
      <c r="I146" s="8">
        <f t="shared" si="298"/>
        <v>1</v>
      </c>
      <c r="J146" s="8">
        <f t="shared" si="298"/>
        <v>1</v>
      </c>
      <c r="K146" s="8">
        <f t="shared" si="298"/>
        <v>1</v>
      </c>
      <c r="L146" s="8">
        <f t="shared" si="298"/>
        <v>1</v>
      </c>
      <c r="M146" s="8">
        <f t="shared" si="298"/>
        <v>1</v>
      </c>
      <c r="N146" s="8">
        <f t="shared" si="298"/>
        <v>1</v>
      </c>
      <c r="O146" s="8">
        <f t="shared" si="298"/>
        <v>1</v>
      </c>
      <c r="P146" s="8">
        <f t="shared" si="298"/>
        <v>1</v>
      </c>
      <c r="Q146" s="8">
        <f t="shared" si="298"/>
        <v>1</v>
      </c>
      <c r="R146" s="8">
        <f t="shared" si="298"/>
        <v>0.99999999999999989</v>
      </c>
      <c r="S146" s="8">
        <f t="shared" si="298"/>
        <v>1</v>
      </c>
      <c r="T146" s="8">
        <f t="shared" si="298"/>
        <v>1</v>
      </c>
      <c r="U146" s="8">
        <f t="shared" si="298"/>
        <v>1</v>
      </c>
      <c r="V146" s="8">
        <f t="shared" si="298"/>
        <v>1</v>
      </c>
      <c r="W146" s="8">
        <f t="shared" si="298"/>
        <v>1.0000000000000002</v>
      </c>
      <c r="X146" s="8">
        <f t="shared" si="298"/>
        <v>1</v>
      </c>
      <c r="Y146" s="8">
        <f t="shared" si="298"/>
        <v>1</v>
      </c>
      <c r="Z146" s="31">
        <f t="shared" si="290"/>
        <v>1</v>
      </c>
      <c r="AO146" s="8">
        <f t="shared" ref="AO146:AU146" si="299">SUM(AO143:AO145)</f>
        <v>1</v>
      </c>
      <c r="AP146" s="8">
        <f t="shared" si="299"/>
        <v>1</v>
      </c>
      <c r="AQ146" s="8">
        <f t="shared" si="299"/>
        <v>0.99999999999999989</v>
      </c>
      <c r="AR146" s="8">
        <f t="shared" si="299"/>
        <v>1</v>
      </c>
      <c r="AS146" s="8">
        <f t="shared" si="299"/>
        <v>1</v>
      </c>
      <c r="AT146" s="8">
        <f t="shared" si="299"/>
        <v>0.99999999999999989</v>
      </c>
      <c r="AU146" s="8">
        <f t="shared" si="299"/>
        <v>1</v>
      </c>
      <c r="BA146" s="8">
        <f t="shared" ref="BA146:BC146" si="300">SUM(BA143:BA145)</f>
        <v>0.99999999999999989</v>
      </c>
      <c r="BB146" s="8">
        <f t="shared" si="300"/>
        <v>0.99999999999999989</v>
      </c>
      <c r="BC146" s="8">
        <f t="shared" si="300"/>
        <v>1</v>
      </c>
      <c r="BE146" s="31">
        <f t="shared" ref="BE146" si="301">AVERAGE(AO146:AZ146)</f>
        <v>1</v>
      </c>
    </row>
    <row r="148" spans="1:57" x14ac:dyDescent="0.25">
      <c r="A148" t="s">
        <v>55</v>
      </c>
      <c r="B148" s="3">
        <v>42005</v>
      </c>
      <c r="C148" s="3">
        <v>42036</v>
      </c>
      <c r="D148" s="3">
        <v>42064</v>
      </c>
      <c r="E148" s="3">
        <v>42095</v>
      </c>
      <c r="F148" s="3">
        <v>42125</v>
      </c>
      <c r="G148" s="3">
        <v>42156</v>
      </c>
      <c r="H148" s="3">
        <v>42186</v>
      </c>
      <c r="I148" s="3">
        <v>42217</v>
      </c>
      <c r="J148" s="3">
        <v>42248</v>
      </c>
      <c r="K148" s="3">
        <v>42278</v>
      </c>
      <c r="L148" s="3">
        <v>42309</v>
      </c>
      <c r="M148" s="3">
        <v>42339</v>
      </c>
      <c r="N148" s="3">
        <v>42370</v>
      </c>
      <c r="O148" s="3">
        <v>42401</v>
      </c>
      <c r="P148" s="3">
        <v>42430</v>
      </c>
      <c r="Q148" s="3">
        <v>42461</v>
      </c>
      <c r="R148" s="3">
        <v>42491</v>
      </c>
      <c r="S148" s="3">
        <v>42522</v>
      </c>
      <c r="T148" s="3">
        <v>42552</v>
      </c>
      <c r="U148" s="3">
        <v>42583</v>
      </c>
      <c r="V148" s="3">
        <v>42614</v>
      </c>
      <c r="W148" s="3">
        <v>42644</v>
      </c>
      <c r="X148" s="3">
        <v>42675</v>
      </c>
      <c r="Y148" s="3">
        <v>42705</v>
      </c>
      <c r="AM148" t="s">
        <v>55</v>
      </c>
      <c r="AO148" s="108">
        <v>42736</v>
      </c>
      <c r="AP148" s="108">
        <v>42767</v>
      </c>
      <c r="AQ148" s="108">
        <v>42795</v>
      </c>
      <c r="AR148" s="108">
        <v>42826</v>
      </c>
      <c r="AS148" s="108">
        <v>42856</v>
      </c>
      <c r="AT148" s="108">
        <v>42887</v>
      </c>
      <c r="AU148" s="108">
        <v>42917</v>
      </c>
      <c r="AV148" s="108">
        <v>42948</v>
      </c>
      <c r="AW148" s="108">
        <v>42979</v>
      </c>
      <c r="AX148" s="108">
        <v>43009</v>
      </c>
      <c r="AY148" s="108">
        <v>43040</v>
      </c>
      <c r="AZ148" s="108">
        <v>43070</v>
      </c>
    </row>
    <row r="149" spans="1:57" x14ac:dyDescent="0.25">
      <c r="A149" t="s">
        <v>48</v>
      </c>
      <c r="B149" s="8">
        <f>SUM(B32:B34)/SUM(B20:B22)</f>
        <v>0.16119691119691121</v>
      </c>
      <c r="C149" s="8">
        <f t="shared" ref="C149:V149" si="302">SUM(C32:C34)/SUM(C20:C22)</f>
        <v>0.12634408602150538</v>
      </c>
      <c r="D149" s="8">
        <f t="shared" si="302"/>
        <v>0.16731821735731039</v>
      </c>
      <c r="E149" s="8">
        <f t="shared" si="302"/>
        <v>0.19352568613652357</v>
      </c>
      <c r="F149" s="8">
        <f t="shared" si="302"/>
        <v>0.25904897090134849</v>
      </c>
      <c r="G149" s="8">
        <f t="shared" si="302"/>
        <v>0.26035965598123534</v>
      </c>
      <c r="H149" s="8">
        <f t="shared" si="302"/>
        <v>0.25967741935483873</v>
      </c>
      <c r="I149" s="8">
        <f t="shared" si="302"/>
        <v>0.22175732217573221</v>
      </c>
      <c r="J149" s="8">
        <f t="shared" si="302"/>
        <v>0.39014647137150466</v>
      </c>
      <c r="K149" s="8">
        <f t="shared" si="302"/>
        <v>0.2680047225501771</v>
      </c>
      <c r="L149" s="8">
        <f t="shared" si="302"/>
        <v>0.31083380601247873</v>
      </c>
      <c r="M149" s="8">
        <f t="shared" si="302"/>
        <v>0.3400435255712731</v>
      </c>
      <c r="N149" s="8">
        <f t="shared" si="302"/>
        <v>0.13005109150023222</v>
      </c>
      <c r="O149" s="8">
        <f t="shared" si="302"/>
        <v>0.12256388046773495</v>
      </c>
      <c r="P149" s="8">
        <f t="shared" si="302"/>
        <v>0.20982482863670981</v>
      </c>
      <c r="Q149" s="8">
        <f t="shared" si="302"/>
        <v>0.16195924204504827</v>
      </c>
      <c r="R149" s="8">
        <f t="shared" si="302"/>
        <v>0.15733235077376567</v>
      </c>
      <c r="S149" s="8">
        <f t="shared" si="302"/>
        <v>0.20596312279325227</v>
      </c>
      <c r="T149" s="8">
        <f t="shared" si="302"/>
        <v>0.14362272240085744</v>
      </c>
      <c r="U149" s="8">
        <f t="shared" si="302"/>
        <v>0.14271457085828343</v>
      </c>
      <c r="V149" s="8">
        <f t="shared" si="302"/>
        <v>0.14552124732497707</v>
      </c>
      <c r="W149" s="8">
        <f t="shared" ref="W149:X149" si="303">SUM(W32:W34)/SUM(W20:W22)</f>
        <v>0.1111111111111111</v>
      </c>
      <c r="X149" s="8">
        <f t="shared" si="303"/>
        <v>0.10572892408011178</v>
      </c>
      <c r="Y149" s="8">
        <f t="shared" ref="Y149" si="304">SUM(Y32:Y34)/SUM(Y20:Y22)</f>
        <v>0.1760307626575518</v>
      </c>
      <c r="Z149" s="31"/>
      <c r="AM149" t="s">
        <v>48</v>
      </c>
      <c r="AO149" s="8">
        <f t="shared" ref="AO149:AT149" si="305">SUM(AO32:AO34)/SUM(AO20:AO22)</f>
        <v>5.8951965065502182E-2</v>
      </c>
      <c r="AP149" s="8">
        <f t="shared" si="305"/>
        <v>0.14717679728478864</v>
      </c>
      <c r="AQ149" s="8">
        <f t="shared" si="305"/>
        <v>0.19161849710982659</v>
      </c>
      <c r="AR149" s="8">
        <f t="shared" si="305"/>
        <v>0.15238740264138165</v>
      </c>
      <c r="AS149" s="8">
        <f t="shared" si="305"/>
        <v>0.12120128709331426</v>
      </c>
      <c r="AT149" s="8">
        <f t="shared" si="305"/>
        <v>0.11301609517144856</v>
      </c>
      <c r="AU149" s="8">
        <f>SUM(AU32:AU34)/SUM(AU20:AU22)</f>
        <v>0.10831234256926953</v>
      </c>
    </row>
    <row r="150" spans="1:57" x14ac:dyDescent="0.25">
      <c r="A150" t="s">
        <v>49</v>
      </c>
      <c r="B150" s="8">
        <f>SUM(B29:B31)/SUM(B17:B19)</f>
        <v>0.25</v>
      </c>
      <c r="C150" s="8">
        <f t="shared" ref="C150:V150" si="306">SUM(C29:C31)/SUM(C17:C19)</f>
        <v>0.20806794055201699</v>
      </c>
      <c r="D150" s="8">
        <f t="shared" si="306"/>
        <v>0.26452494873547505</v>
      </c>
      <c r="E150" s="8">
        <f t="shared" si="306"/>
        <v>0.25334957369062117</v>
      </c>
      <c r="F150" s="8">
        <f t="shared" si="306"/>
        <v>0.29182630906768836</v>
      </c>
      <c r="G150" s="8">
        <f t="shared" si="306"/>
        <v>0.3489434608794974</v>
      </c>
      <c r="H150" s="8">
        <f t="shared" si="306"/>
        <v>0.3556046383213694</v>
      </c>
      <c r="I150" s="8">
        <f t="shared" si="306"/>
        <v>0.25872576177285317</v>
      </c>
      <c r="J150" s="8">
        <f t="shared" si="306"/>
        <v>0.37885228480340066</v>
      </c>
      <c r="K150" s="8">
        <f t="shared" si="306"/>
        <v>0.32730175625332625</v>
      </c>
      <c r="L150" s="8">
        <f t="shared" si="306"/>
        <v>0.35258780036968579</v>
      </c>
      <c r="M150" s="8">
        <f t="shared" si="306"/>
        <v>0.40217884702678164</v>
      </c>
      <c r="N150" s="8">
        <f t="shared" si="306"/>
        <v>0.16436903499469777</v>
      </c>
      <c r="O150" s="8">
        <f t="shared" si="306"/>
        <v>0.18026796589524968</v>
      </c>
      <c r="P150" s="8">
        <f t="shared" si="306"/>
        <v>0.31605562579013907</v>
      </c>
      <c r="Q150" s="8">
        <f t="shared" si="306"/>
        <v>0.2985543683218102</v>
      </c>
      <c r="R150" s="8">
        <f t="shared" si="306"/>
        <v>0.29039923954372626</v>
      </c>
      <c r="S150" s="8">
        <f t="shared" si="306"/>
        <v>0.33449257034460955</v>
      </c>
      <c r="T150" s="8">
        <f t="shared" si="306"/>
        <v>0.25080011638056443</v>
      </c>
      <c r="U150" s="8">
        <f t="shared" si="306"/>
        <v>0.24405377456049637</v>
      </c>
      <c r="V150" s="8">
        <f t="shared" si="306"/>
        <v>0.27804653305689936</v>
      </c>
      <c r="W150" s="8">
        <f t="shared" ref="W150:X150" si="307">SUM(W29:W31)/SUM(W17:W19)</f>
        <v>0.22738897930713786</v>
      </c>
      <c r="X150" s="8">
        <f t="shared" si="307"/>
        <v>0.2234840368545104</v>
      </c>
      <c r="Y150" s="8">
        <f t="shared" ref="Y150" si="308">SUM(Y29:Y31)/SUM(Y17:Y19)</f>
        <v>0.32375516630584533</v>
      </c>
      <c r="Z150" s="31"/>
      <c r="AM150" t="s">
        <v>49</v>
      </c>
      <c r="AO150" s="8">
        <f t="shared" ref="AO150:AT150" si="309">SUM(AO29:AO31)/SUM(AO17:AO19)</f>
        <v>0.14035087719298245</v>
      </c>
      <c r="AP150" s="8">
        <f t="shared" si="309"/>
        <v>0.20153774464119292</v>
      </c>
      <c r="AQ150" s="8">
        <f t="shared" si="309"/>
        <v>0.27455678006708195</v>
      </c>
      <c r="AR150" s="8">
        <f t="shared" si="309"/>
        <v>0.26393629124004553</v>
      </c>
      <c r="AS150" s="8">
        <f t="shared" si="309"/>
        <v>0.21892161757363954</v>
      </c>
      <c r="AT150" s="8">
        <f t="shared" si="309"/>
        <v>0.2891252441936184</v>
      </c>
      <c r="AU150" s="8">
        <f t="shared" ref="AU150" si="310">SUM(AU29:AU31)/SUM(AU17:AU19)</f>
        <v>0.20804195804195805</v>
      </c>
    </row>
    <row r="151" spans="1:57" x14ac:dyDescent="0.25">
      <c r="A151" t="s">
        <v>157</v>
      </c>
      <c r="B151" s="8">
        <f>B28/B16</f>
        <v>0.73076923076923073</v>
      </c>
      <c r="C151" s="8">
        <f t="shared" ref="C151:Y151" si="311">C28/C16</f>
        <v>0.52631578947368418</v>
      </c>
      <c r="D151" s="8">
        <f t="shared" si="311"/>
        <v>0.65079365079365081</v>
      </c>
      <c r="E151" s="8">
        <f t="shared" si="311"/>
        <v>0.75714285714285712</v>
      </c>
      <c r="F151" s="8">
        <f t="shared" si="311"/>
        <v>0.83098591549295775</v>
      </c>
      <c r="G151" s="8">
        <f t="shared" si="311"/>
        <v>0.76056338028169013</v>
      </c>
      <c r="H151" s="8">
        <f t="shared" si="311"/>
        <v>0.68421052631578949</v>
      </c>
      <c r="I151" s="8">
        <f t="shared" si="311"/>
        <v>0.61842105263157898</v>
      </c>
      <c r="J151" s="8">
        <f t="shared" si="311"/>
        <v>0.8441558441558441</v>
      </c>
      <c r="K151" s="8">
        <f t="shared" si="311"/>
        <v>0.79220779220779225</v>
      </c>
      <c r="L151" s="8">
        <f t="shared" si="311"/>
        <v>0.73972602739726023</v>
      </c>
      <c r="M151" s="8">
        <f t="shared" si="311"/>
        <v>0.75</v>
      </c>
      <c r="N151" s="8">
        <f t="shared" si="311"/>
        <v>0.38461538461538464</v>
      </c>
      <c r="O151" s="8">
        <f t="shared" si="311"/>
        <v>0.35344827586206895</v>
      </c>
      <c r="P151" s="8">
        <f t="shared" si="311"/>
        <v>0.55084745762711862</v>
      </c>
      <c r="Q151" s="8">
        <f t="shared" si="311"/>
        <v>0.4358974358974359</v>
      </c>
      <c r="R151" s="8">
        <f t="shared" si="311"/>
        <v>0.44642857142857145</v>
      </c>
      <c r="S151" s="8">
        <f t="shared" si="311"/>
        <v>0.59813084112149528</v>
      </c>
      <c r="T151" s="8">
        <f t="shared" si="311"/>
        <v>0.46464646464646464</v>
      </c>
      <c r="U151" s="8">
        <f t="shared" si="311"/>
        <v>0.48958333333333331</v>
      </c>
      <c r="V151" s="8">
        <f t="shared" si="311"/>
        <v>0.54255319148936165</v>
      </c>
      <c r="W151" s="8">
        <f t="shared" si="311"/>
        <v>0.45161290322580644</v>
      </c>
      <c r="X151" s="8">
        <f t="shared" si="311"/>
        <v>0.46666666666666667</v>
      </c>
      <c r="Y151" s="8">
        <f t="shared" si="311"/>
        <v>0.61445783132530118</v>
      </c>
      <c r="Z151" s="31"/>
      <c r="AM151" t="s">
        <v>4</v>
      </c>
      <c r="AO151" s="8">
        <f t="shared" ref="AO151:AT151" si="312">AO28/AO16</f>
        <v>0.55862068965517242</v>
      </c>
      <c r="AP151" s="8">
        <f t="shared" si="312"/>
        <v>0.69930069930069927</v>
      </c>
      <c r="AQ151" s="8">
        <f t="shared" si="312"/>
        <v>0.74125874125874125</v>
      </c>
      <c r="AR151" s="8">
        <f t="shared" si="312"/>
        <v>0.51870748299319724</v>
      </c>
      <c r="AS151" s="8">
        <f t="shared" si="312"/>
        <v>0.43500866551126516</v>
      </c>
      <c r="AT151" s="8">
        <f t="shared" si="312"/>
        <v>0.42363636363636364</v>
      </c>
      <c r="AU151" s="8">
        <f t="shared" ref="AU151" si="313">AU28/AU16</f>
        <v>0.35039370078740156</v>
      </c>
    </row>
    <row r="152" spans="1:57" x14ac:dyDescent="0.25">
      <c r="Z152" s="31"/>
      <c r="AM152"/>
      <c r="AO152"/>
      <c r="AP152"/>
      <c r="AQ152"/>
      <c r="AR152"/>
      <c r="AS152"/>
      <c r="AT152"/>
    </row>
    <row r="153" spans="1:57" x14ac:dyDescent="0.25">
      <c r="A153" t="s">
        <v>52</v>
      </c>
      <c r="AM153" t="s">
        <v>52</v>
      </c>
      <c r="AO153"/>
      <c r="AP153"/>
      <c r="AQ153"/>
      <c r="AR153"/>
      <c r="AS153"/>
      <c r="AT153"/>
    </row>
    <row r="154" spans="1:57" x14ac:dyDescent="0.25">
      <c r="A154" t="s">
        <v>48</v>
      </c>
      <c r="B154" s="10">
        <f>SUM(B8:B10)/SUM(B56:B58)</f>
        <v>12.165877094972068</v>
      </c>
      <c r="C154" s="10">
        <f t="shared" ref="C154:V154" si="314">SUM(C8:C10)/SUM(C56:C58)</f>
        <v>16.39680838323353</v>
      </c>
      <c r="D154" s="10">
        <f t="shared" si="314"/>
        <v>16.499994773519163</v>
      </c>
      <c r="E154" s="10">
        <f t="shared" si="314"/>
        <v>20.17077734375</v>
      </c>
      <c r="F154" s="10">
        <f t="shared" si="314"/>
        <v>14.039651826484018</v>
      </c>
      <c r="G154" s="10">
        <f t="shared" si="314"/>
        <v>23.376402010050253</v>
      </c>
      <c r="H154" s="10">
        <f t="shared" si="314"/>
        <v>20.709918823529414</v>
      </c>
      <c r="I154" s="10">
        <f t="shared" si="314"/>
        <v>16.129231754161331</v>
      </c>
      <c r="J154" s="10">
        <f t="shared" si="314"/>
        <v>20.150941830065346</v>
      </c>
      <c r="K154" s="10">
        <f t="shared" si="314"/>
        <v>13.979350135013503</v>
      </c>
      <c r="L154" s="10">
        <f t="shared" si="314"/>
        <v>16.743358775137121</v>
      </c>
      <c r="M154" s="10">
        <f t="shared" si="314"/>
        <v>20.961197802197802</v>
      </c>
      <c r="N154" s="10">
        <f t="shared" si="314"/>
        <v>14.042312236286921</v>
      </c>
      <c r="O154" s="10">
        <f t="shared" si="314"/>
        <v>16.880122562674096</v>
      </c>
      <c r="P154" s="10">
        <f t="shared" si="314"/>
        <v>15.873884965831433</v>
      </c>
      <c r="Q154" s="10">
        <f t="shared" si="314"/>
        <v>17.817696160267111</v>
      </c>
      <c r="R154" s="10">
        <f t="shared" si="314"/>
        <v>17.432315878378379</v>
      </c>
      <c r="S154" s="10">
        <f t="shared" si="314"/>
        <v>15.144354588796185</v>
      </c>
      <c r="T154" s="10">
        <f t="shared" si="314"/>
        <v>16.803745886654482</v>
      </c>
      <c r="U154" s="10">
        <f t="shared" si="314"/>
        <v>18.064996766370253</v>
      </c>
      <c r="V154" s="10">
        <f t="shared" si="314"/>
        <v>17.381971590909089</v>
      </c>
      <c r="W154" s="10">
        <f t="shared" ref="W154:X154" si="315">SUM(W8:W10)/SUM(W56:W58)</f>
        <v>20.515086321381144</v>
      </c>
      <c r="X154" s="10">
        <f t="shared" si="315"/>
        <v>17.304182875264271</v>
      </c>
      <c r="Y154" s="10">
        <f t="shared" ref="Y154" si="316">SUM(Y8:Y10)/SUM(Y56:Y58)</f>
        <v>20.526255203877994</v>
      </c>
      <c r="AM154" t="s">
        <v>48</v>
      </c>
      <c r="AO154" s="10">
        <f t="shared" ref="AO154:AT154" si="317">SUM(AO8:AO10)/SUM(AO56:AO58)</f>
        <v>16.794154222766217</v>
      </c>
      <c r="AP154" s="10">
        <f t="shared" si="317"/>
        <v>16.834050549450549</v>
      </c>
      <c r="AQ154" s="10">
        <f t="shared" si="317"/>
        <v>16.318494722349701</v>
      </c>
      <c r="AR154" s="10">
        <f t="shared" si="317"/>
        <v>16.937900629811054</v>
      </c>
      <c r="AS154" s="10">
        <f t="shared" si="317"/>
        <v>13.143904382470119</v>
      </c>
      <c r="AT154" s="10">
        <f t="shared" si="317"/>
        <v>17.539966072943173</v>
      </c>
      <c r="AU154" s="10">
        <f t="shared" ref="AU154" si="318">SUM(AU8:AU10)/SUM(AU56:AU58)</f>
        <v>19.203067150635206</v>
      </c>
    </row>
    <row r="155" spans="1:57" x14ac:dyDescent="0.25">
      <c r="A155" t="s">
        <v>49</v>
      </c>
      <c r="B155" s="10">
        <f>SUM(B5:B7)/SUM(B53:B55)</f>
        <v>13.628383259911894</v>
      </c>
      <c r="C155" s="10">
        <f t="shared" ref="C155:V155" si="319">SUM(C5:C7)/SUM(C53:C55)</f>
        <v>13.680038251366119</v>
      </c>
      <c r="D155" s="10">
        <f t="shared" si="319"/>
        <v>16.225667562724016</v>
      </c>
      <c r="E155" s="10">
        <f t="shared" si="319"/>
        <v>17.508351758793971</v>
      </c>
      <c r="F155" s="10">
        <f t="shared" si="319"/>
        <v>15.174931574608408</v>
      </c>
      <c r="G155" s="10">
        <f t="shared" si="319"/>
        <v>15.806122838401896</v>
      </c>
      <c r="H155" s="10">
        <f t="shared" si="319"/>
        <v>14.060311816192559</v>
      </c>
      <c r="I155" s="10">
        <f t="shared" si="319"/>
        <v>13.685679054054054</v>
      </c>
      <c r="J155" s="10">
        <f t="shared" si="319"/>
        <v>15.215626082991337</v>
      </c>
      <c r="K155" s="10">
        <f t="shared" si="319"/>
        <v>15.661765402843603</v>
      </c>
      <c r="L155" s="10">
        <f t="shared" si="319"/>
        <v>14.29292262773725</v>
      </c>
      <c r="M155" s="10">
        <f t="shared" si="319"/>
        <v>15.714463285625394</v>
      </c>
      <c r="N155" s="10">
        <f t="shared" si="319"/>
        <v>14.079632704402512</v>
      </c>
      <c r="O155" s="10">
        <f t="shared" si="319"/>
        <v>14.266506393861894</v>
      </c>
      <c r="P155" s="10">
        <f t="shared" si="319"/>
        <v>17.359709429824562</v>
      </c>
      <c r="Q155" s="10">
        <f t="shared" si="319"/>
        <v>18.546511659807969</v>
      </c>
      <c r="R155" s="10">
        <f t="shared" si="319"/>
        <v>15.429855135135135</v>
      </c>
      <c r="S155" s="10">
        <f t="shared" si="319"/>
        <v>14.181541597796183</v>
      </c>
      <c r="T155" s="10">
        <f t="shared" si="319"/>
        <v>14.225243044189861</v>
      </c>
      <c r="U155" s="10">
        <f t="shared" si="319"/>
        <v>13.137227007299291</v>
      </c>
      <c r="V155" s="10">
        <f t="shared" si="319"/>
        <v>14.174629568498029</v>
      </c>
      <c r="W155" s="10">
        <f t="shared" ref="W155:X155" si="320">SUM(W5:W7)/SUM(W53:W55)</f>
        <v>15.061704481792731</v>
      </c>
      <c r="X155" s="10">
        <f t="shared" si="320"/>
        <v>16.782758931006317</v>
      </c>
      <c r="Y155" s="10">
        <f t="shared" ref="Y155" si="321">SUM(Y5:Y7)/SUM(Y53:Y55)</f>
        <v>17.031478857507665</v>
      </c>
      <c r="AM155" t="s">
        <v>49</v>
      </c>
      <c r="AO155" s="10">
        <f t="shared" ref="AO155:AT155" si="322">SUM(AO5:AO7)/SUM(AO53:AO55)</f>
        <v>14.170920061887571</v>
      </c>
      <c r="AP155" s="10">
        <f t="shared" si="322"/>
        <v>14.942372168284805</v>
      </c>
      <c r="AQ155" s="10">
        <f t="shared" si="322"/>
        <v>14.446659804426144</v>
      </c>
      <c r="AR155" s="10">
        <f t="shared" si="322"/>
        <v>14.33498945888967</v>
      </c>
      <c r="AS155" s="10">
        <f t="shared" si="322"/>
        <v>14.799328762179719</v>
      </c>
      <c r="AT155" s="10">
        <f t="shared" si="322"/>
        <v>14.262841978287094</v>
      </c>
      <c r="AU155" s="10">
        <f t="shared" ref="AU155" si="323">SUM(AU5:AU7)/SUM(AU53:AU55)</f>
        <v>15.136618680950788</v>
      </c>
    </row>
    <row r="156" spans="1:57" x14ac:dyDescent="0.25">
      <c r="A156" t="s">
        <v>157</v>
      </c>
      <c r="B156" s="10">
        <f>B4/B52</f>
        <v>25.032451219512197</v>
      </c>
      <c r="C156" s="10">
        <f t="shared" ref="C156:Y156" si="324">C4/C52</f>
        <v>19.755242424242425</v>
      </c>
      <c r="D156" s="10">
        <f t="shared" si="324"/>
        <v>33.425615384615384</v>
      </c>
      <c r="E156" s="10">
        <f t="shared" si="324"/>
        <v>33.375156804733727</v>
      </c>
      <c r="F156" s="10">
        <f t="shared" si="324"/>
        <v>27.285160337552746</v>
      </c>
      <c r="G156" s="10">
        <f t="shared" si="324"/>
        <v>32.193661016949157</v>
      </c>
      <c r="H156" s="10">
        <f t="shared" si="324"/>
        <v>43.875194767441855</v>
      </c>
      <c r="I156" s="10">
        <f t="shared" si="324"/>
        <v>25.721978609625669</v>
      </c>
      <c r="J156" s="10">
        <f t="shared" si="324"/>
        <v>35.026007751937982</v>
      </c>
      <c r="K156" s="10">
        <f t="shared" si="324"/>
        <v>27.151162393162334</v>
      </c>
      <c r="L156" s="10">
        <f t="shared" si="324"/>
        <v>27.188452247191012</v>
      </c>
      <c r="M156" s="10">
        <f t="shared" si="324"/>
        <v>31.669962393162354</v>
      </c>
      <c r="N156" s="10">
        <f t="shared" si="324"/>
        <v>35.149828124999999</v>
      </c>
      <c r="O156" s="10">
        <f t="shared" si="324"/>
        <v>31.867835820895074</v>
      </c>
      <c r="P156" s="10">
        <f t="shared" si="324"/>
        <v>26.925121951219452</v>
      </c>
      <c r="Q156" s="10">
        <f t="shared" si="324"/>
        <v>37.592350282485882</v>
      </c>
      <c r="R156" s="10">
        <f t="shared" si="324"/>
        <v>31.795125000000002</v>
      </c>
      <c r="S156" s="10">
        <f t="shared" si="324"/>
        <v>27.800063432835824</v>
      </c>
      <c r="T156" s="10">
        <f t="shared" si="324"/>
        <v>31.257836363636365</v>
      </c>
      <c r="U156" s="10">
        <f t="shared" si="324"/>
        <v>25.938352657004828</v>
      </c>
      <c r="V156" s="10">
        <f t="shared" si="324"/>
        <v>25.281529010238909</v>
      </c>
      <c r="W156" s="10">
        <f t="shared" si="324"/>
        <v>27.026854700854699</v>
      </c>
      <c r="X156" s="10">
        <f t="shared" si="324"/>
        <v>28.059678700361012</v>
      </c>
      <c r="Y156" s="10">
        <f t="shared" si="324"/>
        <v>32.110261574074073</v>
      </c>
      <c r="AM156" t="s">
        <v>4</v>
      </c>
      <c r="AO156" s="10">
        <f t="shared" ref="AO156:AT156" si="325">AO4/AO52</f>
        <v>22.4601875</v>
      </c>
      <c r="AP156" s="10">
        <f t="shared" si="325"/>
        <v>32.71586585365857</v>
      </c>
      <c r="AQ156" s="10">
        <f t="shared" si="325"/>
        <v>26.061524547803621</v>
      </c>
      <c r="AR156" s="10">
        <f t="shared" si="325"/>
        <v>20.095620998719589</v>
      </c>
      <c r="AS156" s="10">
        <f t="shared" si="325"/>
        <v>21.665062362435805</v>
      </c>
      <c r="AT156" s="10">
        <f t="shared" si="325"/>
        <v>21.616416978776531</v>
      </c>
      <c r="AU156" s="10">
        <f t="shared" ref="AU156" si="326">AU4/AU52</f>
        <v>20.286642402183805</v>
      </c>
    </row>
    <row r="157" spans="1:57" x14ac:dyDescent="0.25">
      <c r="AM157"/>
      <c r="AO157"/>
      <c r="AP157"/>
      <c r="AQ157"/>
      <c r="AR157"/>
      <c r="AS157"/>
      <c r="AT157"/>
    </row>
    <row r="158" spans="1:57" x14ac:dyDescent="0.25">
      <c r="A158" t="s">
        <v>53</v>
      </c>
      <c r="AM158" t="s">
        <v>53</v>
      </c>
      <c r="AO158"/>
      <c r="AP158"/>
      <c r="AQ158"/>
      <c r="AR158"/>
      <c r="AS158"/>
      <c r="AT158"/>
    </row>
    <row r="159" spans="1:57" x14ac:dyDescent="0.25">
      <c r="A159" t="s">
        <v>48</v>
      </c>
      <c r="B159" s="10">
        <f>SUM(B56:B58)/SUM(B32:B34)</f>
        <v>1.0718562874251496</v>
      </c>
      <c r="C159" s="10">
        <f t="shared" ref="C159:V159" si="327">SUM(C56:C58)/SUM(C32:C34)</f>
        <v>1.1843971631205674</v>
      </c>
      <c r="D159" s="10">
        <f t="shared" si="327"/>
        <v>1.3411214953271029</v>
      </c>
      <c r="E159" s="10">
        <f t="shared" si="327"/>
        <v>1.3963636363636365</v>
      </c>
      <c r="F159" s="10">
        <f t="shared" si="327"/>
        <v>1.2</v>
      </c>
      <c r="G159" s="10">
        <f t="shared" si="327"/>
        <v>1.1951951951951951</v>
      </c>
      <c r="H159" s="10">
        <f t="shared" si="327"/>
        <v>1.3198757763975155</v>
      </c>
      <c r="I159" s="10">
        <f t="shared" si="327"/>
        <v>1.2279874213836477</v>
      </c>
      <c r="J159" s="10">
        <f t="shared" si="327"/>
        <v>1.3054607508532423</v>
      </c>
      <c r="K159" s="10">
        <f t="shared" si="327"/>
        <v>1.223568281938326</v>
      </c>
      <c r="L159" s="10">
        <f t="shared" si="327"/>
        <v>1.9963503649635037</v>
      </c>
      <c r="M159" s="10">
        <f t="shared" si="327"/>
        <v>1.82</v>
      </c>
      <c r="N159" s="10">
        <f t="shared" si="327"/>
        <v>1.2696428571428571</v>
      </c>
      <c r="O159" s="10">
        <f t="shared" si="327"/>
        <v>1.2685512367491165</v>
      </c>
      <c r="P159" s="10">
        <f t="shared" si="327"/>
        <v>1.5934664246823957</v>
      </c>
      <c r="Q159" s="10">
        <f t="shared" si="327"/>
        <v>1.3222958057395144</v>
      </c>
      <c r="R159" s="10">
        <f t="shared" si="327"/>
        <v>1.3864168618266979</v>
      </c>
      <c r="S159" s="10">
        <f t="shared" si="327"/>
        <v>1.598095238095238</v>
      </c>
      <c r="T159" s="10">
        <f t="shared" si="327"/>
        <v>1.3606965174129353</v>
      </c>
      <c r="U159" s="10">
        <f t="shared" si="327"/>
        <v>1.4417249417249418</v>
      </c>
      <c r="V159" s="10">
        <f t="shared" si="327"/>
        <v>1.8487394957983194</v>
      </c>
      <c r="W159" s="10">
        <f t="shared" ref="W159:X159" si="328">SUM(W56:W58)/SUM(W32:W34)</f>
        <v>1.688340807174888</v>
      </c>
      <c r="X159" s="10">
        <f t="shared" si="328"/>
        <v>2.0837004405286343</v>
      </c>
      <c r="Y159" s="10">
        <f t="shared" ref="Y159" si="329">SUM(Y56:Y58)/SUM(Y32:Y34)</f>
        <v>2.1280339805825244</v>
      </c>
      <c r="AM159" t="s">
        <v>48</v>
      </c>
      <c r="AO159" s="10">
        <f t="shared" ref="AO159:AT159" si="330">SUM(AO56:AO58)/SUM(AO32:AO34)</f>
        <v>1.2608024691358024</v>
      </c>
      <c r="AP159" s="10">
        <f t="shared" si="330"/>
        <v>1.4308176100628931</v>
      </c>
      <c r="AQ159" s="10">
        <f t="shared" si="330"/>
        <v>1.643288084464555</v>
      </c>
      <c r="AR159" s="10">
        <f t="shared" si="330"/>
        <v>1.5877777777777777</v>
      </c>
      <c r="AS159" s="10">
        <f t="shared" si="330"/>
        <v>3.7020648967551621</v>
      </c>
      <c r="AT159" s="10">
        <f t="shared" si="330"/>
        <v>1.8250773993808049</v>
      </c>
      <c r="AU159" s="10">
        <f t="shared" ref="AU159" si="331">SUM(AU56:AU58)/SUM(AU32:AU34)</f>
        <v>1.830564784053156</v>
      </c>
    </row>
    <row r="160" spans="1:57" x14ac:dyDescent="0.25">
      <c r="A160" t="s">
        <v>49</v>
      </c>
      <c r="B160" s="10">
        <f>SUM(B53:B55)/SUM(B29:B31)</f>
        <v>1.2897727272727273</v>
      </c>
      <c r="C160" s="10">
        <f t="shared" ref="C160:V160" si="332">SUM(C53:C55)/SUM(C29:C31)</f>
        <v>1.2448979591836735</v>
      </c>
      <c r="D160" s="10">
        <f t="shared" si="332"/>
        <v>1.441860465116279</v>
      </c>
      <c r="E160" s="10">
        <f t="shared" si="332"/>
        <v>1.4350961538461537</v>
      </c>
      <c r="F160" s="10">
        <f t="shared" si="332"/>
        <v>1.3271334792122538</v>
      </c>
      <c r="G160" s="10">
        <f t="shared" si="332"/>
        <v>1.3723404255319149</v>
      </c>
      <c r="H160" s="10">
        <f t="shared" si="332"/>
        <v>1.4192546583850931</v>
      </c>
      <c r="I160" s="10">
        <f t="shared" si="332"/>
        <v>1.2676659528907923</v>
      </c>
      <c r="J160" s="10">
        <f t="shared" si="332"/>
        <v>1.5378681626928472</v>
      </c>
      <c r="K160" s="10">
        <f t="shared" si="332"/>
        <v>1.3723577235772357</v>
      </c>
      <c r="L160" s="10">
        <f t="shared" si="332"/>
        <v>1.7955439056356488</v>
      </c>
      <c r="M160" s="10">
        <f t="shared" si="332"/>
        <v>1.8137697516930023</v>
      </c>
      <c r="N160" s="10">
        <f t="shared" si="332"/>
        <v>1.282258064516129</v>
      </c>
      <c r="O160" s="10">
        <f t="shared" si="332"/>
        <v>1.3209459459459461</v>
      </c>
      <c r="P160" s="10">
        <f t="shared" si="332"/>
        <v>1.8240000000000001</v>
      </c>
      <c r="Q160" s="10">
        <f t="shared" si="332"/>
        <v>1.5347368421052632</v>
      </c>
      <c r="R160" s="10">
        <f t="shared" si="332"/>
        <v>1.513911620294599</v>
      </c>
      <c r="S160" s="10">
        <f t="shared" si="332"/>
        <v>1.7155009451795842</v>
      </c>
      <c r="T160" s="10">
        <f t="shared" si="332"/>
        <v>1.4176334106728539</v>
      </c>
      <c r="U160" s="10">
        <f t="shared" si="332"/>
        <v>1.451271186440678</v>
      </c>
      <c r="V160" s="10">
        <f t="shared" si="332"/>
        <v>1.7568351284175643</v>
      </c>
      <c r="W160" s="10">
        <f t="shared" ref="W160:X160" si="333">SUM(W53:W55)/SUM(W29:W31)</f>
        <v>1.4601226993865031</v>
      </c>
      <c r="X160" s="10">
        <f t="shared" si="333"/>
        <v>1.7579098753595397</v>
      </c>
      <c r="Y160" s="10">
        <f t="shared" ref="Y160" si="334">SUM(Y53:Y55)/SUM(Y29:Y31)</f>
        <v>1.9048632218844985</v>
      </c>
      <c r="AM160" t="s">
        <v>49</v>
      </c>
      <c r="AO160" s="10">
        <f t="shared" ref="AO160:AT160" si="335">SUM(AO53:AO55)/SUM(AO29:AO31)</f>
        <v>1.5738636363636365</v>
      </c>
      <c r="AP160" s="10">
        <f t="shared" si="335"/>
        <v>1.4289017341040462</v>
      </c>
      <c r="AQ160" s="10">
        <f t="shared" si="335"/>
        <v>1.6954624781849912</v>
      </c>
      <c r="AR160" s="10">
        <f t="shared" si="335"/>
        <v>1.5334051724137931</v>
      </c>
      <c r="AS160" s="10">
        <f t="shared" si="335"/>
        <v>1.5798175598631699</v>
      </c>
      <c r="AT160" s="10">
        <f t="shared" si="335"/>
        <v>1.5559309309309308</v>
      </c>
      <c r="AU160" s="10">
        <f t="shared" ref="AU160" si="336">SUM(AU53:AU55)/SUM(AU29:AU31)</f>
        <v>1.5688025210084033</v>
      </c>
    </row>
    <row r="161" spans="1:47" x14ac:dyDescent="0.25">
      <c r="A161" t="s">
        <v>157</v>
      </c>
      <c r="B161" s="10">
        <f>B52/B28</f>
        <v>2.1578947368421053</v>
      </c>
      <c r="C161" s="10">
        <f t="shared" ref="C161:Y161" si="337">C52/C28</f>
        <v>2.2000000000000002</v>
      </c>
      <c r="D161" s="10">
        <f t="shared" si="337"/>
        <v>3.8048780487804876</v>
      </c>
      <c r="E161" s="10">
        <f t="shared" si="337"/>
        <v>3.1886792452830188</v>
      </c>
      <c r="F161" s="10">
        <f t="shared" si="337"/>
        <v>2.0084745762711864</v>
      </c>
      <c r="G161" s="10">
        <f t="shared" si="337"/>
        <v>2.7314814814814814</v>
      </c>
      <c r="H161" s="10">
        <f t="shared" si="337"/>
        <v>3.3076923076923075</v>
      </c>
      <c r="I161" s="10">
        <f t="shared" si="337"/>
        <v>1.9893617021276595</v>
      </c>
      <c r="J161" s="10">
        <f t="shared" si="337"/>
        <v>2.976923076923077</v>
      </c>
      <c r="K161" s="10">
        <f t="shared" si="337"/>
        <v>2.877049180327869</v>
      </c>
      <c r="L161" s="10">
        <f t="shared" si="337"/>
        <v>3.2962962962962963</v>
      </c>
      <c r="M161" s="10">
        <f t="shared" si="337"/>
        <v>5.1315789473684212</v>
      </c>
      <c r="N161" s="10">
        <f t="shared" si="337"/>
        <v>1.4222222222222223</v>
      </c>
      <c r="O161" s="10">
        <f t="shared" si="337"/>
        <v>1.6341463414634145</v>
      </c>
      <c r="P161" s="10">
        <f t="shared" si="337"/>
        <v>2.523076923076923</v>
      </c>
      <c r="Q161" s="10">
        <f t="shared" si="337"/>
        <v>3.4705882352941178</v>
      </c>
      <c r="R161" s="10">
        <f t="shared" si="337"/>
        <v>2.2400000000000002</v>
      </c>
      <c r="S161" s="10">
        <f t="shared" si="337"/>
        <v>2.09375</v>
      </c>
      <c r="T161" s="10">
        <f t="shared" si="337"/>
        <v>2.3913043478260869</v>
      </c>
      <c r="U161" s="10">
        <f t="shared" si="337"/>
        <v>2.2021276595744679</v>
      </c>
      <c r="V161" s="10">
        <f t="shared" si="337"/>
        <v>2.8725490196078431</v>
      </c>
      <c r="W161" s="10">
        <f t="shared" si="337"/>
        <v>2.7857142857142856</v>
      </c>
      <c r="X161" s="10">
        <f t="shared" si="337"/>
        <v>3.2976190476190474</v>
      </c>
      <c r="Y161" s="10">
        <f t="shared" si="337"/>
        <v>4.2352941176470589</v>
      </c>
      <c r="AM161" t="s">
        <v>4</v>
      </c>
      <c r="AO161" s="10">
        <f t="shared" ref="AO161:AT161" si="338">AO52/AO28</f>
        <v>2.7654320987654319</v>
      </c>
      <c r="AP161" s="10">
        <f t="shared" si="338"/>
        <v>2.87</v>
      </c>
      <c r="AQ161" s="10">
        <f t="shared" si="338"/>
        <v>3.6509433962264151</v>
      </c>
      <c r="AR161" s="10">
        <f t="shared" si="338"/>
        <v>2.5606557377049182</v>
      </c>
      <c r="AS161" s="10">
        <f t="shared" si="338"/>
        <v>2.7151394422310755</v>
      </c>
      <c r="AT161" s="10">
        <f t="shared" si="338"/>
        <v>3.4377682403433476</v>
      </c>
      <c r="AU161" s="10">
        <f t="shared" ref="AU161" si="339">AU52/AU28</f>
        <v>3.0870786516853932</v>
      </c>
    </row>
    <row r="162" spans="1:47" x14ac:dyDescent="0.25">
      <c r="AM162"/>
      <c r="AO162"/>
      <c r="AP162"/>
      <c r="AQ162"/>
      <c r="AR162"/>
      <c r="AS162"/>
      <c r="AT162"/>
      <c r="AU162"/>
    </row>
    <row r="163" spans="1:47" x14ac:dyDescent="0.25">
      <c r="A163" t="s">
        <v>54</v>
      </c>
      <c r="AM163" t="s">
        <v>54</v>
      </c>
      <c r="AO163"/>
      <c r="AP163"/>
      <c r="AQ163"/>
      <c r="AR163"/>
      <c r="AS163"/>
      <c r="AT163"/>
      <c r="AU163"/>
    </row>
    <row r="164" spans="1:47" x14ac:dyDescent="0.25">
      <c r="A164" t="s">
        <v>48</v>
      </c>
      <c r="B164" s="10">
        <f>SUM(B8:B10)/SUM(B20:B22)</f>
        <v>2.1020193050193052</v>
      </c>
      <c r="C164" s="10">
        <f t="shared" ref="C164:V164" si="340">SUM(C8:C10)/SUM(C20:C22)</f>
        <v>2.4536442652329749</v>
      </c>
      <c r="D164" s="10">
        <f t="shared" si="340"/>
        <v>3.7025007818608286</v>
      </c>
      <c r="E164" s="10">
        <f t="shared" si="340"/>
        <v>5.4507941590429274</v>
      </c>
      <c r="F164" s="10">
        <f t="shared" si="340"/>
        <v>4.3643488289567074</v>
      </c>
      <c r="G164" s="10">
        <f t="shared" si="340"/>
        <v>7.2742830336200166</v>
      </c>
      <c r="H164" s="10">
        <f t="shared" si="340"/>
        <v>7.0981576612903226</v>
      </c>
      <c r="I164" s="10">
        <f t="shared" si="340"/>
        <v>4.3922350069735012</v>
      </c>
      <c r="J164" s="10">
        <f t="shared" si="340"/>
        <v>10.26329593874833</v>
      </c>
      <c r="K164" s="10">
        <f t="shared" si="340"/>
        <v>4.5841375442739078</v>
      </c>
      <c r="L164" s="10">
        <f t="shared" si="340"/>
        <v>10.38980969937607</v>
      </c>
      <c r="M164" s="10">
        <f t="shared" si="340"/>
        <v>12.972449673558215</v>
      </c>
      <c r="N164" s="10">
        <f t="shared" si="340"/>
        <v>2.3186446818392943</v>
      </c>
      <c r="O164" s="10">
        <f t="shared" si="340"/>
        <v>2.6244971849285403</v>
      </c>
      <c r="P164" s="10">
        <f t="shared" si="340"/>
        <v>5.3074146991622237</v>
      </c>
      <c r="Q164" s="10">
        <f t="shared" si="340"/>
        <v>3.8158026456918126</v>
      </c>
      <c r="R164" s="10">
        <f t="shared" si="340"/>
        <v>3.802480103168755</v>
      </c>
      <c r="S164" s="10">
        <f t="shared" si="340"/>
        <v>4.9847444095723814</v>
      </c>
      <c r="T164" s="10">
        <f t="shared" si="340"/>
        <v>3.2839046087888537</v>
      </c>
      <c r="U164" s="10">
        <f t="shared" si="340"/>
        <v>3.7169662341982703</v>
      </c>
      <c r="V164" s="10">
        <f t="shared" si="340"/>
        <v>4.6762870681748696</v>
      </c>
      <c r="W164" s="10">
        <f t="shared" ref="W164:X164" si="341">SUM(W8:W10)/SUM(W20:W22)</f>
        <v>3.8484952665670158</v>
      </c>
      <c r="X164" s="10">
        <f t="shared" si="341"/>
        <v>3.8122396367023752</v>
      </c>
      <c r="Y164" s="10">
        <f t="shared" ref="Y164" si="342">SUM(Y8:Y10)/SUM(Y20:Y22)</f>
        <v>7.6891237983337026</v>
      </c>
      <c r="AM164" t="s">
        <v>48</v>
      </c>
      <c r="AO164" s="10">
        <f t="shared" ref="AO164:AT164" si="343">SUM(AO8:AO10)/SUM(AO20:AO22)</f>
        <v>1.2482554585152839</v>
      </c>
      <c r="AP164" s="10">
        <f t="shared" si="343"/>
        <v>3.5449674483184199</v>
      </c>
      <c r="AQ164" s="10">
        <f t="shared" si="343"/>
        <v>5.1384393063583813</v>
      </c>
      <c r="AR164" s="10">
        <f t="shared" si="343"/>
        <v>4.0982492380629862</v>
      </c>
      <c r="AS164" s="10">
        <f t="shared" si="343"/>
        <v>5.8976045763317835</v>
      </c>
      <c r="AT164" s="10">
        <f t="shared" si="343"/>
        <v>3.6178481455563336</v>
      </c>
      <c r="AU164" s="10">
        <f t="shared" ref="AU164" si="344">SUM(AU8:AU10)/SUM(AU20:AU22)</f>
        <v>3.8074451241453757</v>
      </c>
    </row>
    <row r="165" spans="1:47" x14ac:dyDescent="0.25">
      <c r="A165" t="s">
        <v>49</v>
      </c>
      <c r="B165" s="10">
        <f>SUM(B5:B7)/SUM(B17:B19)</f>
        <v>4.3943792613636363</v>
      </c>
      <c r="C165" s="10">
        <f t="shared" ref="C165:V165" si="345">SUM(C5:C7)/SUM(C17:C19)</f>
        <v>3.5434493984430286</v>
      </c>
      <c r="D165" s="10">
        <f t="shared" si="345"/>
        <v>6.1886004784689002</v>
      </c>
      <c r="E165" s="10">
        <f t="shared" si="345"/>
        <v>6.3657040194884296</v>
      </c>
      <c r="F165" s="10">
        <f t="shared" si="345"/>
        <v>5.8771366538952741</v>
      </c>
      <c r="G165" s="10">
        <f t="shared" si="345"/>
        <v>7.569065676756134</v>
      </c>
      <c r="H165" s="10">
        <f t="shared" si="345"/>
        <v>7.0961485367200439</v>
      </c>
      <c r="I165" s="10">
        <f t="shared" si="345"/>
        <v>4.4885994459833798</v>
      </c>
      <c r="J165" s="10">
        <f t="shared" si="345"/>
        <v>8.8650021253985134</v>
      </c>
      <c r="K165" s="10">
        <f t="shared" si="345"/>
        <v>7.0348749334752529</v>
      </c>
      <c r="L165" s="10">
        <f t="shared" si="345"/>
        <v>9.0486617375231209</v>
      </c>
      <c r="M165" s="10">
        <f t="shared" si="345"/>
        <v>11.463069677712214</v>
      </c>
      <c r="N165" s="10">
        <f t="shared" si="345"/>
        <v>2.9674729586426292</v>
      </c>
      <c r="O165" s="10">
        <f t="shared" si="345"/>
        <v>3.3972009744214375</v>
      </c>
      <c r="P165" s="10">
        <f t="shared" si="345"/>
        <v>10.0076201011378</v>
      </c>
      <c r="Q165" s="10">
        <f t="shared" si="345"/>
        <v>8.4980559396605972</v>
      </c>
      <c r="R165" s="10">
        <f t="shared" si="345"/>
        <v>6.7835627376425851</v>
      </c>
      <c r="S165" s="10">
        <f t="shared" si="345"/>
        <v>8.1376851090736864</v>
      </c>
      <c r="T165" s="10">
        <f t="shared" si="345"/>
        <v>5.0576802443991884</v>
      </c>
      <c r="U165" s="10">
        <f t="shared" si="345"/>
        <v>4.6530509307135546</v>
      </c>
      <c r="V165" s="10">
        <f t="shared" si="345"/>
        <v>6.9240502188436004</v>
      </c>
      <c r="W165" s="10">
        <f t="shared" ref="W165:X165" si="346">SUM(W5:W7)/SUM(W17:W19)</f>
        <v>5.000724017670314</v>
      </c>
      <c r="X165" s="10">
        <f t="shared" si="346"/>
        <v>6.593355153203361</v>
      </c>
      <c r="Y165" s="10">
        <f t="shared" ref="Y165" si="347">SUM(Y5:Y7)/SUM(Y17:Y19)</f>
        <v>10.503471560716447</v>
      </c>
      <c r="AM165" t="s">
        <v>49</v>
      </c>
      <c r="AO165" s="10">
        <f t="shared" ref="AO165:AT165" si="348">SUM(AO5:AO7)/SUM(AO17:AO19)</f>
        <v>3.1302590567327409</v>
      </c>
      <c r="AP165" s="10">
        <f t="shared" si="348"/>
        <v>4.3030689655172454</v>
      </c>
      <c r="AQ165" s="10">
        <f t="shared" si="348"/>
        <v>6.7249305222807854</v>
      </c>
      <c r="AR165" s="10">
        <f t="shared" si="348"/>
        <v>5.8016751990898747</v>
      </c>
      <c r="AS165" s="10">
        <f t="shared" si="348"/>
        <v>5.1184398402396409</v>
      </c>
      <c r="AT165" s="10">
        <f t="shared" si="348"/>
        <v>6.4162665509008034</v>
      </c>
      <c r="AU165" s="10">
        <f t="shared" ref="AU165" si="349">SUM(AU5:AU7)/SUM(AU17:AU19)</f>
        <v>4.9402403846153851</v>
      </c>
    </row>
    <row r="166" spans="1:47" x14ac:dyDescent="0.25">
      <c r="A166" t="s">
        <v>157</v>
      </c>
      <c r="B166" s="10">
        <f>B4/B16</f>
        <v>39.474249999999998</v>
      </c>
      <c r="C166" s="10">
        <f t="shared" ref="C166:Y166" si="350">C4/C16</f>
        <v>22.874491228070177</v>
      </c>
      <c r="D166" s="10">
        <f t="shared" si="350"/>
        <v>82.768190476190469</v>
      </c>
      <c r="E166" s="10">
        <f t="shared" si="350"/>
        <v>80.577164285714289</v>
      </c>
      <c r="F166" s="10">
        <f t="shared" si="350"/>
        <v>45.539316901408455</v>
      </c>
      <c r="G166" s="10">
        <f t="shared" si="350"/>
        <v>66.881197183098593</v>
      </c>
      <c r="H166" s="10">
        <f t="shared" si="350"/>
        <v>99.296493421052631</v>
      </c>
      <c r="I166" s="10">
        <f t="shared" si="350"/>
        <v>31.644802631578948</v>
      </c>
      <c r="J166" s="10">
        <f t="shared" si="350"/>
        <v>88.019902597402591</v>
      </c>
      <c r="K166" s="10">
        <f t="shared" si="350"/>
        <v>61.883493506493373</v>
      </c>
      <c r="L166" s="10">
        <f t="shared" si="350"/>
        <v>66.295130136986302</v>
      </c>
      <c r="M166" s="10">
        <f t="shared" si="350"/>
        <v>121.88768421052617</v>
      </c>
      <c r="N166" s="10">
        <f t="shared" si="350"/>
        <v>19.227256410256409</v>
      </c>
      <c r="O166" s="10">
        <f t="shared" si="350"/>
        <v>18.406422413792846</v>
      </c>
      <c r="P166" s="10">
        <f t="shared" si="350"/>
        <v>37.421355932203305</v>
      </c>
      <c r="Q166" s="10">
        <f t="shared" si="350"/>
        <v>56.870478632478637</v>
      </c>
      <c r="R166" s="10">
        <f t="shared" si="350"/>
        <v>31.795125000000002</v>
      </c>
      <c r="S166" s="10">
        <f t="shared" si="350"/>
        <v>34.815032710280377</v>
      </c>
      <c r="T166" s="10">
        <f t="shared" si="350"/>
        <v>34.730929292929297</v>
      </c>
      <c r="U166" s="10">
        <f t="shared" si="350"/>
        <v>27.964786458333332</v>
      </c>
      <c r="V166" s="10">
        <f t="shared" si="350"/>
        <v>39.401531914893617</v>
      </c>
      <c r="W166" s="10">
        <f t="shared" si="350"/>
        <v>34.00152688172043</v>
      </c>
      <c r="X166" s="10">
        <f t="shared" si="350"/>
        <v>43.180727777777776</v>
      </c>
      <c r="Y166" s="10">
        <f t="shared" si="350"/>
        <v>83.564054216867476</v>
      </c>
      <c r="AM166" t="s">
        <v>4</v>
      </c>
      <c r="AO166" s="10">
        <f t="shared" ref="AO166:AT166" si="351">AO4/AO16</f>
        <v>34.69711724137931</v>
      </c>
      <c r="AP166" s="10">
        <f t="shared" si="351"/>
        <v>65.660513986014067</v>
      </c>
      <c r="AQ166" s="10">
        <f t="shared" si="351"/>
        <v>70.530139860139869</v>
      </c>
      <c r="AR166" s="10">
        <f t="shared" si="351"/>
        <v>26.691632653061227</v>
      </c>
      <c r="AS166" s="10">
        <f t="shared" si="351"/>
        <v>25.588804159445406</v>
      </c>
      <c r="AT166" s="10">
        <f t="shared" si="351"/>
        <v>31.481363636363636</v>
      </c>
      <c r="AU166" s="10">
        <f t="shared" ref="AU166" si="352">AU4/AU16</f>
        <v>21.943917322834647</v>
      </c>
    </row>
  </sheetData>
  <mergeCells count="4">
    <mergeCell ref="Z2:AD2"/>
    <mergeCell ref="AE2:AI2"/>
    <mergeCell ref="AJ2:AN2"/>
    <mergeCell ref="BA2:BE2"/>
  </mergeCells>
  <conditionalFormatting sqref="N12:Y12">
    <cfRule type="expression" dxfId="98" priority="73">
      <formula>$A$2=COLUMNS($N12:N12)</formula>
    </cfRule>
  </conditionalFormatting>
  <conditionalFormatting sqref="N24:Y24">
    <cfRule type="expression" dxfId="97" priority="72">
      <formula>$A$2=COLUMNS($N24:N24)</formula>
    </cfRule>
  </conditionalFormatting>
  <conditionalFormatting sqref="N36:Y36">
    <cfRule type="expression" dxfId="96" priority="71">
      <formula>$A$2=COLUMNS($N36:N36)</formula>
    </cfRule>
  </conditionalFormatting>
  <conditionalFormatting sqref="N48:Y48">
    <cfRule type="expression" dxfId="95" priority="70">
      <formula>$A$2=COLUMNS($N48:N48)</formula>
    </cfRule>
  </conditionalFormatting>
  <conditionalFormatting sqref="N60:Y60">
    <cfRule type="expression" dxfId="94" priority="69">
      <formula>$A$2=COLUMNS($N60:N60)</formula>
    </cfRule>
  </conditionalFormatting>
  <conditionalFormatting sqref="N72:Y72">
    <cfRule type="expression" dxfId="93" priority="68">
      <formula>$A$2=COLUMNS($N72:N72)</formula>
    </cfRule>
  </conditionalFormatting>
  <conditionalFormatting sqref="N84:Y84">
    <cfRule type="expression" dxfId="92" priority="67">
      <formula>$A$2=COLUMNS($N84:N84)</formula>
    </cfRule>
  </conditionalFormatting>
  <conditionalFormatting sqref="N90:Y90">
    <cfRule type="expression" dxfId="91" priority="66">
      <formula>$A$2=COLUMNS($N90:N90)</formula>
    </cfRule>
  </conditionalFormatting>
  <conditionalFormatting sqref="N103:Y103">
    <cfRule type="expression" dxfId="90" priority="65">
      <formula>$A$2=COLUMNS($N103:N103)</formula>
    </cfRule>
  </conditionalFormatting>
  <conditionalFormatting sqref="N114:Y114">
    <cfRule type="expression" dxfId="89" priority="64">
      <formula>$A$2=COLUMNS($N114:N114)</formula>
    </cfRule>
  </conditionalFormatting>
  <conditionalFormatting sqref="N124:Y124">
    <cfRule type="expression" dxfId="88" priority="63">
      <formula>$A$2=COLUMNS($N124:N124)</formula>
    </cfRule>
  </conditionalFormatting>
  <conditionalFormatting sqref="AJ4:AN12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35:Y135">
    <cfRule type="expression" dxfId="87" priority="61">
      <formula>$A$2=COLUMNS($N135:N135)</formula>
    </cfRule>
  </conditionalFormatting>
  <conditionalFormatting sqref="AJ13:AM13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28:AN36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N52:AN60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135">
    <cfRule type="expression" dxfId="86" priority="57">
      <formula>$A$2=COLUMNS($N135:Z135)</formula>
    </cfRule>
  </conditionalFormatting>
  <conditionalFormatting sqref="AO103:AZ103">
    <cfRule type="expression" dxfId="85" priority="56">
      <formula>$A$2=COLUMNS($N103:AO103)</formula>
    </cfRule>
  </conditionalFormatting>
  <conditionalFormatting sqref="AO60:AZ60">
    <cfRule type="expression" dxfId="84" priority="55">
      <formula>$A$2=COLUMNS($N60:AO60)</formula>
    </cfRule>
  </conditionalFormatting>
  <conditionalFormatting sqref="AO135">
    <cfRule type="expression" dxfId="83" priority="47">
      <formula>$A$2=COLUMNS($N135:AO135)</formula>
    </cfRule>
  </conditionalFormatting>
  <conditionalFormatting sqref="AO125:BE125">
    <cfRule type="expression" dxfId="82" priority="54">
      <formula>$A$2=COLUMNS($N125:AO125)</formula>
    </cfRule>
  </conditionalFormatting>
  <conditionalFormatting sqref="AO114:AR114 AU114:BE114">
    <cfRule type="expression" dxfId="81" priority="53">
      <formula>$A$2=COLUMNS($N114:AO114)</formula>
    </cfRule>
  </conditionalFormatting>
  <conditionalFormatting sqref="AO36:AQ36">
    <cfRule type="expression" dxfId="80" priority="52">
      <formula>$A$2=COLUMNS($N36:AO36)</formula>
    </cfRule>
  </conditionalFormatting>
  <conditionalFormatting sqref="AO48">
    <cfRule type="expression" dxfId="79" priority="51">
      <formula>$A$2=COLUMNS($N48:AO48)</formula>
    </cfRule>
  </conditionalFormatting>
  <conditionalFormatting sqref="AO24:AQ24">
    <cfRule type="expression" dxfId="78" priority="50">
      <formula>$A$2=COLUMNS($N24:AO24)</formula>
    </cfRule>
  </conditionalFormatting>
  <conditionalFormatting sqref="AO84">
    <cfRule type="expression" dxfId="77" priority="49">
      <formula>$A$2=COLUMNS($N84:AO84)</formula>
    </cfRule>
  </conditionalFormatting>
  <conditionalFormatting sqref="AO90">
    <cfRule type="expression" dxfId="76" priority="48">
      <formula>$A$2=COLUMNS($N90:AO90)</formula>
    </cfRule>
  </conditionalFormatting>
  <conditionalFormatting sqref="BA84:BE84">
    <cfRule type="expression" dxfId="75" priority="46">
      <formula>$A$2=COLUMNS($N84:BA84)</formula>
    </cfRule>
  </conditionalFormatting>
  <conditionalFormatting sqref="BR1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V1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2">
    <cfRule type="expression" dxfId="74" priority="43">
      <formula>$A$2=COLUMNS($N12:AO12)</formula>
    </cfRule>
  </conditionalFormatting>
  <conditionalFormatting sqref="AP12">
    <cfRule type="expression" dxfId="73" priority="42">
      <formula>$A$2=COLUMNS($N12:AP12)</formula>
    </cfRule>
  </conditionalFormatting>
  <conditionalFormatting sqref="AP24">
    <cfRule type="expression" dxfId="72" priority="41">
      <formula>$A$2=COLUMNS($N24:AP24)</formula>
    </cfRule>
  </conditionalFormatting>
  <conditionalFormatting sqref="AP48">
    <cfRule type="expression" dxfId="71" priority="40">
      <formula>$A$2=COLUMNS($N48:AP48)</formula>
    </cfRule>
  </conditionalFormatting>
  <conditionalFormatting sqref="AP36">
    <cfRule type="expression" dxfId="70" priority="39">
      <formula>$A$2=COLUMNS($N36:AP36)</formula>
    </cfRule>
  </conditionalFormatting>
  <conditionalFormatting sqref="AP84">
    <cfRule type="expression" dxfId="69" priority="38">
      <formula>$A$2=COLUMNS($N84:AP84)</formula>
    </cfRule>
  </conditionalFormatting>
  <conditionalFormatting sqref="AP90">
    <cfRule type="expression" dxfId="68" priority="37">
      <formula>$A$2=COLUMNS($N90:AP90)</formula>
    </cfRule>
  </conditionalFormatting>
  <conditionalFormatting sqref="AP114">
    <cfRule type="expression" dxfId="67" priority="36">
      <formula>$A$2=COLUMNS($N114:AP114)</formula>
    </cfRule>
  </conditionalFormatting>
  <conditionalFormatting sqref="AP135">
    <cfRule type="expression" dxfId="66" priority="35">
      <formula>$A$2=COLUMNS($N135:AP135)</formula>
    </cfRule>
  </conditionalFormatting>
  <conditionalFormatting sqref="AQ12">
    <cfRule type="expression" dxfId="65" priority="34">
      <formula>$A$2=COLUMNS($N12:AQ12)</formula>
    </cfRule>
  </conditionalFormatting>
  <conditionalFormatting sqref="AQ24">
    <cfRule type="expression" dxfId="64" priority="33">
      <formula>$A$2=COLUMNS($N24:AQ24)</formula>
    </cfRule>
  </conditionalFormatting>
  <conditionalFormatting sqref="AQ36">
    <cfRule type="expression" dxfId="63" priority="32">
      <formula>$A$2=COLUMNS($N36:AQ36)</formula>
    </cfRule>
  </conditionalFormatting>
  <conditionalFormatting sqref="AQ90">
    <cfRule type="expression" dxfId="62" priority="31">
      <formula>$A$2=COLUMNS($N90:AQ90)</formula>
    </cfRule>
  </conditionalFormatting>
  <conditionalFormatting sqref="AQ114">
    <cfRule type="expression" dxfId="61" priority="30">
      <formula>$A$2=COLUMNS($N114:AQ114)</formula>
    </cfRule>
  </conditionalFormatting>
  <conditionalFormatting sqref="AQ84">
    <cfRule type="expression" dxfId="60" priority="29">
      <formula>$A$2=COLUMNS($N84:AQ84)</formula>
    </cfRule>
  </conditionalFormatting>
  <conditionalFormatting sqref="AQ135">
    <cfRule type="expression" dxfId="59" priority="28">
      <formula>$A$2=COLUMNS($N135:AQ135)</formula>
    </cfRule>
  </conditionalFormatting>
  <conditionalFormatting sqref="BE135">
    <cfRule type="expression" dxfId="58" priority="27">
      <formula>$A$2=COLUMNS($N135:BE135)</formula>
    </cfRule>
  </conditionalFormatting>
  <conditionalFormatting sqref="AR12">
    <cfRule type="expression" dxfId="57" priority="26">
      <formula>$A$2=COLUMNS($N12:AR12)</formula>
    </cfRule>
  </conditionalFormatting>
  <conditionalFormatting sqref="AR24">
    <cfRule type="expression" dxfId="56" priority="25">
      <formula>$A$2=COLUMNS($N24:AR24)</formula>
    </cfRule>
  </conditionalFormatting>
  <conditionalFormatting sqref="AR24">
    <cfRule type="expression" dxfId="55" priority="24">
      <formula>$A$2=COLUMNS($N24:AR24)</formula>
    </cfRule>
  </conditionalFormatting>
  <conditionalFormatting sqref="AR36">
    <cfRule type="expression" dxfId="54" priority="23">
      <formula>$A$2=COLUMNS($N36:AR36)</formula>
    </cfRule>
  </conditionalFormatting>
  <conditionalFormatting sqref="AR36">
    <cfRule type="expression" dxfId="53" priority="22">
      <formula>$A$2=COLUMNS($N36:AR36)</formula>
    </cfRule>
  </conditionalFormatting>
  <conditionalFormatting sqref="AR84">
    <cfRule type="expression" dxfId="52" priority="21">
      <formula>$A$2=COLUMNS($N84:AR84)</formula>
    </cfRule>
  </conditionalFormatting>
  <conditionalFormatting sqref="AR90">
    <cfRule type="expression" dxfId="51" priority="20">
      <formula>$A$2=COLUMNS($N90:AR90)</formula>
    </cfRule>
  </conditionalFormatting>
  <conditionalFormatting sqref="AR135">
    <cfRule type="expression" dxfId="50" priority="19">
      <formula>$A$2=COLUMNS($N135:AR135)</formula>
    </cfRule>
  </conditionalFormatting>
  <conditionalFormatting sqref="AS12">
    <cfRule type="expression" dxfId="49" priority="18">
      <formula>$A$2=COLUMNS($N12:AS12)</formula>
    </cfRule>
  </conditionalFormatting>
  <conditionalFormatting sqref="AS24">
    <cfRule type="expression" dxfId="48" priority="17">
      <formula>$A$2=COLUMNS($N24:AS24)</formula>
    </cfRule>
  </conditionalFormatting>
  <conditionalFormatting sqref="AS24">
    <cfRule type="expression" dxfId="47" priority="16">
      <formula>$A$2=COLUMNS($N24:AS24)</formula>
    </cfRule>
  </conditionalFormatting>
  <conditionalFormatting sqref="AS36">
    <cfRule type="expression" dxfId="46" priority="15">
      <formula>$A$2=COLUMNS($N36:AS36)</formula>
    </cfRule>
  </conditionalFormatting>
  <conditionalFormatting sqref="AS36">
    <cfRule type="expression" dxfId="45" priority="14">
      <formula>$A$2=COLUMNS($N36:AS36)</formula>
    </cfRule>
  </conditionalFormatting>
  <conditionalFormatting sqref="AS84">
    <cfRule type="expression" dxfId="44" priority="13">
      <formula>$A$2=COLUMNS($N84:AS84)</formula>
    </cfRule>
  </conditionalFormatting>
  <conditionalFormatting sqref="AS90">
    <cfRule type="expression" dxfId="43" priority="12">
      <formula>$A$2=COLUMNS($N90:AS90)</formula>
    </cfRule>
  </conditionalFormatting>
  <conditionalFormatting sqref="AS114">
    <cfRule type="expression" dxfId="42" priority="11">
      <formula>$A$2=COLUMNS($N114:AS114)</formula>
    </cfRule>
  </conditionalFormatting>
  <conditionalFormatting sqref="AS135">
    <cfRule type="expression" dxfId="41" priority="10">
      <formula>$A$2=COLUMNS($N135:AS135)</formula>
    </cfRule>
  </conditionalFormatting>
  <conditionalFormatting sqref="AT24:AU24">
    <cfRule type="expression" dxfId="40" priority="9">
      <formula>$A$2=COLUMNS($N24:AT24)</formula>
    </cfRule>
  </conditionalFormatting>
  <conditionalFormatting sqref="AT24:AU24">
    <cfRule type="expression" dxfId="39" priority="8">
      <formula>$A$2=COLUMNS($N24:AT24)</formula>
    </cfRule>
  </conditionalFormatting>
  <conditionalFormatting sqref="AT36:AU36">
    <cfRule type="expression" dxfId="38" priority="7">
      <formula>$A$2=COLUMNS($N36:AT36)</formula>
    </cfRule>
  </conditionalFormatting>
  <conditionalFormatting sqref="AT36:AU36">
    <cfRule type="expression" dxfId="37" priority="6">
      <formula>$A$2=COLUMNS($N36:AT36)</formula>
    </cfRule>
  </conditionalFormatting>
  <conditionalFormatting sqref="AT12:AU12">
    <cfRule type="expression" dxfId="36" priority="5">
      <formula>$A$2=COLUMNS($N12:AT12)</formula>
    </cfRule>
  </conditionalFormatting>
  <conditionalFormatting sqref="AT84:AU84">
    <cfRule type="expression" dxfId="35" priority="4">
      <formula>$A$2=COLUMNS($N84:AT84)</formula>
    </cfRule>
  </conditionalFormatting>
  <conditionalFormatting sqref="AT90:AU90">
    <cfRule type="expression" dxfId="34" priority="3">
      <formula>$A$2=COLUMNS($N90:AT90)</formula>
    </cfRule>
  </conditionalFormatting>
  <conditionalFormatting sqref="AT114">
    <cfRule type="expression" dxfId="33" priority="2">
      <formula>$A$2=COLUMNS($N114:AT114)</formula>
    </cfRule>
  </conditionalFormatting>
  <conditionalFormatting sqref="AT135:AU135">
    <cfRule type="expression" dxfId="32" priority="1">
      <formula>$A$2=COLUMNS($N135:AT135)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CAGR</vt:lpstr>
      <vt:lpstr>Q</vt:lpstr>
      <vt:lpstr>Plan Yearly Summary</vt:lpstr>
      <vt:lpstr>Total Agency</vt:lpstr>
      <vt:lpstr>Full Agency</vt:lpstr>
      <vt:lpstr>Agency North</vt:lpstr>
      <vt:lpstr>Agency South</vt:lpstr>
      <vt:lpstr>Chart</vt:lpstr>
      <vt:lpstr>GEN Lion GVL</vt:lpstr>
      <vt:lpstr>GEN Lion NORTH</vt:lpstr>
      <vt:lpstr>GEN Lion SOUTH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Huynh</dc:creator>
  <cp:lastModifiedBy>Tung Nguyen (DA)</cp:lastModifiedBy>
  <cp:lastPrinted>2017-03-06T02:04:01Z</cp:lastPrinted>
  <dcterms:created xsi:type="dcterms:W3CDTF">2016-06-22T02:57:05Z</dcterms:created>
  <dcterms:modified xsi:type="dcterms:W3CDTF">2017-08-30T02:41:10Z</dcterms:modified>
</cp:coreProperties>
</file>