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.xml" ContentType="application/vnd.ms-excel.controlproperties+xml"/>
  <Override PartName="/xl/drawings/drawing9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10.xml" ContentType="application/vnd.openxmlformats-officedocument.drawing+xml"/>
  <Override PartName="/xl/ctrlProps/ctrlProp3.xml" ContentType="application/vnd.ms-excel.controlproperties+xml"/>
  <Override PartName="/xl/drawings/drawing11.xml" ContentType="application/vnd.openxmlformats-officedocument.drawing+xml"/>
  <Override PartName="/xl/ctrlProps/ctrlProp4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r\gvl_data_utilities\KPI_PRODUCTION\output\Banca Monthly Performance Tracking\"/>
    </mc:Choice>
  </mc:AlternateContent>
  <bookViews>
    <workbookView xWindow="0" yWindow="0" windowWidth="11520" windowHeight="7485" tabRatio="827" firstSheet="1" activeTab="1"/>
  </bookViews>
  <sheets>
    <sheet name="Snapshot" sheetId="10" state="hidden" r:id="rId1"/>
    <sheet name="BANCA Dashboard" sheetId="1" r:id="rId2"/>
    <sheet name="FTM" sheetId="11" state="hidden" r:id="rId3"/>
    <sheet name="Bank Performance" sheetId="2" state="hidden" r:id="rId4"/>
    <sheet name="Rider Performance" sheetId="5" state="hidden" r:id="rId5"/>
    <sheet name="RM Performance" sheetId="7" state="hidden" r:id="rId6"/>
    <sheet name="Bank Performance (2017)" sheetId="12" r:id="rId7"/>
    <sheet name="Data" sheetId="8" r:id="rId8"/>
    <sheet name="Data_Chart" sheetId="6" r:id="rId9"/>
    <sheet name="Sheet1" sheetId="9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</externalReferenc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9" i="12" l="1"/>
  <c r="AJ9" i="12"/>
  <c r="AI7" i="12"/>
  <c r="AJ7" i="12"/>
  <c r="AI5" i="12"/>
  <c r="AJ5" i="12"/>
  <c r="AJ8" i="12" s="1"/>
  <c r="AI4" i="12"/>
  <c r="AJ4" i="12"/>
  <c r="AI3" i="12"/>
  <c r="AJ3" i="12"/>
  <c r="AK12" i="12"/>
  <c r="AK11" i="12"/>
  <c r="AK10" i="12"/>
  <c r="AK8" i="12"/>
  <c r="AK9" i="12"/>
  <c r="AK6" i="12"/>
  <c r="AK7" i="12"/>
  <c r="AK5" i="12"/>
  <c r="AK4" i="12"/>
  <c r="AK3" i="12"/>
  <c r="AJ103" i="12"/>
  <c r="AK103" i="12"/>
  <c r="AI103" i="12"/>
  <c r="AJ102" i="12"/>
  <c r="AK102" i="12"/>
  <c r="AI102" i="12"/>
  <c r="AK101" i="12"/>
  <c r="AJ101" i="12"/>
  <c r="AI101" i="12"/>
  <c r="AJ100" i="12"/>
  <c r="AK100" i="12"/>
  <c r="AI100" i="12"/>
  <c r="AJ99" i="12"/>
  <c r="AK99" i="12"/>
  <c r="AI99" i="12"/>
  <c r="AI86" i="12"/>
  <c r="AJ98" i="12"/>
  <c r="AK98" i="12"/>
  <c r="AI98" i="12"/>
  <c r="AI97" i="12"/>
  <c r="AJ97" i="12"/>
  <c r="AK97" i="12"/>
  <c r="AI84" i="12"/>
  <c r="AJ96" i="12"/>
  <c r="AK96" i="12"/>
  <c r="AI96" i="12"/>
  <c r="AJ95" i="12"/>
  <c r="AK95" i="12"/>
  <c r="AI95" i="12"/>
  <c r="AJ94" i="12"/>
  <c r="AK94" i="12"/>
  <c r="AI94" i="12"/>
  <c r="AI6" i="12" l="1"/>
  <c r="AJ6" i="12"/>
  <c r="AT195" i="8" l="1"/>
  <c r="AT197" i="8"/>
  <c r="AT198" i="8"/>
  <c r="AT196" i="8"/>
  <c r="AT216" i="8"/>
  <c r="AT213" i="8"/>
  <c r="AT212" i="8"/>
  <c r="AT210" i="8"/>
  <c r="AT209" i="8"/>
  <c r="AT208" i="8"/>
  <c r="AT207" i="8" l="1"/>
  <c r="AT223" i="8" s="1"/>
  <c r="AS207" i="8"/>
  <c r="AT211" i="8"/>
  <c r="AT215" i="8"/>
  <c r="AT220" i="8"/>
  <c r="AT221" i="8"/>
  <c r="AT222" i="8"/>
  <c r="AT6" i="8"/>
  <c r="AT227" i="8" l="1"/>
  <c r="AT225" i="8"/>
  <c r="AT226" i="8"/>
  <c r="AT170" i="8" l="1"/>
  <c r="AT165" i="8"/>
  <c r="AT164" i="8"/>
  <c r="AT163" i="8"/>
  <c r="AT162" i="8"/>
  <c r="AT161" i="8"/>
  <c r="AT160" i="8"/>
  <c r="AT157" i="8"/>
  <c r="AT155" i="8"/>
  <c r="AT154" i="8"/>
  <c r="AT148" i="8"/>
  <c r="AT147" i="8"/>
  <c r="AT146" i="8"/>
  <c r="AT145" i="8"/>
  <c r="AT144" i="8"/>
  <c r="AT143" i="8"/>
  <c r="AT140" i="8"/>
  <c r="AT139" i="8"/>
  <c r="AT137" i="8"/>
  <c r="AJ20" i="12"/>
  <c r="AT88" i="8"/>
  <c r="AT87" i="8"/>
  <c r="AT85" i="8"/>
  <c r="AT84" i="8"/>
  <c r="AT83" i="8"/>
  <c r="AT79" i="8"/>
  <c r="AT78" i="8"/>
  <c r="AT76" i="8"/>
  <c r="AT75" i="8"/>
  <c r="AT74" i="8"/>
  <c r="AT61" i="8" l="1"/>
  <c r="AT70" i="8" s="1"/>
  <c r="AT60" i="8"/>
  <c r="AT58" i="8"/>
  <c r="AT57" i="8"/>
  <c r="AT56" i="8"/>
  <c r="AT65" i="8" s="1"/>
  <c r="AZ51" i="8"/>
  <c r="AT52" i="8"/>
  <c r="AT51" i="8"/>
  <c r="AT49" i="8"/>
  <c r="AT48" i="8"/>
  <c r="AK20" i="12" s="1"/>
  <c r="AT47" i="8"/>
  <c r="AT34" i="8"/>
  <c r="AT33" i="8"/>
  <c r="AT31" i="8"/>
  <c r="AT30" i="8"/>
  <c r="AT29" i="8"/>
  <c r="AT23" i="8"/>
  <c r="AT22" i="8"/>
  <c r="AT123" i="8" s="1"/>
  <c r="AT20" i="8"/>
  <c r="AT19" i="8"/>
  <c r="AT18" i="8"/>
  <c r="AS9" i="8" l="1"/>
  <c r="AI48" i="12" l="1"/>
  <c r="AJ48" i="12"/>
  <c r="AI22" i="12"/>
  <c r="AI25" i="12" s="1"/>
  <c r="AI20" i="12"/>
  <c r="AI21" i="12" s="1"/>
  <c r="AI18" i="12"/>
  <c r="AI17" i="12"/>
  <c r="AI16" i="12"/>
  <c r="AL3" i="12"/>
  <c r="AM3" i="12"/>
  <c r="AN3" i="12"/>
  <c r="AO3" i="12"/>
  <c r="AP3" i="12"/>
  <c r="AI8" i="12" l="1"/>
  <c r="AI12" i="12"/>
  <c r="AI19" i="12"/>
  <c r="AI23" i="12"/>
  <c r="AI24" i="12"/>
  <c r="AI11" i="12" l="1"/>
  <c r="AI10" i="12"/>
  <c r="AS223" i="8" l="1"/>
  <c r="AS222" i="8"/>
  <c r="AS227" i="8" s="1"/>
  <c r="AS221" i="8"/>
  <c r="AS226" i="8" s="1"/>
  <c r="AS220" i="8"/>
  <c r="AS225" i="8" s="1"/>
  <c r="AS216" i="8"/>
  <c r="AS215" i="8" s="1"/>
  <c r="AS203" i="8"/>
  <c r="AS204" i="8"/>
  <c r="AS208" i="8"/>
  <c r="AS209" i="8"/>
  <c r="AS210" i="8"/>
  <c r="AS211" i="8"/>
  <c r="AS212" i="8"/>
  <c r="AS213" i="8"/>
  <c r="AS196" i="8"/>
  <c r="AS197" i="8"/>
  <c r="AS198" i="8"/>
  <c r="AS195" i="8"/>
  <c r="AS147" i="8"/>
  <c r="AS148" i="8"/>
  <c r="AS137" i="8"/>
  <c r="AS145" i="8"/>
  <c r="AS146" i="8"/>
  <c r="AS139" i="8"/>
  <c r="AS140" i="8"/>
  <c r="AS143" i="8"/>
  <c r="AS144" i="8"/>
  <c r="AS155" i="8"/>
  <c r="AS154" i="8"/>
  <c r="AS157" i="8"/>
  <c r="AS156" i="8"/>
  <c r="AS163" i="8"/>
  <c r="AS162" i="8"/>
  <c r="AS161" i="8"/>
  <c r="AS160" i="8"/>
  <c r="AS123" i="8"/>
  <c r="AS88" i="8"/>
  <c r="AS83" i="8"/>
  <c r="AS85" i="8"/>
  <c r="AS84" i="8"/>
  <c r="AS87" i="8"/>
  <c r="AS79" i="8"/>
  <c r="AS74" i="8"/>
  <c r="AS76" i="8"/>
  <c r="AS75" i="8"/>
  <c r="AS78" i="8"/>
  <c r="AS57" i="8" l="1"/>
  <c r="AS60" i="8"/>
  <c r="AS58" i="8"/>
  <c r="AS61" i="8"/>
  <c r="AS56" i="8"/>
  <c r="AS48" i="8"/>
  <c r="AS51" i="8"/>
  <c r="AS49" i="8"/>
  <c r="AS52" i="8"/>
  <c r="AS47" i="8"/>
  <c r="AS30" i="8"/>
  <c r="AS33" i="8"/>
  <c r="AS31" i="8"/>
  <c r="AS34" i="8"/>
  <c r="AS29" i="8"/>
  <c r="AS26" i="8"/>
  <c r="AS25" i="8"/>
  <c r="AS23" i="8"/>
  <c r="AS20" i="8"/>
  <c r="AS22" i="8"/>
  <c r="AS19" i="8"/>
  <c r="AS18" i="8"/>
  <c r="AR123" i="8" l="1"/>
  <c r="AO123" i="8"/>
  <c r="AN123" i="8"/>
  <c r="AQ123" i="8"/>
  <c r="AY182" i="8"/>
  <c r="AX182" i="8"/>
  <c r="AW182" i="8"/>
  <c r="AV182" i="8"/>
  <c r="AU182" i="8"/>
  <c r="AT182" i="8"/>
  <c r="AS182" i="8"/>
  <c r="AR182" i="8"/>
  <c r="AQ182" i="8"/>
  <c r="AY181" i="8"/>
  <c r="AX181" i="8"/>
  <c r="AW181" i="8"/>
  <c r="AV181" i="8"/>
  <c r="AU181" i="8"/>
  <c r="AT181" i="8"/>
  <c r="AS181" i="8"/>
  <c r="AR181" i="8"/>
  <c r="AQ181" i="8"/>
  <c r="AR203" i="8" l="1"/>
  <c r="AR223" i="8"/>
  <c r="AR222" i="8"/>
  <c r="AR227" i="8" s="1"/>
  <c r="AR221" i="8"/>
  <c r="AR226" i="8" s="1"/>
  <c r="AR220" i="8"/>
  <c r="AR225" i="8" s="1"/>
  <c r="AR211" i="8"/>
  <c r="AR212" i="8"/>
  <c r="AR213" i="8"/>
  <c r="AR216" i="8"/>
  <c r="AR215" i="8" s="1"/>
  <c r="AR204" i="8"/>
  <c r="AR207" i="8"/>
  <c r="AR208" i="8"/>
  <c r="AR209" i="8"/>
  <c r="AR210" i="8"/>
  <c r="AR196" i="8"/>
  <c r="AR197" i="8"/>
  <c r="AR198" i="8"/>
  <c r="AR195" i="8"/>
  <c r="AR156" i="8"/>
  <c r="AR157" i="8"/>
  <c r="AR162" i="8"/>
  <c r="AR163" i="8"/>
  <c r="AR160" i="8"/>
  <c r="AR161" i="8"/>
  <c r="AR147" i="8"/>
  <c r="AR148" i="8"/>
  <c r="AR137" i="8"/>
  <c r="AR145" i="8"/>
  <c r="AR146" i="8"/>
  <c r="AR139" i="8"/>
  <c r="AR140" i="8"/>
  <c r="AR143" i="8"/>
  <c r="AR144" i="8"/>
  <c r="AR83" i="8"/>
  <c r="AR88" i="8"/>
  <c r="AR84" i="8"/>
  <c r="AR85" i="8"/>
  <c r="AR87" i="8"/>
  <c r="AR74" i="8"/>
  <c r="AR79" i="8"/>
  <c r="AR75" i="8"/>
  <c r="AR76" i="8"/>
  <c r="AR78" i="8"/>
  <c r="AR61" i="8" l="1"/>
  <c r="AR56" i="8"/>
  <c r="AR57" i="8"/>
  <c r="AR60" i="8"/>
  <c r="AR58" i="8"/>
  <c r="AR52" i="8"/>
  <c r="AR47" i="8"/>
  <c r="AR48" i="8"/>
  <c r="AR51" i="8"/>
  <c r="AR49" i="8"/>
  <c r="AR34" i="8"/>
  <c r="AR29" i="8"/>
  <c r="AR30" i="8"/>
  <c r="AR33" i="8"/>
  <c r="AR31" i="8"/>
  <c r="AR18" i="8"/>
  <c r="AR23" i="8"/>
  <c r="AR19" i="8"/>
  <c r="AR22" i="8"/>
  <c r="AR20" i="8"/>
  <c r="AH46" i="12" l="1"/>
  <c r="AQ24" i="8"/>
  <c r="AH48" i="12"/>
  <c r="AH9" i="12" s="1"/>
  <c r="AH4" i="12"/>
  <c r="AH3" i="12"/>
  <c r="B7" i="12"/>
  <c r="B5" i="12"/>
  <c r="B6" i="12" s="1"/>
  <c r="AQ227" i="8" l="1"/>
  <c r="AQ226" i="8"/>
  <c r="AQ225" i="8"/>
  <c r="AQ223" i="8"/>
  <c r="AQ222" i="8"/>
  <c r="AQ221" i="8"/>
  <c r="AQ220" i="8"/>
  <c r="AQ216" i="8"/>
  <c r="AQ215" i="8" s="1"/>
  <c r="AQ207" i="8"/>
  <c r="AQ208" i="8"/>
  <c r="AQ209" i="8"/>
  <c r="AQ210" i="8"/>
  <c r="AQ206" i="8"/>
  <c r="AQ212" i="8"/>
  <c r="AQ211" i="8" s="1"/>
  <c r="AQ213" i="8"/>
  <c r="AQ195" i="8"/>
  <c r="AQ196" i="8"/>
  <c r="AQ197" i="8"/>
  <c r="AQ198" i="8"/>
  <c r="AQ156" i="8"/>
  <c r="AQ157" i="8"/>
  <c r="AQ162" i="8"/>
  <c r="AQ163" i="8"/>
  <c r="AQ160" i="8"/>
  <c r="AQ161" i="8"/>
  <c r="AQ137" i="8"/>
  <c r="AQ145" i="8"/>
  <c r="AQ146" i="8"/>
  <c r="AQ147" i="8"/>
  <c r="AQ148" i="8"/>
  <c r="AQ139" i="8"/>
  <c r="AQ140" i="8"/>
  <c r="AQ143" i="8"/>
  <c r="AQ144" i="8"/>
  <c r="AQ134" i="8"/>
  <c r="AQ88" i="8"/>
  <c r="AQ85" i="8"/>
  <c r="AQ89" i="8" s="1"/>
  <c r="AQ87" i="8"/>
  <c r="AQ79" i="8"/>
  <c r="AQ76" i="8"/>
  <c r="AQ75" i="8"/>
  <c r="AQ78" i="8"/>
  <c r="AQ61" i="8" l="1"/>
  <c r="AQ57" i="8"/>
  <c r="AQ56" i="8"/>
  <c r="AQ62" i="8" s="1"/>
  <c r="AQ60" i="8"/>
  <c r="AQ58" i="8"/>
  <c r="AQ52" i="8"/>
  <c r="AQ48" i="8"/>
  <c r="AQ47" i="8"/>
  <c r="AQ53" i="8" s="1"/>
  <c r="AQ51" i="8"/>
  <c r="AQ49" i="8"/>
  <c r="AQ43" i="8"/>
  <c r="AQ42" i="8"/>
  <c r="AQ41" i="8"/>
  <c r="AQ34" i="8"/>
  <c r="AQ30" i="8"/>
  <c r="AQ39" i="8" s="1"/>
  <c r="AQ29" i="8"/>
  <c r="AQ35" i="8" s="1"/>
  <c r="AQ44" i="8" s="1"/>
  <c r="AQ33" i="8"/>
  <c r="AQ31" i="8"/>
  <c r="AQ40" i="8" s="1"/>
  <c r="AQ18" i="8"/>
  <c r="AQ23" i="8"/>
  <c r="AQ22" i="8"/>
  <c r="AQ20" i="8"/>
  <c r="AQ19" i="8"/>
  <c r="AQ38" i="8" l="1"/>
  <c r="AQ25" i="8"/>
  <c r="W112" i="1" l="1"/>
  <c r="O112" i="1"/>
  <c r="W129" i="1"/>
  <c r="O129" i="1"/>
  <c r="W96" i="1"/>
  <c r="O96" i="1"/>
  <c r="C64" i="6"/>
  <c r="W80" i="1" s="1"/>
  <c r="C58" i="6"/>
  <c r="O80" i="1" s="1"/>
  <c r="H70" i="1"/>
  <c r="G129" i="1"/>
  <c r="A129" i="1"/>
  <c r="G112" i="1"/>
  <c r="A112" i="1"/>
  <c r="G80" i="1"/>
  <c r="A80" i="1"/>
  <c r="G96" i="1"/>
  <c r="A96" i="1"/>
  <c r="C52" i="6"/>
  <c r="C46" i="6"/>
  <c r="B74" i="12"/>
  <c r="B72" i="12"/>
  <c r="B70" i="12"/>
  <c r="B71" i="12" s="1"/>
  <c r="B69" i="12"/>
  <c r="B68" i="12"/>
  <c r="AP74" i="12"/>
  <c r="AO74" i="12"/>
  <c r="AN74" i="12"/>
  <c r="AM74" i="12"/>
  <c r="AL74" i="12"/>
  <c r="AK74" i="12"/>
  <c r="AJ74" i="12"/>
  <c r="AI74" i="12"/>
  <c r="AH74" i="12"/>
  <c r="AF74" i="12"/>
  <c r="AE74" i="12"/>
  <c r="AP72" i="12"/>
  <c r="AO72" i="12"/>
  <c r="AN72" i="12"/>
  <c r="AM72" i="12"/>
  <c r="AL72" i="12"/>
  <c r="AK72" i="12"/>
  <c r="AJ72" i="12"/>
  <c r="AI72" i="12"/>
  <c r="AH72" i="12"/>
  <c r="AF72" i="12"/>
  <c r="AE72" i="12"/>
  <c r="AE71" i="12"/>
  <c r="AP70" i="12"/>
  <c r="AO70" i="12"/>
  <c r="AN70" i="12"/>
  <c r="AM70" i="12"/>
  <c r="AL70" i="12"/>
  <c r="AK70" i="12"/>
  <c r="AJ70" i="12"/>
  <c r="AI70" i="12"/>
  <c r="AH70" i="12"/>
  <c r="AF70" i="12"/>
  <c r="AE70" i="12"/>
  <c r="AP69" i="12"/>
  <c r="AO69" i="12"/>
  <c r="AN69" i="12"/>
  <c r="AM69" i="12"/>
  <c r="AL69" i="12"/>
  <c r="AK69" i="12"/>
  <c r="AJ69" i="12"/>
  <c r="AI69" i="12"/>
  <c r="AH69" i="12"/>
  <c r="AF69" i="12"/>
  <c r="AE69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B76" i="12" l="1"/>
  <c r="AN73" i="12"/>
  <c r="AM73" i="12"/>
  <c r="AJ73" i="12"/>
  <c r="AI73" i="12"/>
  <c r="AF73" i="12"/>
  <c r="AE73" i="12"/>
  <c r="AP73" i="12"/>
  <c r="AO73" i="12"/>
  <c r="AL73" i="12"/>
  <c r="AK73" i="12"/>
  <c r="AH73" i="12"/>
  <c r="AP71" i="12"/>
  <c r="AO71" i="12"/>
  <c r="AL71" i="12"/>
  <c r="AK71" i="12"/>
  <c r="AH71" i="12"/>
  <c r="AN71" i="12"/>
  <c r="AM71" i="12"/>
  <c r="AJ71" i="12"/>
  <c r="AI71" i="12"/>
  <c r="AF71" i="12"/>
  <c r="C69" i="12"/>
  <c r="C68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E67" i="12"/>
  <c r="D67" i="12"/>
  <c r="C67" i="12"/>
  <c r="B67" i="12"/>
  <c r="AD60" i="6"/>
  <c r="AC60" i="6"/>
  <c r="AB60" i="6"/>
  <c r="AA60" i="6"/>
  <c r="Z60" i="6"/>
  <c r="Y60" i="6"/>
  <c r="X60" i="6"/>
  <c r="W60" i="6"/>
  <c r="V60" i="6"/>
  <c r="T60" i="6"/>
  <c r="S60" i="6"/>
  <c r="AD66" i="6"/>
  <c r="AC66" i="6"/>
  <c r="AB66" i="6"/>
  <c r="AA66" i="6"/>
  <c r="Z66" i="6"/>
  <c r="Y66" i="6"/>
  <c r="X66" i="6"/>
  <c r="W66" i="6"/>
  <c r="V66" i="6"/>
  <c r="AD10" i="6"/>
  <c r="AC10" i="6"/>
  <c r="AB10" i="6"/>
  <c r="AA10" i="6"/>
  <c r="Z10" i="6"/>
  <c r="V10" i="6"/>
  <c r="L10" i="6"/>
  <c r="K10" i="6"/>
  <c r="J10" i="6"/>
  <c r="I10" i="6"/>
  <c r="H10" i="6"/>
  <c r="G10" i="6"/>
  <c r="F10" i="6"/>
  <c r="E10" i="6"/>
  <c r="D10" i="6"/>
  <c r="AP216" i="8"/>
  <c r="AP212" i="8"/>
  <c r="AP211" i="8" s="1"/>
  <c r="AP213" i="8"/>
  <c r="AP221" i="8" s="1"/>
  <c r="AP208" i="8"/>
  <c r="AP209" i="8"/>
  <c r="AP210" i="8"/>
  <c r="AP207" i="8" s="1"/>
  <c r="AP196" i="8"/>
  <c r="AP220" i="8" s="1"/>
  <c r="AP197" i="8"/>
  <c r="AP198" i="8"/>
  <c r="AP215" i="8"/>
  <c r="AP195" i="8"/>
  <c r="AP148" i="8"/>
  <c r="AP147" i="8"/>
  <c r="AP143" i="8"/>
  <c r="AP144" i="8"/>
  <c r="AP139" i="8"/>
  <c r="AP140" i="8"/>
  <c r="AP145" i="8"/>
  <c r="BD163" i="8"/>
  <c r="BC163" i="8"/>
  <c r="BB163" i="8"/>
  <c r="AZ163" i="8"/>
  <c r="BD162" i="8"/>
  <c r="BC162" i="8"/>
  <c r="BB162" i="8"/>
  <c r="AZ162" i="8"/>
  <c r="AP156" i="8"/>
  <c r="AP157" i="8"/>
  <c r="AP162" i="8"/>
  <c r="BA162" i="8" s="1"/>
  <c r="AP163" i="8"/>
  <c r="BA163" i="8" s="1"/>
  <c r="AP160" i="8"/>
  <c r="AP161" i="8"/>
  <c r="AZ132" i="8"/>
  <c r="BA132" i="8" s="1"/>
  <c r="AP79" i="8"/>
  <c r="AP75" i="8"/>
  <c r="AP76" i="8"/>
  <c r="AP78" i="8"/>
  <c r="AG69" i="12" s="1"/>
  <c r="BD78" i="8"/>
  <c r="BC78" i="8"/>
  <c r="BB78" i="8"/>
  <c r="BA78" i="8"/>
  <c r="AZ78" i="8"/>
  <c r="AI78" i="8"/>
  <c r="AH78" i="8"/>
  <c r="AG78" i="8"/>
  <c r="AF78" i="8"/>
  <c r="AE78" i="8"/>
  <c r="AP88" i="8"/>
  <c r="AP84" i="8"/>
  <c r="AP85" i="8"/>
  <c r="AP87" i="8"/>
  <c r="AG70" i="12" s="1"/>
  <c r="AG71" i="12" s="1"/>
  <c r="AP222" i="8" l="1"/>
  <c r="AP96" i="8"/>
  <c r="AP223" i="8"/>
  <c r="B73" i="12"/>
  <c r="C70" i="12"/>
  <c r="C71" i="12" s="1"/>
  <c r="B75" i="12"/>
  <c r="B77" i="12"/>
  <c r="AP225" i="8"/>
  <c r="AP227" i="8" l="1"/>
  <c r="AP226" i="8"/>
  <c r="M223" i="8" l="1"/>
  <c r="L223" i="8"/>
  <c r="K223" i="8"/>
  <c r="J223" i="8"/>
  <c r="I223" i="8"/>
  <c r="H223" i="8"/>
  <c r="G223" i="8"/>
  <c r="F223" i="8"/>
  <c r="E223" i="8"/>
  <c r="D223" i="8"/>
  <c r="C223" i="8"/>
  <c r="B223" i="8"/>
  <c r="V223" i="8"/>
  <c r="U223" i="8"/>
  <c r="T223" i="8"/>
  <c r="S223" i="8"/>
  <c r="R223" i="8"/>
  <c r="Q223" i="8"/>
  <c r="P223" i="8"/>
  <c r="O223" i="8"/>
  <c r="N223" i="8"/>
  <c r="AP182" i="8"/>
  <c r="AP181" i="8"/>
  <c r="AN177" i="8"/>
  <c r="AO177" i="8"/>
  <c r="AN178" i="8"/>
  <c r="AO178" i="8"/>
  <c r="U182" i="8" l="1"/>
  <c r="U181" i="8"/>
  <c r="T182" i="8"/>
  <c r="T181" i="8"/>
  <c r="AY180" i="8"/>
  <c r="AX180" i="8"/>
  <c r="AW180" i="8"/>
  <c r="AV180" i="8"/>
  <c r="AU180" i="8"/>
  <c r="AT180" i="8"/>
  <c r="AS180" i="8"/>
  <c r="AR180" i="8"/>
  <c r="AQ180" i="8"/>
  <c r="AP180" i="8"/>
  <c r="AI180" i="8"/>
  <c r="AH180" i="8"/>
  <c r="AG180" i="8"/>
  <c r="AF180" i="8"/>
  <c r="AE180" i="8"/>
  <c r="AC180" i="8"/>
  <c r="AB180" i="8"/>
  <c r="AA180" i="8"/>
  <c r="Z180" i="8"/>
  <c r="Y180" i="8"/>
  <c r="X180" i="8"/>
  <c r="W180" i="8"/>
  <c r="V180" i="8"/>
  <c r="U180" i="8"/>
  <c r="T180" i="8"/>
  <c r="S180" i="8"/>
  <c r="R180" i="8"/>
  <c r="Q180" i="8"/>
  <c r="P180" i="8"/>
  <c r="O180" i="8"/>
  <c r="N180" i="8"/>
  <c r="M180" i="8"/>
  <c r="L180" i="8"/>
  <c r="K180" i="8"/>
  <c r="J180" i="8"/>
  <c r="I180" i="8"/>
  <c r="H180" i="8"/>
  <c r="G180" i="8"/>
  <c r="F180" i="8"/>
  <c r="E180" i="8"/>
  <c r="D180" i="8"/>
  <c r="C180" i="8"/>
  <c r="B180" i="8"/>
  <c r="AY179" i="8"/>
  <c r="AX179" i="8"/>
  <c r="AW179" i="8"/>
  <c r="AV179" i="8"/>
  <c r="AU179" i="8"/>
  <c r="AT179" i="8"/>
  <c r="AS179" i="8"/>
  <c r="AR179" i="8"/>
  <c r="AQ179" i="8"/>
  <c r="AP179" i="8"/>
  <c r="Y179" i="8"/>
  <c r="X179" i="8"/>
  <c r="W179" i="8"/>
  <c r="V179" i="8"/>
  <c r="U179" i="8"/>
  <c r="T179" i="8"/>
  <c r="S179" i="8"/>
  <c r="R179" i="8"/>
  <c r="Q179" i="8"/>
  <c r="P179" i="8"/>
  <c r="O179" i="8"/>
  <c r="N179" i="8"/>
  <c r="M179" i="8"/>
  <c r="L179" i="8"/>
  <c r="K179" i="8"/>
  <c r="J179" i="8"/>
  <c r="I179" i="8"/>
  <c r="H179" i="8"/>
  <c r="G179" i="8"/>
  <c r="F179" i="8"/>
  <c r="E179" i="8"/>
  <c r="D179" i="8"/>
  <c r="C179" i="8"/>
  <c r="B179" i="8"/>
  <c r="BD178" i="8"/>
  <c r="AY178" i="8"/>
  <c r="AX178" i="8"/>
  <c r="AW178" i="8"/>
  <c r="AV178" i="8"/>
  <c r="AU178" i="8"/>
  <c r="AT178" i="8"/>
  <c r="AS178" i="8"/>
  <c r="AR178" i="8"/>
  <c r="AQ178" i="8"/>
  <c r="AP178" i="8"/>
  <c r="AI178" i="8"/>
  <c r="AH178" i="8"/>
  <c r="AG178" i="8"/>
  <c r="AF178" i="8"/>
  <c r="AD178" i="8"/>
  <c r="AC178" i="8"/>
  <c r="AB178" i="8"/>
  <c r="AA178" i="8"/>
  <c r="Z178" i="8"/>
  <c r="Y178" i="8"/>
  <c r="X178" i="8"/>
  <c r="W178" i="8"/>
  <c r="V178" i="8"/>
  <c r="U178" i="8"/>
  <c r="T178" i="8"/>
  <c r="S178" i="8"/>
  <c r="R178" i="8"/>
  <c r="Q178" i="8"/>
  <c r="P178" i="8"/>
  <c r="O178" i="8"/>
  <c r="N178" i="8"/>
  <c r="M178" i="8"/>
  <c r="L178" i="8"/>
  <c r="K178" i="8"/>
  <c r="J178" i="8"/>
  <c r="I178" i="8"/>
  <c r="H178" i="8"/>
  <c r="G178" i="8"/>
  <c r="F178" i="8"/>
  <c r="E178" i="8"/>
  <c r="D178" i="8"/>
  <c r="C178" i="8"/>
  <c r="B178" i="8"/>
  <c r="AY177" i="8"/>
  <c r="AX177" i="8"/>
  <c r="AW177" i="8"/>
  <c r="AV177" i="8"/>
  <c r="AU177" i="8"/>
  <c r="AT177" i="8"/>
  <c r="AS177" i="8"/>
  <c r="AR177" i="8"/>
  <c r="AQ177" i="8"/>
  <c r="AP177" i="8"/>
  <c r="AI177" i="8"/>
  <c r="AH177" i="8"/>
  <c r="AG177" i="8"/>
  <c r="AF177" i="8"/>
  <c r="AC177" i="8"/>
  <c r="AB177" i="8"/>
  <c r="AA177" i="8"/>
  <c r="Y177" i="8"/>
  <c r="X177" i="8"/>
  <c r="W177" i="8"/>
  <c r="V177" i="8"/>
  <c r="U177" i="8"/>
  <c r="T177" i="8"/>
  <c r="S177" i="8"/>
  <c r="R177" i="8"/>
  <c r="Q177" i="8"/>
  <c r="P177" i="8"/>
  <c r="O177" i="8"/>
  <c r="N177" i="8"/>
  <c r="M177" i="8"/>
  <c r="L177" i="8"/>
  <c r="K177" i="8"/>
  <c r="J177" i="8"/>
  <c r="I177" i="8"/>
  <c r="H177" i="8"/>
  <c r="G177" i="8"/>
  <c r="F177" i="8"/>
  <c r="E177" i="8"/>
  <c r="D177" i="8"/>
  <c r="C177" i="8"/>
  <c r="B177" i="8"/>
  <c r="AY176" i="8"/>
  <c r="AX176" i="8"/>
  <c r="AW176" i="8"/>
  <c r="AV176" i="8"/>
  <c r="AU176" i="8"/>
  <c r="AT176" i="8"/>
  <c r="AS176" i="8"/>
  <c r="AR176" i="8"/>
  <c r="AQ176" i="8"/>
  <c r="AP176" i="8"/>
  <c r="AI176" i="8"/>
  <c r="AH176" i="8"/>
  <c r="AG176" i="8"/>
  <c r="AF176" i="8"/>
  <c r="AC176" i="8"/>
  <c r="AB176" i="8"/>
  <c r="AA176" i="8"/>
  <c r="U176" i="8"/>
  <c r="T176" i="8"/>
  <c r="S176" i="8"/>
  <c r="R176" i="8"/>
  <c r="Q176" i="8"/>
  <c r="P176" i="8"/>
  <c r="O176" i="8"/>
  <c r="N176" i="8"/>
  <c r="M176" i="8"/>
  <c r="L176" i="8"/>
  <c r="K176" i="8"/>
  <c r="J176" i="8"/>
  <c r="I176" i="8"/>
  <c r="H176" i="8"/>
  <c r="G176" i="8"/>
  <c r="F176" i="8"/>
  <c r="E176" i="8"/>
  <c r="D176" i="8"/>
  <c r="C176" i="8"/>
  <c r="B176" i="8"/>
  <c r="AY175" i="8"/>
  <c r="AX175" i="8"/>
  <c r="AW175" i="8"/>
  <c r="AV175" i="8"/>
  <c r="AU175" i="8"/>
  <c r="AT175" i="8"/>
  <c r="AS175" i="8"/>
  <c r="AR175" i="8"/>
  <c r="AQ175" i="8"/>
  <c r="AP175" i="8"/>
  <c r="AI175" i="8"/>
  <c r="AH175" i="8"/>
  <c r="AG175" i="8"/>
  <c r="AF175" i="8"/>
  <c r="AC175" i="8"/>
  <c r="AB175" i="8"/>
  <c r="AA175" i="8"/>
  <c r="U175" i="8"/>
  <c r="T175" i="8"/>
  <c r="S175" i="8"/>
  <c r="R175" i="8"/>
  <c r="Q175" i="8"/>
  <c r="P175" i="8"/>
  <c r="O175" i="8"/>
  <c r="N175" i="8"/>
  <c r="M175" i="8"/>
  <c r="L175" i="8"/>
  <c r="K175" i="8"/>
  <c r="J175" i="8"/>
  <c r="I175" i="8"/>
  <c r="H175" i="8"/>
  <c r="G175" i="8"/>
  <c r="F175" i="8"/>
  <c r="E175" i="8"/>
  <c r="D175" i="8"/>
  <c r="C175" i="8"/>
  <c r="B175" i="8"/>
  <c r="M181" i="8"/>
  <c r="BD146" i="8"/>
  <c r="BC146" i="8"/>
  <c r="BC178" i="8" s="1"/>
  <c r="BB146" i="8"/>
  <c r="BB178" i="8" s="1"/>
  <c r="BA146" i="8"/>
  <c r="BA178" i="8" s="1"/>
  <c r="AZ146" i="8"/>
  <c r="AZ178" i="8" s="1"/>
  <c r="BD145" i="8"/>
  <c r="BD177" i="8" s="1"/>
  <c r="BC145" i="8"/>
  <c r="BC177" i="8" s="1"/>
  <c r="BB145" i="8"/>
  <c r="BB177" i="8" s="1"/>
  <c r="BA145" i="8"/>
  <c r="BA177" i="8" s="1"/>
  <c r="AZ145" i="8"/>
  <c r="AZ177" i="8" s="1"/>
  <c r="BD123" i="8"/>
  <c r="AY123" i="8"/>
  <c r="AX123" i="8"/>
  <c r="AW123" i="8"/>
  <c r="AV123" i="8"/>
  <c r="AU123" i="8"/>
  <c r="BD114" i="8"/>
  <c r="AY114" i="8"/>
  <c r="AX114" i="8"/>
  <c r="AW114" i="8"/>
  <c r="AV114" i="8"/>
  <c r="AU114" i="8"/>
  <c r="AT114" i="8"/>
  <c r="AS114" i="8"/>
  <c r="AR114" i="8"/>
  <c r="AQ114" i="8"/>
  <c r="AO114" i="8"/>
  <c r="AN114" i="8"/>
  <c r="AI114" i="8"/>
  <c r="AH114" i="8"/>
  <c r="AG114" i="8"/>
  <c r="AF114" i="8"/>
  <c r="AE114" i="8"/>
  <c r="AD114" i="8"/>
  <c r="AC114" i="8"/>
  <c r="AB114" i="8"/>
  <c r="AA114" i="8"/>
  <c r="Z114" i="8"/>
  <c r="Y114" i="8"/>
  <c r="X114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BD105" i="8"/>
  <c r="AY105" i="8"/>
  <c r="AX105" i="8"/>
  <c r="AW105" i="8"/>
  <c r="AV105" i="8"/>
  <c r="AU105" i="8"/>
  <c r="AT105" i="8"/>
  <c r="AS105" i="8"/>
  <c r="AR105" i="8"/>
  <c r="AQ105" i="8"/>
  <c r="AO105" i="8"/>
  <c r="AN105" i="8"/>
  <c r="AI105" i="8"/>
  <c r="AH105" i="8"/>
  <c r="AG105" i="8"/>
  <c r="AF105" i="8"/>
  <c r="AE105" i="8"/>
  <c r="AD105" i="8"/>
  <c r="AC105" i="8"/>
  <c r="AB105" i="8"/>
  <c r="AA105" i="8"/>
  <c r="Z105" i="8"/>
  <c r="Y105" i="8"/>
  <c r="X105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L96" i="8"/>
  <c r="K96" i="8"/>
  <c r="J96" i="8"/>
  <c r="I96" i="8"/>
  <c r="H96" i="8"/>
  <c r="G96" i="8"/>
  <c r="F96" i="8"/>
  <c r="E96" i="8"/>
  <c r="D96" i="8"/>
  <c r="C96" i="8"/>
  <c r="B96" i="8"/>
  <c r="BD87" i="8"/>
  <c r="BC87" i="8"/>
  <c r="BB87" i="8"/>
  <c r="BA87" i="8"/>
  <c r="AZ87" i="8"/>
  <c r="AO69" i="8"/>
  <c r="BD68" i="8"/>
  <c r="BC68" i="8"/>
  <c r="BB68" i="8"/>
  <c r="AY68" i="8"/>
  <c r="AX68" i="8"/>
  <c r="AW68" i="8"/>
  <c r="AV68" i="8"/>
  <c r="AU68" i="8"/>
  <c r="AT68" i="8"/>
  <c r="AS68" i="8"/>
  <c r="AR68" i="8"/>
  <c r="AQ68" i="8"/>
  <c r="AP68" i="8"/>
  <c r="AO68" i="8"/>
  <c r="AI68" i="8"/>
  <c r="AH68" i="8"/>
  <c r="AG68" i="8"/>
  <c r="AF68" i="8"/>
  <c r="AC68" i="8"/>
  <c r="AB68" i="8"/>
  <c r="AA68" i="8"/>
  <c r="V68" i="8"/>
  <c r="U68" i="8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BD69" i="8"/>
  <c r="AY69" i="8"/>
  <c r="AX69" i="8"/>
  <c r="AW69" i="8"/>
  <c r="AV69" i="8"/>
  <c r="AU69" i="8"/>
  <c r="AT69" i="8"/>
  <c r="AS69" i="8"/>
  <c r="AR69" i="8"/>
  <c r="AQ69" i="8"/>
  <c r="L69" i="8"/>
  <c r="K69" i="8"/>
  <c r="J69" i="8"/>
  <c r="I69" i="8"/>
  <c r="H69" i="8"/>
  <c r="G69" i="8"/>
  <c r="F69" i="8"/>
  <c r="E69" i="8"/>
  <c r="D69" i="8"/>
  <c r="C69" i="8"/>
  <c r="B69" i="8"/>
  <c r="AP61" i="8"/>
  <c r="AP57" i="8"/>
  <c r="AP60" i="8"/>
  <c r="AZ60" i="8" s="1"/>
  <c r="BD60" i="8"/>
  <c r="BC60" i="8"/>
  <c r="BB60" i="8"/>
  <c r="BA60" i="8"/>
  <c r="AP58" i="8"/>
  <c r="AP52" i="8"/>
  <c r="AP48" i="8"/>
  <c r="AP51" i="8"/>
  <c r="AP49" i="8"/>
  <c r="BD51" i="8"/>
  <c r="BC51" i="8"/>
  <c r="BC105" i="8" s="1"/>
  <c r="BB51" i="8"/>
  <c r="BD42" i="8"/>
  <c r="AY42" i="8"/>
  <c r="AX42" i="8"/>
  <c r="AW42" i="8"/>
  <c r="AV42" i="8"/>
  <c r="AU42" i="8"/>
  <c r="AT42" i="8"/>
  <c r="AS42" i="8"/>
  <c r="AR42" i="8"/>
  <c r="L42" i="8"/>
  <c r="K42" i="8"/>
  <c r="J42" i="8"/>
  <c r="I42" i="8"/>
  <c r="H42" i="8"/>
  <c r="G42" i="8"/>
  <c r="F42" i="8"/>
  <c r="E42" i="8"/>
  <c r="D42" i="8"/>
  <c r="C42" i="8"/>
  <c r="B42" i="8"/>
  <c r="AP34" i="8"/>
  <c r="AP30" i="8"/>
  <c r="AP33" i="8"/>
  <c r="BA33" i="8" s="1"/>
  <c r="AP31" i="8"/>
  <c r="BD33" i="8"/>
  <c r="BC33" i="8"/>
  <c r="BB33" i="8"/>
  <c r="AP23" i="8"/>
  <c r="U66" i="6" s="1"/>
  <c r="AP22" i="8"/>
  <c r="BD22" i="8"/>
  <c r="BC22" i="8"/>
  <c r="BC114" i="8" s="1"/>
  <c r="BB22" i="8"/>
  <c r="BB123" i="8" s="1"/>
  <c r="AP19" i="8"/>
  <c r="AP20" i="8"/>
  <c r="BC69" i="8" l="1"/>
  <c r="BC42" i="8"/>
  <c r="BC123" i="8"/>
  <c r="BB105" i="8"/>
  <c r="BB69" i="8"/>
  <c r="BB42" i="8"/>
  <c r="BB114" i="8"/>
  <c r="AZ22" i="8"/>
  <c r="AG74" i="12"/>
  <c r="U60" i="6"/>
  <c r="AP123" i="8"/>
  <c r="BA51" i="8"/>
  <c r="BA105" i="8" s="1"/>
  <c r="AG72" i="12"/>
  <c r="AP114" i="8"/>
  <c r="AP105" i="8"/>
  <c r="AZ33" i="8"/>
  <c r="BA22" i="8"/>
  <c r="BA42" i="8" s="1"/>
  <c r="AP69" i="8"/>
  <c r="AP42" i="8"/>
  <c r="BA69" i="8" l="1"/>
  <c r="AZ114" i="8"/>
  <c r="AZ42" i="8"/>
  <c r="C72" i="12"/>
  <c r="C73" i="12" s="1"/>
  <c r="AG73" i="12"/>
  <c r="AZ123" i="8"/>
  <c r="BA114" i="8"/>
  <c r="BA123" i="8"/>
  <c r="AZ69" i="8"/>
  <c r="AZ105" i="8"/>
  <c r="AY237" i="8" l="1"/>
  <c r="AX237" i="8"/>
  <c r="AW237" i="8"/>
  <c r="AV237" i="8"/>
  <c r="AU237" i="8"/>
  <c r="AT237" i="8"/>
  <c r="AT238" i="8" s="1"/>
  <c r="AS237" i="8"/>
  <c r="AR237" i="8"/>
  <c r="AQ237" i="8"/>
  <c r="AP237" i="8"/>
  <c r="AP238" i="8" s="1"/>
  <c r="AO237" i="8"/>
  <c r="V237" i="8"/>
  <c r="AV238" i="8" s="1"/>
  <c r="S237" i="8"/>
  <c r="R237" i="8"/>
  <c r="R238" i="8" s="1"/>
  <c r="Q237" i="8"/>
  <c r="AQ238" i="8" s="1"/>
  <c r="P237" i="8"/>
  <c r="O237" i="8"/>
  <c r="N237" i="8"/>
  <c r="N239" i="8" s="1"/>
  <c r="M237" i="8"/>
  <c r="L237" i="8"/>
  <c r="K237" i="8"/>
  <c r="J237" i="8"/>
  <c r="V238" i="8" s="1"/>
  <c r="I237" i="8"/>
  <c r="H237" i="8"/>
  <c r="G237" i="8"/>
  <c r="F237" i="8"/>
  <c r="E237" i="8"/>
  <c r="D237" i="8"/>
  <c r="C237" i="8"/>
  <c r="B237" i="8"/>
  <c r="BD236" i="8"/>
  <c r="BC236" i="8"/>
  <c r="BB236" i="8"/>
  <c r="AZ236" i="8"/>
  <c r="BA236" i="8"/>
  <c r="AI236" i="8"/>
  <c r="AH236" i="8"/>
  <c r="AG236" i="8"/>
  <c r="AF236" i="8"/>
  <c r="AE236" i="8"/>
  <c r="BD235" i="8"/>
  <c r="BC235" i="8"/>
  <c r="BB235" i="8"/>
  <c r="AZ235" i="8"/>
  <c r="BA235" i="8"/>
  <c r="AI235" i="8"/>
  <c r="AH235" i="8"/>
  <c r="AG235" i="8"/>
  <c r="AF235" i="8"/>
  <c r="AE235" i="8"/>
  <c r="AB235" i="8"/>
  <c r="AA235" i="8"/>
  <c r="Z235" i="8"/>
  <c r="AD235" i="8"/>
  <c r="AC235" i="8"/>
  <c r="BD234" i="8"/>
  <c r="BC234" i="8"/>
  <c r="BB234" i="8"/>
  <c r="BA234" i="8"/>
  <c r="AZ234" i="8"/>
  <c r="AI234" i="8"/>
  <c r="AH234" i="8"/>
  <c r="AG234" i="8"/>
  <c r="AF234" i="8"/>
  <c r="AE234" i="8"/>
  <c r="AB234" i="8"/>
  <c r="AA234" i="8"/>
  <c r="Z234" i="8"/>
  <c r="AD234" i="8"/>
  <c r="AC234" i="8"/>
  <c r="BD233" i="8"/>
  <c r="BC233" i="8"/>
  <c r="BB233" i="8"/>
  <c r="AN237" i="8"/>
  <c r="AI233" i="8"/>
  <c r="AH233" i="8"/>
  <c r="AG233" i="8"/>
  <c r="AF233" i="8"/>
  <c r="AE233" i="8"/>
  <c r="AB233" i="8"/>
  <c r="AA233" i="8"/>
  <c r="Z233" i="8"/>
  <c r="Y237" i="8"/>
  <c r="X237" i="8"/>
  <c r="W237" i="8"/>
  <c r="W238" i="8" s="1"/>
  <c r="T237" i="8"/>
  <c r="BD232" i="8"/>
  <c r="BD237" i="8" s="1"/>
  <c r="BC232" i="8"/>
  <c r="BC237" i="8" s="1"/>
  <c r="BB232" i="8"/>
  <c r="BB237" i="8" s="1"/>
  <c r="BA232" i="8"/>
  <c r="AZ232" i="8"/>
  <c r="AI232" i="8"/>
  <c r="AI237" i="8" s="1"/>
  <c r="AH232" i="8"/>
  <c r="AH237" i="8" s="1"/>
  <c r="AG232" i="8"/>
  <c r="AF232" i="8"/>
  <c r="AE232" i="8"/>
  <c r="AD232" i="8"/>
  <c r="AB232" i="8"/>
  <c r="AA232" i="8"/>
  <c r="Z232" i="8"/>
  <c r="AC232" i="8"/>
  <c r="AJ233" i="8" l="1"/>
  <c r="AE237" i="8"/>
  <c r="Z237" i="8"/>
  <c r="O238" i="8"/>
  <c r="S238" i="8"/>
  <c r="AR238" i="8"/>
  <c r="AA237" i="8"/>
  <c r="AF237" i="8"/>
  <c r="N238" i="8"/>
  <c r="AB237" i="8"/>
  <c r="AG237" i="8"/>
  <c r="T238" i="8"/>
  <c r="AO238" i="8"/>
  <c r="AS238" i="8"/>
  <c r="X238" i="8"/>
  <c r="AL237" i="8"/>
  <c r="AY238" i="8"/>
  <c r="Y238" i="8"/>
  <c r="AX238" i="8"/>
  <c r="AY239" i="8"/>
  <c r="AQ239" i="8"/>
  <c r="AT239" i="8"/>
  <c r="AP239" i="8"/>
  <c r="AN239" i="8"/>
  <c r="AW239" i="8"/>
  <c r="AS239" i="8"/>
  <c r="AO239" i="8"/>
  <c r="AR239" i="8"/>
  <c r="AN238" i="8"/>
  <c r="AW238" i="8"/>
  <c r="AC233" i="8"/>
  <c r="AC237" i="8" s="1"/>
  <c r="U237" i="8"/>
  <c r="AU239" i="8" s="1"/>
  <c r="R239" i="8"/>
  <c r="O239" i="8"/>
  <c r="S239" i="8"/>
  <c r="W239" i="8"/>
  <c r="V239" i="8"/>
  <c r="AD233" i="8"/>
  <c r="AD237" i="8" s="1"/>
  <c r="AZ233" i="8"/>
  <c r="AZ237" i="8" s="1"/>
  <c r="P238" i="8"/>
  <c r="P239" i="8"/>
  <c r="T239" i="8"/>
  <c r="BA233" i="8"/>
  <c r="BA237" i="8" s="1"/>
  <c r="Q238" i="8"/>
  <c r="Q239" i="8"/>
  <c r="U239" i="8"/>
  <c r="AJ237" i="8" l="1"/>
  <c r="AU238" i="8"/>
  <c r="U238" i="8"/>
  <c r="AX239" i="8"/>
  <c r="Y239" i="8"/>
  <c r="AV239" i="8"/>
  <c r="X239" i="8"/>
  <c r="AO220" i="8" l="1"/>
  <c r="AO216" i="8"/>
  <c r="AO215" i="8" s="1"/>
  <c r="AO208" i="8"/>
  <c r="AO209" i="8"/>
  <c r="AO210" i="8"/>
  <c r="AO196" i="8"/>
  <c r="AO197" i="8"/>
  <c r="AO198" i="8"/>
  <c r="AO160" i="8"/>
  <c r="AO161" i="8"/>
  <c r="AO156" i="8"/>
  <c r="AO157" i="8"/>
  <c r="AO148" i="8"/>
  <c r="AO180" i="8" s="1"/>
  <c r="AO147" i="8"/>
  <c r="AO179" i="8" s="1"/>
  <c r="AO139" i="8"/>
  <c r="AO140" i="8"/>
  <c r="AO143" i="8"/>
  <c r="AO175" i="8" s="1"/>
  <c r="AO144" i="8"/>
  <c r="AO176" i="8" s="1"/>
  <c r="AO181" i="8" l="1"/>
  <c r="AO182" i="8"/>
  <c r="AO222" i="8"/>
  <c r="AO221" i="8"/>
  <c r="AO207" i="8"/>
  <c r="AO195" i="8"/>
  <c r="AO223" i="8" s="1"/>
  <c r="AO61" i="8"/>
  <c r="AO57" i="8"/>
  <c r="AO58" i="8"/>
  <c r="AO52" i="8"/>
  <c r="AO48" i="8"/>
  <c r="AO49" i="8"/>
  <c r="AO34" i="8"/>
  <c r="AO31" i="8"/>
  <c r="AO30" i="8"/>
  <c r="AO23" i="8"/>
  <c r="T66" i="6" s="1"/>
  <c r="AO20" i="8"/>
  <c r="AO19" i="8"/>
  <c r="AO227" i="8" l="1"/>
  <c r="AO225" i="8"/>
  <c r="AO226" i="8"/>
  <c r="AO88" i="8"/>
  <c r="AO85" i="8"/>
  <c r="AO84" i="8"/>
  <c r="AO79" i="8"/>
  <c r="AO75" i="8"/>
  <c r="AO76" i="8"/>
  <c r="AD42" i="6" l="1"/>
  <c r="AC42" i="6"/>
  <c r="AB42" i="6"/>
  <c r="AA42" i="6"/>
  <c r="Z42" i="6"/>
  <c r="Y42" i="6"/>
  <c r="X42" i="6"/>
  <c r="W42" i="6"/>
  <c r="V42" i="6"/>
  <c r="U42" i="6"/>
  <c r="T42" i="6"/>
  <c r="S42" i="6"/>
  <c r="AD37" i="6"/>
  <c r="AC37" i="6"/>
  <c r="AB37" i="6"/>
  <c r="AA37" i="6"/>
  <c r="Z37" i="6"/>
  <c r="Y37" i="6"/>
  <c r="X37" i="6"/>
  <c r="W37" i="6"/>
  <c r="V37" i="6"/>
  <c r="U37" i="6"/>
  <c r="T37" i="6"/>
  <c r="S37" i="6"/>
  <c r="AD32" i="6"/>
  <c r="AC32" i="6"/>
  <c r="AB32" i="6"/>
  <c r="AA32" i="6"/>
  <c r="Z32" i="6"/>
  <c r="Y32" i="6"/>
  <c r="X32" i="6"/>
  <c r="W32" i="6"/>
  <c r="V32" i="6"/>
  <c r="U32" i="6"/>
  <c r="T32" i="6"/>
  <c r="S32" i="6"/>
  <c r="AD27" i="6"/>
  <c r="AC27" i="6"/>
  <c r="AB27" i="6"/>
  <c r="AA27" i="6"/>
  <c r="Z27" i="6"/>
  <c r="Y27" i="6"/>
  <c r="X27" i="6"/>
  <c r="W27" i="6"/>
  <c r="V27" i="6"/>
  <c r="U27" i="6"/>
  <c r="T27" i="6"/>
  <c r="S27" i="6"/>
  <c r="AD22" i="6"/>
  <c r="AC22" i="6"/>
  <c r="AB22" i="6"/>
  <c r="AA22" i="6"/>
  <c r="Z22" i="6"/>
  <c r="Y22" i="6"/>
  <c r="X22" i="6"/>
  <c r="W22" i="6"/>
  <c r="V22" i="6"/>
  <c r="U22" i="6"/>
  <c r="T22" i="6"/>
  <c r="S22" i="6"/>
  <c r="AY12" i="8"/>
  <c r="AX12" i="8"/>
  <c r="AW12" i="8"/>
  <c r="AV12" i="8"/>
  <c r="AU12" i="8"/>
  <c r="AT12" i="8"/>
  <c r="AS12" i="8"/>
  <c r="AR12" i="8"/>
  <c r="AQ12" i="8"/>
  <c r="AP12" i="8"/>
  <c r="AO12" i="8"/>
  <c r="AN12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Y9" i="8"/>
  <c r="AX9" i="8"/>
  <c r="AW9" i="8"/>
  <c r="AV9" i="8"/>
  <c r="AU9" i="8"/>
  <c r="AT9" i="8"/>
  <c r="AR9" i="8"/>
  <c r="AQ9" i="8"/>
  <c r="AP9" i="8"/>
  <c r="AO9" i="8"/>
  <c r="AN9" i="8"/>
  <c r="AY8" i="8"/>
  <c r="AX8" i="8"/>
  <c r="AW8" i="8"/>
  <c r="AV8" i="8"/>
  <c r="AU8" i="8"/>
  <c r="AT8" i="8"/>
  <c r="AS8" i="8"/>
  <c r="AR8" i="8"/>
  <c r="AQ8" i="8"/>
  <c r="AP8" i="8"/>
  <c r="AO8" i="8"/>
  <c r="AN8" i="8"/>
  <c r="AY6" i="8"/>
  <c r="AX6" i="8"/>
  <c r="AW6" i="8"/>
  <c r="AV6" i="8"/>
  <c r="AU6" i="8"/>
  <c r="AS6" i="8"/>
  <c r="AR6" i="8"/>
  <c r="AQ6" i="8"/>
  <c r="AP6" i="8"/>
  <c r="AO6" i="8"/>
  <c r="AN6" i="8"/>
  <c r="B85" i="12"/>
  <c r="B83" i="12"/>
  <c r="B84" i="12" s="1"/>
  <c r="B82" i="12"/>
  <c r="B59" i="12"/>
  <c r="B57" i="12"/>
  <c r="B58" i="12" s="1"/>
  <c r="B56" i="12"/>
  <c r="B55" i="12"/>
  <c r="B20" i="12"/>
  <c r="B18" i="12"/>
  <c r="B19" i="12" s="1"/>
  <c r="B17" i="12"/>
  <c r="B16" i="12"/>
  <c r="B4" i="12"/>
  <c r="B3" i="12"/>
  <c r="W59" i="6" l="1"/>
  <c r="W61" i="6" s="1"/>
  <c r="T59" i="6"/>
  <c r="T61" i="6" s="1"/>
  <c r="X59" i="6"/>
  <c r="X61" i="6" s="1"/>
  <c r="AB59" i="6"/>
  <c r="AB61" i="6" s="1"/>
  <c r="S59" i="6"/>
  <c r="AA59" i="6"/>
  <c r="AA61" i="6" s="1"/>
  <c r="U59" i="6"/>
  <c r="U61" i="6" s="1"/>
  <c r="Y59" i="6"/>
  <c r="Y61" i="6" s="1"/>
  <c r="AC59" i="6"/>
  <c r="AC61" i="6" s="1"/>
  <c r="V59" i="6"/>
  <c r="V61" i="6" s="1"/>
  <c r="Z59" i="6"/>
  <c r="Z61" i="6" s="1"/>
  <c r="AD59" i="6"/>
  <c r="AD61" i="6" s="1"/>
  <c r="B80" i="12"/>
  <c r="C80" i="12"/>
  <c r="D80" i="12"/>
  <c r="E80" i="12"/>
  <c r="B54" i="12"/>
  <c r="C54" i="12"/>
  <c r="D54" i="12"/>
  <c r="E54" i="12"/>
  <c r="B41" i="12"/>
  <c r="C41" i="12"/>
  <c r="D41" i="12"/>
  <c r="E41" i="12"/>
  <c r="U65" i="6"/>
  <c r="U67" i="6" s="1"/>
  <c r="Y65" i="6"/>
  <c r="AC65" i="6"/>
  <c r="B87" i="12"/>
  <c r="T65" i="6"/>
  <c r="V65" i="6"/>
  <c r="W65" i="6"/>
  <c r="X65" i="6"/>
  <c r="X67" i="6" s="1"/>
  <c r="Z65" i="6"/>
  <c r="AA65" i="6"/>
  <c r="AB65" i="6"/>
  <c r="AB67" i="6" s="1"/>
  <c r="AD65" i="6"/>
  <c r="BB11" i="8"/>
  <c r="BB10" i="8"/>
  <c r="BC10" i="8"/>
  <c r="BD10" i="8"/>
  <c r="BB9" i="8"/>
  <c r="BC9" i="8"/>
  <c r="BA11" i="8"/>
  <c r="AZ11" i="8"/>
  <c r="AI11" i="8"/>
  <c r="AH11" i="8"/>
  <c r="AG11" i="8"/>
  <c r="AF11" i="8"/>
  <c r="AE11" i="8"/>
  <c r="AA11" i="8"/>
  <c r="Z11" i="8"/>
  <c r="Y11" i="8"/>
  <c r="X11" i="8"/>
  <c r="W11" i="8"/>
  <c r="V11" i="8"/>
  <c r="U11" i="8"/>
  <c r="T11" i="8"/>
  <c r="S11" i="8"/>
  <c r="AB11" i="8" s="1"/>
  <c r="BA10" i="8"/>
  <c r="AI10" i="8"/>
  <c r="AH10" i="8"/>
  <c r="AG10" i="8"/>
  <c r="AF10" i="8"/>
  <c r="AE10" i="8"/>
  <c r="AA10" i="8"/>
  <c r="Z10" i="8"/>
  <c r="Y10" i="8"/>
  <c r="X10" i="8"/>
  <c r="W10" i="8"/>
  <c r="V10" i="8"/>
  <c r="U10" i="8"/>
  <c r="T10" i="8"/>
  <c r="S10" i="8"/>
  <c r="AB10" i="8" s="1"/>
  <c r="AZ9" i="8"/>
  <c r="AI9" i="8"/>
  <c r="AH9" i="8"/>
  <c r="AG9" i="8"/>
  <c r="AF9" i="8"/>
  <c r="AE9" i="8"/>
  <c r="AA9" i="8"/>
  <c r="Z9" i="8"/>
  <c r="Y9" i="8"/>
  <c r="X9" i="8"/>
  <c r="W9" i="8"/>
  <c r="V9" i="8"/>
  <c r="U9" i="8"/>
  <c r="T9" i="8"/>
  <c r="S9" i="8"/>
  <c r="AB9" i="8" s="1"/>
  <c r="B61" i="12"/>
  <c r="B22" i="12"/>
  <c r="AP77" i="12" l="1"/>
  <c r="AP76" i="12"/>
  <c r="AP75" i="12"/>
  <c r="AH77" i="12"/>
  <c r="AH75" i="12"/>
  <c r="AH76" i="12"/>
  <c r="AM76" i="12"/>
  <c r="AM75" i="12"/>
  <c r="AM77" i="12"/>
  <c r="AN76" i="12"/>
  <c r="AN75" i="12"/>
  <c r="AN77" i="12"/>
  <c r="AF76" i="12"/>
  <c r="AF77" i="12"/>
  <c r="AF75" i="12"/>
  <c r="AK76" i="12"/>
  <c r="AK77" i="12"/>
  <c r="AK75" i="12"/>
  <c r="AL77" i="12"/>
  <c r="AL76" i="12"/>
  <c r="AL75" i="12"/>
  <c r="AE76" i="12"/>
  <c r="AE77" i="12"/>
  <c r="AE75" i="12"/>
  <c r="C74" i="12"/>
  <c r="AJ76" i="12"/>
  <c r="AJ75" i="12"/>
  <c r="AJ77" i="12"/>
  <c r="AI76" i="12"/>
  <c r="AI75" i="12"/>
  <c r="AI77" i="12"/>
  <c r="AO77" i="12"/>
  <c r="AO76" i="12"/>
  <c r="AO75" i="12"/>
  <c r="AG77" i="12"/>
  <c r="AG76" i="12"/>
  <c r="AG75" i="12"/>
  <c r="AA62" i="6"/>
  <c r="U62" i="6"/>
  <c r="AD62" i="6"/>
  <c r="V62" i="6"/>
  <c r="X62" i="6"/>
  <c r="Z62" i="6"/>
  <c r="AB62" i="6"/>
  <c r="Y62" i="6"/>
  <c r="S61" i="6"/>
  <c r="T62" i="6"/>
  <c r="S62" i="6"/>
  <c r="AC62" i="6"/>
  <c r="W62" i="6"/>
  <c r="W67" i="6"/>
  <c r="AA67" i="6"/>
  <c r="AD11" i="8"/>
  <c r="AD10" i="8"/>
  <c r="T67" i="6"/>
  <c r="AC9" i="8"/>
  <c r="AC10" i="8"/>
  <c r="BD9" i="8"/>
  <c r="BC11" i="8"/>
  <c r="AC11" i="8"/>
  <c r="BA9" i="8"/>
  <c r="BD11" i="8"/>
  <c r="S65" i="6"/>
  <c r="AD9" i="8"/>
  <c r="Y67" i="6"/>
  <c r="AC67" i="6"/>
  <c r="V67" i="6"/>
  <c r="Z67" i="6"/>
  <c r="AD67" i="6"/>
  <c r="AZ10" i="8"/>
  <c r="C77" i="12" l="1"/>
  <c r="C75" i="12"/>
  <c r="C76" i="12"/>
  <c r="AP87" i="12"/>
  <c r="AO87" i="12"/>
  <c r="AN87" i="12"/>
  <c r="AM87" i="12"/>
  <c r="AL87" i="12"/>
  <c r="AK87" i="12"/>
  <c r="AJ87" i="12"/>
  <c r="AI87" i="12"/>
  <c r="AI90" i="12" s="1"/>
  <c r="AH87" i="12"/>
  <c r="AG87" i="12"/>
  <c r="AF87" i="12"/>
  <c r="AP85" i="12"/>
  <c r="AO85" i="12"/>
  <c r="AN85" i="12"/>
  <c r="AM85" i="12"/>
  <c r="AL85" i="12"/>
  <c r="AK85" i="12"/>
  <c r="AJ85" i="12"/>
  <c r="AI85" i="12"/>
  <c r="AH85" i="12"/>
  <c r="AG85" i="12"/>
  <c r="AF85" i="12"/>
  <c r="AP83" i="12"/>
  <c r="AO83" i="12"/>
  <c r="AN83" i="12"/>
  <c r="AM83" i="12"/>
  <c r="AL83" i="12"/>
  <c r="AK83" i="12"/>
  <c r="AJ83" i="12"/>
  <c r="AI83" i="12"/>
  <c r="AH83" i="12"/>
  <c r="AG83" i="12"/>
  <c r="AF83" i="12"/>
  <c r="AP82" i="12"/>
  <c r="AO82" i="12"/>
  <c r="AN82" i="12"/>
  <c r="AM82" i="12"/>
  <c r="AL82" i="12"/>
  <c r="AK82" i="12"/>
  <c r="AJ82" i="12"/>
  <c r="AI82" i="12"/>
  <c r="AH82" i="12"/>
  <c r="AG82" i="12"/>
  <c r="AF82" i="12"/>
  <c r="AP81" i="12"/>
  <c r="AO81" i="12"/>
  <c r="AN81" i="12"/>
  <c r="AM81" i="12"/>
  <c r="AL81" i="12"/>
  <c r="AK81" i="12"/>
  <c r="AJ81" i="12"/>
  <c r="AI81" i="12"/>
  <c r="AH81" i="12"/>
  <c r="AG81" i="12"/>
  <c r="AF81" i="12"/>
  <c r="AE83" i="12"/>
  <c r="AE81" i="12"/>
  <c r="AE55" i="12"/>
  <c r="B88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P61" i="12"/>
  <c r="AO61" i="12"/>
  <c r="AN61" i="12"/>
  <c r="AM61" i="12"/>
  <c r="AL61" i="12"/>
  <c r="AK61" i="12"/>
  <c r="AJ61" i="12"/>
  <c r="AI61" i="12"/>
  <c r="AH61" i="12"/>
  <c r="AG61" i="12"/>
  <c r="AF61" i="12"/>
  <c r="AP59" i="12"/>
  <c r="AO59" i="12"/>
  <c r="AN59" i="12"/>
  <c r="AM59" i="12"/>
  <c r="AL59" i="12"/>
  <c r="AK59" i="12"/>
  <c r="AJ59" i="12"/>
  <c r="AI59" i="12"/>
  <c r="AH59" i="12"/>
  <c r="AG59" i="12"/>
  <c r="AF59" i="12"/>
  <c r="AP57" i="12"/>
  <c r="AO57" i="12"/>
  <c r="AN57" i="12"/>
  <c r="AM57" i="12"/>
  <c r="AL57" i="12"/>
  <c r="AK57" i="12"/>
  <c r="AJ57" i="12"/>
  <c r="AI57" i="12"/>
  <c r="AH57" i="12"/>
  <c r="AG57" i="12"/>
  <c r="AF57" i="12"/>
  <c r="AP56" i="12"/>
  <c r="AO56" i="12"/>
  <c r="AN56" i="12"/>
  <c r="AM56" i="12"/>
  <c r="AL56" i="12"/>
  <c r="AK56" i="12"/>
  <c r="AJ56" i="12"/>
  <c r="AI56" i="12"/>
  <c r="AH56" i="12"/>
  <c r="AG56" i="12"/>
  <c r="AF56" i="12"/>
  <c r="AP55" i="12"/>
  <c r="AO55" i="12"/>
  <c r="AN55" i="12"/>
  <c r="AM55" i="12"/>
  <c r="AL55" i="12"/>
  <c r="AK55" i="12"/>
  <c r="AJ55" i="12"/>
  <c r="AI55" i="12"/>
  <c r="AH55" i="12"/>
  <c r="AG55" i="12"/>
  <c r="C55" i="12" s="1"/>
  <c r="AF55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P22" i="12"/>
  <c r="AO22" i="12"/>
  <c r="AN22" i="12"/>
  <c r="AM22" i="12"/>
  <c r="AL22" i="12"/>
  <c r="AK22" i="12"/>
  <c r="AJ22" i="12"/>
  <c r="AH22" i="12"/>
  <c r="AG22" i="12"/>
  <c r="AF22" i="12"/>
  <c r="AP20" i="12"/>
  <c r="AO20" i="12"/>
  <c r="AN20" i="12"/>
  <c r="AM20" i="12"/>
  <c r="AL20" i="12"/>
  <c r="AH20" i="12"/>
  <c r="AG20" i="12"/>
  <c r="AF20" i="12"/>
  <c r="AP18" i="12"/>
  <c r="AO18" i="12"/>
  <c r="AN18" i="12"/>
  <c r="AM18" i="12"/>
  <c r="AM19" i="12" s="1"/>
  <c r="AL18" i="12"/>
  <c r="AK18" i="12"/>
  <c r="AJ18" i="12"/>
  <c r="AH18" i="12"/>
  <c r="AG18" i="12"/>
  <c r="AF18" i="12"/>
  <c r="AP17" i="12"/>
  <c r="AP4" i="12" s="1"/>
  <c r="AO17" i="12"/>
  <c r="AN17" i="12"/>
  <c r="AM17" i="12"/>
  <c r="AL17" i="12"/>
  <c r="AL4" i="12" s="1"/>
  <c r="AK17" i="12"/>
  <c r="AJ17" i="12"/>
  <c r="AH17" i="12"/>
  <c r="AG17" i="12"/>
  <c r="AF17" i="12"/>
  <c r="AP16" i="12"/>
  <c r="AO16" i="12"/>
  <c r="AN16" i="12"/>
  <c r="AM16" i="12"/>
  <c r="AL16" i="12"/>
  <c r="AK16" i="12"/>
  <c r="AJ16" i="12"/>
  <c r="AH16" i="12"/>
  <c r="AG16" i="12"/>
  <c r="AF16" i="12"/>
  <c r="AE16" i="12"/>
  <c r="AP35" i="12"/>
  <c r="AO35" i="12"/>
  <c r="AN35" i="12"/>
  <c r="AM35" i="12"/>
  <c r="AL35" i="12"/>
  <c r="AK35" i="12"/>
  <c r="AI35" i="12"/>
  <c r="AH35" i="12"/>
  <c r="AG35" i="12"/>
  <c r="AF35" i="12"/>
  <c r="AE35" i="12"/>
  <c r="AP33" i="12"/>
  <c r="AO33" i="12"/>
  <c r="AN33" i="12"/>
  <c r="AM33" i="12"/>
  <c r="AL33" i="12"/>
  <c r="AK33" i="12"/>
  <c r="AI33" i="12"/>
  <c r="AH33" i="12"/>
  <c r="AG33" i="12"/>
  <c r="AF33" i="12"/>
  <c r="AE33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P30" i="12"/>
  <c r="AO30" i="12"/>
  <c r="AN30" i="12"/>
  <c r="AM30" i="12"/>
  <c r="AL30" i="12"/>
  <c r="AK30" i="12"/>
  <c r="AI30" i="12"/>
  <c r="AH30" i="12"/>
  <c r="AG30" i="12"/>
  <c r="AF30" i="12"/>
  <c r="AE30" i="12"/>
  <c r="AP29" i="12"/>
  <c r="AO29" i="12"/>
  <c r="AN29" i="12"/>
  <c r="AM29" i="12"/>
  <c r="AL29" i="12"/>
  <c r="AK29" i="12"/>
  <c r="AI29" i="12"/>
  <c r="AH29" i="12"/>
  <c r="AG29" i="12"/>
  <c r="AF29" i="12"/>
  <c r="AE29" i="12"/>
  <c r="B64" i="12"/>
  <c r="AA61" i="12"/>
  <c r="Z61" i="12"/>
  <c r="AA59" i="12"/>
  <c r="Z59" i="12"/>
  <c r="B60" i="12"/>
  <c r="AA57" i="12"/>
  <c r="Z57" i="12"/>
  <c r="AA56" i="12"/>
  <c r="AA55" i="12"/>
  <c r="Z55" i="12"/>
  <c r="X48" i="12"/>
  <c r="W48" i="12"/>
  <c r="W51" i="12" s="1"/>
  <c r="V48" i="12"/>
  <c r="U48" i="12"/>
  <c r="U51" i="12" s="1"/>
  <c r="T48" i="12"/>
  <c r="S48" i="12"/>
  <c r="R48" i="12"/>
  <c r="Q48" i="12"/>
  <c r="Q51" i="12" s="1"/>
  <c r="P48" i="12"/>
  <c r="O48" i="12"/>
  <c r="N48" i="12"/>
  <c r="M48" i="12"/>
  <c r="L48" i="12"/>
  <c r="K48" i="12"/>
  <c r="J48" i="12"/>
  <c r="I48" i="12"/>
  <c r="H48" i="12"/>
  <c r="G48" i="12"/>
  <c r="X46" i="12"/>
  <c r="X47" i="12" s="1"/>
  <c r="W46" i="12"/>
  <c r="W47" i="12" s="1"/>
  <c r="V46" i="12"/>
  <c r="V47" i="12" s="1"/>
  <c r="U46" i="12"/>
  <c r="T46" i="12"/>
  <c r="T47" i="12" s="1"/>
  <c r="S46" i="12"/>
  <c r="S47" i="12" s="1"/>
  <c r="R46" i="12"/>
  <c r="R47" i="12" s="1"/>
  <c r="Q46" i="12"/>
  <c r="Q47" i="12" s="1"/>
  <c r="P46" i="12"/>
  <c r="P47" i="12" s="1"/>
  <c r="O46" i="12"/>
  <c r="N46" i="12"/>
  <c r="M46" i="12"/>
  <c r="L46" i="12"/>
  <c r="K46" i="12"/>
  <c r="J46" i="12"/>
  <c r="I46" i="12"/>
  <c r="H46" i="12"/>
  <c r="G46" i="12"/>
  <c r="X45" i="12"/>
  <c r="W45" i="12"/>
  <c r="V45" i="12"/>
  <c r="U45" i="12"/>
  <c r="T45" i="12"/>
  <c r="S45" i="12"/>
  <c r="R45" i="12"/>
  <c r="Q45" i="12"/>
  <c r="P45" i="12"/>
  <c r="O44" i="12"/>
  <c r="N44" i="12"/>
  <c r="M44" i="12"/>
  <c r="L44" i="12"/>
  <c r="K44" i="12"/>
  <c r="J44" i="12"/>
  <c r="I44" i="12"/>
  <c r="H44" i="12"/>
  <c r="G44" i="12"/>
  <c r="C44" i="12"/>
  <c r="C45" i="12" s="1"/>
  <c r="O43" i="12"/>
  <c r="N43" i="12"/>
  <c r="M43" i="12"/>
  <c r="L43" i="12"/>
  <c r="K43" i="12"/>
  <c r="J43" i="12"/>
  <c r="I43" i="12"/>
  <c r="D43" i="12" s="1"/>
  <c r="H43" i="12"/>
  <c r="G43" i="12"/>
  <c r="C43" i="12"/>
  <c r="X42" i="12"/>
  <c r="W42" i="12"/>
  <c r="V42" i="12"/>
  <c r="U42" i="12"/>
  <c r="C42" i="12" s="1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B35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B33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Q38" i="12" s="1"/>
  <c r="P31" i="12"/>
  <c r="O31" i="12"/>
  <c r="N31" i="12"/>
  <c r="M31" i="12"/>
  <c r="L31" i="12"/>
  <c r="K31" i="12"/>
  <c r="J31" i="12"/>
  <c r="J34" i="12" s="1"/>
  <c r="I31" i="12"/>
  <c r="H31" i="12"/>
  <c r="G31" i="12"/>
  <c r="B31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B30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D29" i="12"/>
  <c r="B29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AA20" i="12"/>
  <c r="Z20" i="12"/>
  <c r="Z7" i="12" s="1"/>
  <c r="Y20" i="12"/>
  <c r="X20" i="12"/>
  <c r="W20" i="12"/>
  <c r="V20" i="12"/>
  <c r="U20" i="12"/>
  <c r="T20" i="12"/>
  <c r="S20" i="12"/>
  <c r="R20" i="12"/>
  <c r="R7" i="12" s="1"/>
  <c r="Q20" i="12"/>
  <c r="P20" i="12"/>
  <c r="O20" i="12"/>
  <c r="N20" i="12"/>
  <c r="M20" i="12"/>
  <c r="L20" i="12"/>
  <c r="K20" i="12"/>
  <c r="J20" i="12"/>
  <c r="J7" i="12" s="1"/>
  <c r="I20" i="12"/>
  <c r="H20" i="12"/>
  <c r="G20" i="12"/>
  <c r="AA18" i="12"/>
  <c r="AA5" i="12" s="1"/>
  <c r="Z18" i="12"/>
  <c r="Y18" i="12"/>
  <c r="X18" i="12"/>
  <c r="W18" i="12"/>
  <c r="W5" i="12" s="1"/>
  <c r="V18" i="12"/>
  <c r="U18" i="12"/>
  <c r="T18" i="12"/>
  <c r="S18" i="12"/>
  <c r="R18" i="12"/>
  <c r="Q18" i="12"/>
  <c r="P18" i="12"/>
  <c r="O18" i="12"/>
  <c r="N18" i="12"/>
  <c r="M18" i="12"/>
  <c r="L18" i="12"/>
  <c r="K18" i="12"/>
  <c r="K5" i="12" s="1"/>
  <c r="J18" i="12"/>
  <c r="I18" i="12"/>
  <c r="H18" i="12"/>
  <c r="G18" i="12"/>
  <c r="G5" i="12" s="1"/>
  <c r="AA17" i="12"/>
  <c r="Y17" i="12"/>
  <c r="X17" i="12"/>
  <c r="W17" i="12"/>
  <c r="W4" i="12" s="1"/>
  <c r="V17" i="12"/>
  <c r="U17" i="12"/>
  <c r="D17" i="12" s="1"/>
  <c r="T17" i="12"/>
  <c r="T4" i="12" s="1"/>
  <c r="S17" i="12"/>
  <c r="S4" i="12" s="1"/>
  <c r="R17" i="12"/>
  <c r="Q17" i="12"/>
  <c r="P17" i="12"/>
  <c r="P4" i="12" s="1"/>
  <c r="O17" i="12"/>
  <c r="N17" i="12"/>
  <c r="M17" i="12"/>
  <c r="L17" i="12"/>
  <c r="K17" i="12"/>
  <c r="K4" i="12" s="1"/>
  <c r="J17" i="12"/>
  <c r="I17" i="12"/>
  <c r="H17" i="12"/>
  <c r="G17" i="12"/>
  <c r="G4" i="12" s="1"/>
  <c r="AA16" i="12"/>
  <c r="Z16" i="12"/>
  <c r="Y16" i="12"/>
  <c r="Y3" i="12" s="1"/>
  <c r="X16" i="12"/>
  <c r="W16" i="12"/>
  <c r="V16" i="12"/>
  <c r="U16" i="12"/>
  <c r="D16" i="12" s="1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B15" i="12"/>
  <c r="B28" i="12" s="1"/>
  <c r="X4" i="12"/>
  <c r="C81" i="12" l="1"/>
  <c r="AG9" i="12"/>
  <c r="C29" i="12"/>
  <c r="E29" i="12" s="1"/>
  <c r="G34" i="12"/>
  <c r="K34" i="12"/>
  <c r="R4" i="12"/>
  <c r="O34" i="12"/>
  <c r="S34" i="12"/>
  <c r="W34" i="12"/>
  <c r="AA34" i="12"/>
  <c r="AA9" i="12"/>
  <c r="AA12" i="12" s="1"/>
  <c r="G3" i="12"/>
  <c r="K3" i="12"/>
  <c r="O3" i="12"/>
  <c r="S3" i="12"/>
  <c r="W3" i="12"/>
  <c r="AA3" i="12"/>
  <c r="U32" i="12"/>
  <c r="AC32" i="12"/>
  <c r="J9" i="12"/>
  <c r="J10" i="12" s="1"/>
  <c r="Z9" i="12"/>
  <c r="Z10" i="12" s="1"/>
  <c r="AD36" i="12"/>
  <c r="I5" i="12"/>
  <c r="Y5" i="12"/>
  <c r="AG58" i="12"/>
  <c r="AK58" i="12"/>
  <c r="AH58" i="12"/>
  <c r="D20" i="12"/>
  <c r="AO58" i="12"/>
  <c r="AH60" i="12"/>
  <c r="AL60" i="12"/>
  <c r="AP60" i="12"/>
  <c r="AI62" i="12"/>
  <c r="AM60" i="12"/>
  <c r="AA7" i="12"/>
  <c r="AA10" i="12" s="1"/>
  <c r="AK19" i="12"/>
  <c r="K7" i="12"/>
  <c r="K8" i="12" s="1"/>
  <c r="R9" i="12"/>
  <c r="R10" i="12" s="1"/>
  <c r="V4" i="12"/>
  <c r="S9" i="12"/>
  <c r="S11" i="12" s="1"/>
  <c r="AM62" i="12"/>
  <c r="G45" i="12"/>
  <c r="K45" i="12"/>
  <c r="AG32" i="12"/>
  <c r="AL7" i="12"/>
  <c r="AM25" i="12"/>
  <c r="AP58" i="12"/>
  <c r="AM84" i="12"/>
  <c r="AG88" i="12"/>
  <c r="AK88" i="12"/>
  <c r="I3" i="12"/>
  <c r="AL63" i="12"/>
  <c r="AP63" i="12"/>
  <c r="AI58" i="12"/>
  <c r="AO63" i="12"/>
  <c r="AI89" i="12"/>
  <c r="AM89" i="12"/>
  <c r="AF84" i="12"/>
  <c r="AJ84" i="12"/>
  <c r="AN84" i="12"/>
  <c r="AH89" i="12"/>
  <c r="S5" i="12"/>
  <c r="S6" i="12" s="1"/>
  <c r="D18" i="12"/>
  <c r="D19" i="12" s="1"/>
  <c r="L3" i="12"/>
  <c r="T3" i="12"/>
  <c r="H4" i="12"/>
  <c r="O21" i="12"/>
  <c r="N9" i="12"/>
  <c r="AK34" i="12"/>
  <c r="AO9" i="12"/>
  <c r="AM90" i="12"/>
  <c r="P3" i="12"/>
  <c r="X3" i="12"/>
  <c r="L4" i="12"/>
  <c r="W21" i="12"/>
  <c r="V9" i="12"/>
  <c r="M32" i="12"/>
  <c r="AO34" i="12"/>
  <c r="AL58" i="12"/>
  <c r="L7" i="12"/>
  <c r="T7" i="12"/>
  <c r="G23" i="12"/>
  <c r="O23" i="12"/>
  <c r="D22" i="12"/>
  <c r="D24" i="12" s="1"/>
  <c r="W23" i="12"/>
  <c r="D30" i="12"/>
  <c r="N32" i="12"/>
  <c r="R32" i="12"/>
  <c r="Z32" i="12"/>
  <c r="AD32" i="12"/>
  <c r="D42" i="12"/>
  <c r="E42" i="12" s="1"/>
  <c r="AG34" i="12"/>
  <c r="AF4" i="12"/>
  <c r="AN4" i="12"/>
  <c r="AO5" i="12"/>
  <c r="AJ58" i="12"/>
  <c r="AN58" i="12"/>
  <c r="AO62" i="12"/>
  <c r="C83" i="12"/>
  <c r="AG3" i="12"/>
  <c r="C16" i="12"/>
  <c r="E16" i="12" s="1"/>
  <c r="H3" i="12"/>
  <c r="E43" i="12"/>
  <c r="G51" i="12"/>
  <c r="AK32" i="12"/>
  <c r="M5" i="12"/>
  <c r="S7" i="12"/>
  <c r="N3" i="12"/>
  <c r="AA4" i="12"/>
  <c r="AA11" i="12" s="1"/>
  <c r="J19" i="12"/>
  <c r="N19" i="12"/>
  <c r="R19" i="12"/>
  <c r="V19" i="12"/>
  <c r="I21" i="12"/>
  <c r="M21" i="12"/>
  <c r="Q21" i="12"/>
  <c r="U21" i="12"/>
  <c r="Y21" i="12"/>
  <c r="D31" i="12"/>
  <c r="D32" i="12" s="1"/>
  <c r="C31" i="12"/>
  <c r="C32" i="12" s="1"/>
  <c r="Y36" i="12"/>
  <c r="I45" i="12"/>
  <c r="G47" i="12"/>
  <c r="AF3" i="12"/>
  <c r="AG4" i="12"/>
  <c r="AO4" i="12"/>
  <c r="AJ23" i="12"/>
  <c r="AN23" i="12"/>
  <c r="AI60" i="12"/>
  <c r="AI64" i="12"/>
  <c r="AH84" i="12"/>
  <c r="AL84" i="12"/>
  <c r="AP84" i="12"/>
  <c r="AM86" i="12"/>
  <c r="AG5" i="12"/>
  <c r="AG6" i="12" s="1"/>
  <c r="AG19" i="12"/>
  <c r="AF58" i="12"/>
  <c r="AF23" i="12"/>
  <c r="AH25" i="12"/>
  <c r="AL25" i="12"/>
  <c r="AL9" i="12"/>
  <c r="AL11" i="12" s="1"/>
  <c r="AL24" i="12"/>
  <c r="L19" i="12"/>
  <c r="G21" i="12"/>
  <c r="P24" i="12"/>
  <c r="J3" i="12"/>
  <c r="R3" i="12"/>
  <c r="V3" i="12"/>
  <c r="Z3" i="12"/>
  <c r="AO19" i="12"/>
  <c r="AM7" i="12"/>
  <c r="AM21" i="12"/>
  <c r="AH24" i="12"/>
  <c r="AG63" i="12"/>
  <c r="AG62" i="12"/>
  <c r="AK63" i="12"/>
  <c r="AK62" i="12"/>
  <c r="AP7" i="12"/>
  <c r="AP25" i="12"/>
  <c r="AP9" i="12"/>
  <c r="AP11" i="12" s="1"/>
  <c r="AP24" i="12"/>
  <c r="N5" i="12"/>
  <c r="O9" i="12"/>
  <c r="W9" i="12"/>
  <c r="W12" i="12" s="1"/>
  <c r="J24" i="12"/>
  <c r="N24" i="12"/>
  <c r="I19" i="12"/>
  <c r="M19" i="12"/>
  <c r="Q19" i="12"/>
  <c r="U19" i="12"/>
  <c r="Y19" i="12"/>
  <c r="H21" i="12"/>
  <c r="P21" i="12"/>
  <c r="X21" i="12"/>
  <c r="M25" i="12"/>
  <c r="Q24" i="12"/>
  <c r="U25" i="12"/>
  <c r="Y24" i="12"/>
  <c r="V38" i="12"/>
  <c r="AM38" i="12"/>
  <c r="AM4" i="12"/>
  <c r="G9" i="12"/>
  <c r="G12" i="12" s="1"/>
  <c r="M3" i="12"/>
  <c r="Q3" i="12"/>
  <c r="U3" i="12"/>
  <c r="G19" i="12"/>
  <c r="O19" i="12"/>
  <c r="W19" i="12"/>
  <c r="AA64" i="12"/>
  <c r="AE32" i="12"/>
  <c r="AI32" i="12"/>
  <c r="AM32" i="12"/>
  <c r="AE38" i="12"/>
  <c r="AI38" i="12"/>
  <c r="AG84" i="12"/>
  <c r="AK84" i="12"/>
  <c r="AO84" i="12"/>
  <c r="AH90" i="12"/>
  <c r="AL90" i="12"/>
  <c r="AL89" i="12"/>
  <c r="AP90" i="12"/>
  <c r="AP89" i="12"/>
  <c r="AH7" i="12"/>
  <c r="AM9" i="12"/>
  <c r="O5" i="12"/>
  <c r="R37" i="12"/>
  <c r="O45" i="12"/>
  <c r="H50" i="12"/>
  <c r="P49" i="12"/>
  <c r="AF32" i="12"/>
  <c r="AN32" i="12"/>
  <c r="AH34" i="12"/>
  <c r="AL34" i="12"/>
  <c r="AP34" i="12"/>
  <c r="AF38" i="12"/>
  <c r="AN38" i="12"/>
  <c r="AH19" i="12"/>
  <c r="AL19" i="12"/>
  <c r="AP19" i="12"/>
  <c r="AF21" i="12"/>
  <c r="AJ21" i="12"/>
  <c r="AN21" i="12"/>
  <c r="AM23" i="12"/>
  <c r="AG23" i="12"/>
  <c r="AH64" i="12"/>
  <c r="AL64" i="12"/>
  <c r="AP64" i="12"/>
  <c r="AH63" i="12"/>
  <c r="AM64" i="12"/>
  <c r="AM58" i="12"/>
  <c r="AI88" i="12"/>
  <c r="AM88" i="12"/>
  <c r="AH5" i="12"/>
  <c r="AL5" i="12"/>
  <c r="AL6" i="12" s="1"/>
  <c r="AP5" i="12"/>
  <c r="AP6" i="12" s="1"/>
  <c r="AF9" i="12"/>
  <c r="AN9" i="12"/>
  <c r="I34" i="12"/>
  <c r="M34" i="12"/>
  <c r="Y34" i="12"/>
  <c r="AC34" i="12"/>
  <c r="K9" i="12"/>
  <c r="K12" i="12" s="1"/>
  <c r="J45" i="12"/>
  <c r="H45" i="12"/>
  <c r="L45" i="12"/>
  <c r="I47" i="12"/>
  <c r="AA63" i="12"/>
  <c r="AO32" i="12"/>
  <c r="AE34" i="12"/>
  <c r="AI34" i="12"/>
  <c r="AM34" i="12"/>
  <c r="AG36" i="12"/>
  <c r="AK36" i="12"/>
  <c r="AO37" i="12"/>
  <c r="AG21" i="12"/>
  <c r="AK21" i="12"/>
  <c r="AO21" i="12"/>
  <c r="AK23" i="12"/>
  <c r="AE3" i="12"/>
  <c r="AG86" i="12"/>
  <c r="AK86" i="12"/>
  <c r="AO86" i="12"/>
  <c r="AF88" i="12"/>
  <c r="AJ88" i="12"/>
  <c r="AN88" i="12"/>
  <c r="AM5" i="12"/>
  <c r="AF7" i="12"/>
  <c r="AN7" i="12"/>
  <c r="J32" i="12"/>
  <c r="V32" i="12"/>
  <c r="C30" i="12"/>
  <c r="N34" i="12"/>
  <c r="R34" i="12"/>
  <c r="V34" i="12"/>
  <c r="Z34" i="12"/>
  <c r="AD34" i="12"/>
  <c r="M45" i="12"/>
  <c r="J47" i="12"/>
  <c r="N47" i="12"/>
  <c r="J49" i="12"/>
  <c r="R49" i="12"/>
  <c r="AH32" i="12"/>
  <c r="AL32" i="12"/>
  <c r="AP32" i="12"/>
  <c r="AF34" i="12"/>
  <c r="AN34" i="12"/>
  <c r="AH38" i="12"/>
  <c r="AL38" i="12"/>
  <c r="AP38" i="12"/>
  <c r="AF19" i="12"/>
  <c r="AJ19" i="12"/>
  <c r="AN19" i="12"/>
  <c r="AH21" i="12"/>
  <c r="AL21" i="12"/>
  <c r="AP21" i="12"/>
  <c r="AG24" i="12"/>
  <c r="AK24" i="12"/>
  <c r="AO24" i="12"/>
  <c r="AO23" i="12"/>
  <c r="AI63" i="12"/>
  <c r="AM63" i="12"/>
  <c r="AG60" i="12"/>
  <c r="AK60" i="12"/>
  <c r="AO60" i="12"/>
  <c r="AF62" i="12"/>
  <c r="AJ62" i="12"/>
  <c r="AN62" i="12"/>
  <c r="AH86" i="12"/>
  <c r="AL86" i="12"/>
  <c r="AP86" i="12"/>
  <c r="AG89" i="12"/>
  <c r="AK89" i="12"/>
  <c r="AO89" i="12"/>
  <c r="AO88" i="12"/>
  <c r="AF5" i="12"/>
  <c r="AN5" i="12"/>
  <c r="AG7" i="12"/>
  <c r="AG8" i="12" s="1"/>
  <c r="AO7" i="12"/>
  <c r="AF89" i="12"/>
  <c r="AJ89" i="12"/>
  <c r="AN89" i="12"/>
  <c r="AG90" i="12"/>
  <c r="AK90" i="12"/>
  <c r="AO90" i="12"/>
  <c r="AF86" i="12"/>
  <c r="AJ86" i="12"/>
  <c r="AN86" i="12"/>
  <c r="AH88" i="12"/>
  <c r="AL88" i="12"/>
  <c r="AP88" i="12"/>
  <c r="AF90" i="12"/>
  <c r="AJ90" i="12"/>
  <c r="AN90" i="12"/>
  <c r="B90" i="12"/>
  <c r="B89" i="12"/>
  <c r="B86" i="12"/>
  <c r="AJ60" i="12"/>
  <c r="AN60" i="12"/>
  <c r="AL62" i="12"/>
  <c r="AF64" i="12"/>
  <c r="AN64" i="12"/>
  <c r="AF63" i="12"/>
  <c r="AJ63" i="12"/>
  <c r="AN63" i="12"/>
  <c r="AG64" i="12"/>
  <c r="AK64" i="12"/>
  <c r="AO64" i="12"/>
  <c r="AF60" i="12"/>
  <c r="AH62" i="12"/>
  <c r="AP62" i="12"/>
  <c r="AJ64" i="12"/>
  <c r="AH23" i="12"/>
  <c r="AL23" i="12"/>
  <c r="AP23" i="12"/>
  <c r="AM24" i="12"/>
  <c r="AF25" i="12"/>
  <c r="AJ25" i="12"/>
  <c r="AN25" i="12"/>
  <c r="AF24" i="12"/>
  <c r="AJ24" i="12"/>
  <c r="AN24" i="12"/>
  <c r="AG25" i="12"/>
  <c r="AK25" i="12"/>
  <c r="AO25" i="12"/>
  <c r="I23" i="12"/>
  <c r="I25" i="12"/>
  <c r="H38" i="12"/>
  <c r="P38" i="12"/>
  <c r="X49" i="12"/>
  <c r="X51" i="12"/>
  <c r="AO36" i="12"/>
  <c r="AG38" i="12"/>
  <c r="N4" i="12"/>
  <c r="J5" i="12"/>
  <c r="J8" i="12" s="1"/>
  <c r="U5" i="12"/>
  <c r="Z5" i="12"/>
  <c r="N7" i="12"/>
  <c r="V7" i="12"/>
  <c r="K19" i="12"/>
  <c r="S19" i="12"/>
  <c r="AA19" i="12"/>
  <c r="B21" i="12"/>
  <c r="J21" i="12"/>
  <c r="N21" i="12"/>
  <c r="R21" i="12"/>
  <c r="V21" i="12"/>
  <c r="Z21" i="12"/>
  <c r="J23" i="12"/>
  <c r="N25" i="12"/>
  <c r="R24" i="12"/>
  <c r="V25" i="12"/>
  <c r="I24" i="12"/>
  <c r="V24" i="12"/>
  <c r="J25" i="12"/>
  <c r="Z25" i="12"/>
  <c r="I32" i="12"/>
  <c r="Q32" i="12"/>
  <c r="Y32" i="12"/>
  <c r="H34" i="12"/>
  <c r="L34" i="12"/>
  <c r="P34" i="12"/>
  <c r="T34" i="12"/>
  <c r="X34" i="12"/>
  <c r="AB34" i="12"/>
  <c r="I36" i="12"/>
  <c r="M37" i="12"/>
  <c r="Q36" i="12"/>
  <c r="U37" i="12"/>
  <c r="AC37" i="12"/>
  <c r="C46" i="12"/>
  <c r="C47" i="12" s="1"/>
  <c r="O47" i="12"/>
  <c r="I50" i="12"/>
  <c r="M50" i="12"/>
  <c r="AG37" i="12"/>
  <c r="AK38" i="12"/>
  <c r="L38" i="12"/>
  <c r="H49" i="12"/>
  <c r="H51" i="12"/>
  <c r="L49" i="12"/>
  <c r="L51" i="12"/>
  <c r="L50" i="12"/>
  <c r="T49" i="12"/>
  <c r="T50" i="12"/>
  <c r="T51" i="12"/>
  <c r="P51" i="12"/>
  <c r="J4" i="12"/>
  <c r="O4" i="12"/>
  <c r="Q5" i="12"/>
  <c r="V5" i="12"/>
  <c r="G7" i="12"/>
  <c r="G8" i="12" s="1"/>
  <c r="O7" i="12"/>
  <c r="W7" i="12"/>
  <c r="W8" i="12" s="1"/>
  <c r="M24" i="12"/>
  <c r="H5" i="12"/>
  <c r="P5" i="12"/>
  <c r="P6" i="12" s="1"/>
  <c r="X5" i="12"/>
  <c r="X6" i="12" s="1"/>
  <c r="K21" i="12"/>
  <c r="S21" i="12"/>
  <c r="AA21" i="12"/>
  <c r="Q25" i="12"/>
  <c r="I4" i="12"/>
  <c r="M4" i="12"/>
  <c r="Q4" i="12"/>
  <c r="Y4" i="12"/>
  <c r="B34" i="12"/>
  <c r="Q7" i="12"/>
  <c r="B38" i="12"/>
  <c r="J38" i="12"/>
  <c r="J37" i="12"/>
  <c r="N37" i="12"/>
  <c r="N38" i="12"/>
  <c r="N36" i="12"/>
  <c r="R38" i="12"/>
  <c r="V37" i="12"/>
  <c r="Z38" i="12"/>
  <c r="AD37" i="12"/>
  <c r="AD38" i="12"/>
  <c r="Z37" i="12"/>
  <c r="K47" i="12"/>
  <c r="P50" i="12"/>
  <c r="AK37" i="12"/>
  <c r="AO38" i="12"/>
  <c r="U24" i="12"/>
  <c r="Y25" i="12"/>
  <c r="R5" i="12"/>
  <c r="W6" i="12"/>
  <c r="R25" i="12"/>
  <c r="G32" i="12"/>
  <c r="K32" i="12"/>
  <c r="O32" i="12"/>
  <c r="S32" i="12"/>
  <c r="W32" i="12"/>
  <c r="AA32" i="12"/>
  <c r="D33" i="12"/>
  <c r="G38" i="12"/>
  <c r="K38" i="12"/>
  <c r="O38" i="12"/>
  <c r="H47" i="12"/>
  <c r="D46" i="12"/>
  <c r="L47" i="12"/>
  <c r="X50" i="12"/>
  <c r="Z64" i="12"/>
  <c r="S38" i="12"/>
  <c r="W38" i="12"/>
  <c r="AA38" i="12"/>
  <c r="I49" i="12"/>
  <c r="Q50" i="12"/>
  <c r="AA60" i="12"/>
  <c r="AH36" i="12"/>
  <c r="AL36" i="12"/>
  <c r="AP36" i="12"/>
  <c r="AH37" i="12"/>
  <c r="AL37" i="12"/>
  <c r="AP37" i="12"/>
  <c r="T38" i="12"/>
  <c r="X38" i="12"/>
  <c r="AB38" i="12"/>
  <c r="D44" i="12"/>
  <c r="E44" i="12" s="1"/>
  <c r="N45" i="12"/>
  <c r="AE36" i="12"/>
  <c r="AI36" i="12"/>
  <c r="AM36" i="12"/>
  <c r="AE37" i="12"/>
  <c r="AI37" i="12"/>
  <c r="AM37" i="12"/>
  <c r="U50" i="12"/>
  <c r="AF36" i="12"/>
  <c r="AN36" i="12"/>
  <c r="AF37" i="12"/>
  <c r="AN37" i="12"/>
  <c r="B8" i="12"/>
  <c r="G6" i="12"/>
  <c r="K6" i="12"/>
  <c r="T19" i="12"/>
  <c r="L21" i="12"/>
  <c r="T21" i="12"/>
  <c r="H25" i="12"/>
  <c r="H24" i="12"/>
  <c r="L25" i="12"/>
  <c r="L24" i="12"/>
  <c r="T25" i="12"/>
  <c r="T24" i="12"/>
  <c r="X25" i="12"/>
  <c r="X24" i="12"/>
  <c r="T23" i="12"/>
  <c r="L5" i="12"/>
  <c r="T5" i="12"/>
  <c r="T6" i="12" s="1"/>
  <c r="H7" i="12"/>
  <c r="P7" i="12"/>
  <c r="X7" i="12"/>
  <c r="C33" i="12"/>
  <c r="U34" i="12"/>
  <c r="Q34" i="12"/>
  <c r="I37" i="12"/>
  <c r="M38" i="12"/>
  <c r="M36" i="12"/>
  <c r="Y37" i="12"/>
  <c r="I7" i="12"/>
  <c r="M7" i="12"/>
  <c r="U7" i="12"/>
  <c r="Y7" i="12"/>
  <c r="H9" i="12"/>
  <c r="L9" i="12"/>
  <c r="P9" i="12"/>
  <c r="T9" i="12"/>
  <c r="X9" i="12"/>
  <c r="H19" i="12"/>
  <c r="P19" i="12"/>
  <c r="X19" i="12"/>
  <c r="H23" i="12"/>
  <c r="P23" i="12"/>
  <c r="X23" i="12"/>
  <c r="D35" i="12"/>
  <c r="I38" i="12"/>
  <c r="Y38" i="12"/>
  <c r="P25" i="12"/>
  <c r="L23" i="12"/>
  <c r="Q37" i="12"/>
  <c r="C35" i="12"/>
  <c r="U38" i="12"/>
  <c r="U36" i="12"/>
  <c r="AC38" i="12"/>
  <c r="AC36" i="12"/>
  <c r="U4" i="12"/>
  <c r="D4" i="12" s="1"/>
  <c r="I9" i="12"/>
  <c r="M9" i="12"/>
  <c r="Q9" i="12"/>
  <c r="U9" i="12"/>
  <c r="Y9" i="12"/>
  <c r="G25" i="12"/>
  <c r="G24" i="12"/>
  <c r="K25" i="12"/>
  <c r="K24" i="12"/>
  <c r="O25" i="12"/>
  <c r="O24" i="12"/>
  <c r="S25" i="12"/>
  <c r="S24" i="12"/>
  <c r="W25" i="12"/>
  <c r="W24" i="12"/>
  <c r="AA25" i="12"/>
  <c r="AA24" i="12"/>
  <c r="K23" i="12"/>
  <c r="S23" i="12"/>
  <c r="AA23" i="12"/>
  <c r="V36" i="12"/>
  <c r="M47" i="12"/>
  <c r="M49" i="12"/>
  <c r="U47" i="12"/>
  <c r="U49" i="12"/>
  <c r="G50" i="12"/>
  <c r="D48" i="12"/>
  <c r="G49" i="12"/>
  <c r="K50" i="12"/>
  <c r="K49" i="12"/>
  <c r="K51" i="12"/>
  <c r="O50" i="12"/>
  <c r="O49" i="12"/>
  <c r="S50" i="12"/>
  <c r="S49" i="12"/>
  <c r="C48" i="12"/>
  <c r="S51" i="12"/>
  <c r="W50" i="12"/>
  <c r="W49" i="12"/>
  <c r="Q49" i="12"/>
  <c r="O51" i="12"/>
  <c r="M23" i="12"/>
  <c r="Q23" i="12"/>
  <c r="U23" i="12"/>
  <c r="Y23" i="12"/>
  <c r="H32" i="12"/>
  <c r="L32" i="12"/>
  <c r="P32" i="12"/>
  <c r="T32" i="12"/>
  <c r="X32" i="12"/>
  <c r="AB32" i="12"/>
  <c r="J36" i="12"/>
  <c r="R36" i="12"/>
  <c r="Z36" i="12"/>
  <c r="I51" i="12"/>
  <c r="M51" i="12"/>
  <c r="AA58" i="12"/>
  <c r="AA62" i="12"/>
  <c r="N23" i="12"/>
  <c r="R23" i="12"/>
  <c r="V23" i="12"/>
  <c r="Z23" i="12"/>
  <c r="J51" i="12"/>
  <c r="J50" i="12"/>
  <c r="N51" i="12"/>
  <c r="N50" i="12"/>
  <c r="R51" i="12"/>
  <c r="R50" i="12"/>
  <c r="V51" i="12"/>
  <c r="V50" i="12"/>
  <c r="N49" i="12"/>
  <c r="V49" i="12"/>
  <c r="Z60" i="12"/>
  <c r="B62" i="12"/>
  <c r="B63" i="12"/>
  <c r="Z62" i="12"/>
  <c r="B36" i="12"/>
  <c r="G36" i="12"/>
  <c r="K36" i="12"/>
  <c r="O36" i="12"/>
  <c r="S36" i="12"/>
  <c r="W36" i="12"/>
  <c r="AA36" i="12"/>
  <c r="B37" i="12"/>
  <c r="G37" i="12"/>
  <c r="K37" i="12"/>
  <c r="O37" i="12"/>
  <c r="S37" i="12"/>
  <c r="W37" i="12"/>
  <c r="AA37" i="12"/>
  <c r="H36" i="12"/>
  <c r="L36" i="12"/>
  <c r="P36" i="12"/>
  <c r="T36" i="12"/>
  <c r="X36" i="12"/>
  <c r="AB36" i="12"/>
  <c r="H37" i="12"/>
  <c r="L37" i="12"/>
  <c r="P37" i="12"/>
  <c r="T37" i="12"/>
  <c r="X37" i="12"/>
  <c r="AB37" i="12"/>
  <c r="D3" i="12" l="1"/>
  <c r="AM12" i="12"/>
  <c r="Y8" i="12"/>
  <c r="W11" i="12"/>
  <c r="S8" i="12"/>
  <c r="AG11" i="12"/>
  <c r="I8" i="12"/>
  <c r="Y6" i="12"/>
  <c r="O11" i="12"/>
  <c r="J11" i="12"/>
  <c r="R6" i="12"/>
  <c r="AO11" i="12"/>
  <c r="I6" i="12"/>
  <c r="AF6" i="12"/>
  <c r="Z12" i="12"/>
  <c r="H6" i="12"/>
  <c r="AM11" i="12"/>
  <c r="S10" i="12"/>
  <c r="N12" i="12"/>
  <c r="E32" i="12"/>
  <c r="AA8" i="12"/>
  <c r="E30" i="12"/>
  <c r="AF11" i="12"/>
  <c r="AM10" i="12"/>
  <c r="V11" i="12"/>
  <c r="L6" i="12"/>
  <c r="V6" i="12"/>
  <c r="AO10" i="12"/>
  <c r="K10" i="12"/>
  <c r="D34" i="12"/>
  <c r="O12" i="12"/>
  <c r="AL8" i="12"/>
  <c r="AP10" i="12"/>
  <c r="AN11" i="12"/>
  <c r="R11" i="12"/>
  <c r="E31" i="12"/>
  <c r="Z8" i="12"/>
  <c r="D9" i="12"/>
  <c r="D11" i="12" s="1"/>
  <c r="AN6" i="12"/>
  <c r="M6" i="12"/>
  <c r="M8" i="12"/>
  <c r="AA6" i="12"/>
  <c r="AH6" i="12"/>
  <c r="D7" i="12"/>
  <c r="AO6" i="12"/>
  <c r="D5" i="12"/>
  <c r="D6" i="12" s="1"/>
  <c r="AG12" i="12"/>
  <c r="AM6" i="12"/>
  <c r="S12" i="12"/>
  <c r="N8" i="12"/>
  <c r="N6" i="12"/>
  <c r="AO8" i="12"/>
  <c r="X8" i="12"/>
  <c r="V10" i="12"/>
  <c r="AG10" i="12"/>
  <c r="AO12" i="12"/>
  <c r="AN12" i="12"/>
  <c r="AL10" i="12"/>
  <c r="AN8" i="12"/>
  <c r="AH12" i="12"/>
  <c r="N11" i="12"/>
  <c r="K11" i="12"/>
  <c r="AF12" i="12"/>
  <c r="AN10" i="12"/>
  <c r="AP8" i="12"/>
  <c r="G11" i="12"/>
  <c r="O8" i="12"/>
  <c r="AH10" i="12"/>
  <c r="AF8" i="12"/>
  <c r="AH8" i="12"/>
  <c r="AP12" i="12"/>
  <c r="AM8" i="12"/>
  <c r="AL12" i="12"/>
  <c r="AH11" i="12"/>
  <c r="AF10" i="12"/>
  <c r="D47" i="12"/>
  <c r="E47" i="12" s="1"/>
  <c r="J12" i="12"/>
  <c r="N10" i="12"/>
  <c r="O10" i="12"/>
  <c r="Q6" i="12"/>
  <c r="U6" i="12"/>
  <c r="P8" i="12"/>
  <c r="U8" i="12"/>
  <c r="W10" i="12"/>
  <c r="H8" i="12"/>
  <c r="V12" i="12"/>
  <c r="Q8" i="12"/>
  <c r="E46" i="12"/>
  <c r="D45" i="12"/>
  <c r="E45" i="12" s="1"/>
  <c r="O6" i="12"/>
  <c r="R12" i="12"/>
  <c r="G10" i="12"/>
  <c r="L8" i="12"/>
  <c r="R8" i="12"/>
  <c r="V8" i="12"/>
  <c r="J6" i="12"/>
  <c r="D25" i="12"/>
  <c r="D23" i="12"/>
  <c r="C38" i="12"/>
  <c r="C37" i="12"/>
  <c r="C36" i="12"/>
  <c r="E35" i="12"/>
  <c r="H12" i="12"/>
  <c r="H11" i="12"/>
  <c r="H10" i="12"/>
  <c r="D51" i="12"/>
  <c r="D49" i="12"/>
  <c r="D50" i="12"/>
  <c r="M11" i="12"/>
  <c r="M10" i="12"/>
  <c r="M12" i="12"/>
  <c r="D38" i="12"/>
  <c r="D36" i="12"/>
  <c r="D37" i="12"/>
  <c r="T12" i="12"/>
  <c r="T11" i="12"/>
  <c r="T10" i="12"/>
  <c r="Y12" i="12"/>
  <c r="Y10" i="12"/>
  <c r="Y11" i="12"/>
  <c r="I12" i="12"/>
  <c r="I11" i="12"/>
  <c r="I10" i="12"/>
  <c r="P11" i="12"/>
  <c r="P10" i="12"/>
  <c r="P12" i="12"/>
  <c r="C49" i="12"/>
  <c r="C51" i="12"/>
  <c r="E48" i="12"/>
  <c r="C50" i="12"/>
  <c r="Q11" i="12"/>
  <c r="Q10" i="12"/>
  <c r="Q12" i="12"/>
  <c r="X12" i="12"/>
  <c r="X10" i="12"/>
  <c r="X11" i="12"/>
  <c r="D21" i="12"/>
  <c r="U11" i="12"/>
  <c r="U10" i="12"/>
  <c r="U12" i="12"/>
  <c r="L11" i="12"/>
  <c r="L10" i="12"/>
  <c r="L12" i="12"/>
  <c r="C34" i="12"/>
  <c r="E33" i="12"/>
  <c r="T8" i="12"/>
  <c r="D8" i="12" l="1"/>
  <c r="E34" i="12"/>
  <c r="E50" i="12"/>
  <c r="E51" i="12"/>
  <c r="E38" i="12"/>
  <c r="E49" i="12"/>
  <c r="E36" i="12"/>
  <c r="D10" i="12"/>
  <c r="D12" i="12"/>
  <c r="E37" i="12"/>
  <c r="S53" i="6" l="1"/>
  <c r="T53" i="6"/>
  <c r="U53" i="6"/>
  <c r="V53" i="6"/>
  <c r="W53" i="6"/>
  <c r="X53" i="6"/>
  <c r="Y53" i="6"/>
  <c r="Z53" i="6"/>
  <c r="AA53" i="6"/>
  <c r="AB53" i="6"/>
  <c r="AC53" i="6"/>
  <c r="AD53" i="6"/>
  <c r="S47" i="6"/>
  <c r="T47" i="6"/>
  <c r="U47" i="6"/>
  <c r="V47" i="6"/>
  <c r="W47" i="6"/>
  <c r="X47" i="6"/>
  <c r="Y47" i="6"/>
  <c r="Z47" i="6"/>
  <c r="Z49" i="6" s="1"/>
  <c r="AA47" i="6"/>
  <c r="AA49" i="6" s="1"/>
  <c r="AB47" i="6"/>
  <c r="AB49" i="6" s="1"/>
  <c r="AC47" i="6"/>
  <c r="AC49" i="6" s="1"/>
  <c r="AD47" i="6"/>
  <c r="AD49" i="6" s="1"/>
  <c r="AD54" i="6" l="1"/>
  <c r="AC54" i="6"/>
  <c r="AB54" i="6"/>
  <c r="AA54" i="6"/>
  <c r="AA55" i="6" s="1"/>
  <c r="Z54" i="6"/>
  <c r="Y54" i="6"/>
  <c r="X54" i="6"/>
  <c r="X55" i="6" s="1"/>
  <c r="W54" i="6"/>
  <c r="V54" i="6"/>
  <c r="U54" i="6"/>
  <c r="T54" i="6"/>
  <c r="T55" i="6" s="1"/>
  <c r="AD48" i="6"/>
  <c r="AC48" i="6"/>
  <c r="AB48" i="6"/>
  <c r="AA48" i="6"/>
  <c r="Z48" i="6"/>
  <c r="Y48" i="6"/>
  <c r="Y49" i="6" s="1"/>
  <c r="X48" i="6"/>
  <c r="W48" i="6"/>
  <c r="V48" i="6"/>
  <c r="U48" i="6"/>
  <c r="T48" i="6"/>
  <c r="V55" i="6"/>
  <c r="Y55" i="6"/>
  <c r="AY174" i="8"/>
  <c r="AX174" i="8"/>
  <c r="AW174" i="8"/>
  <c r="AV174" i="8"/>
  <c r="AU174" i="8"/>
  <c r="AT174" i="8"/>
  <c r="AS174" i="8"/>
  <c r="AR174" i="8"/>
  <c r="AQ174" i="8"/>
  <c r="AP174" i="8"/>
  <c r="AO174" i="8"/>
  <c r="AY173" i="8"/>
  <c r="AX173" i="8"/>
  <c r="AW173" i="8"/>
  <c r="AV173" i="8"/>
  <c r="AU173" i="8"/>
  <c r="AT173" i="8"/>
  <c r="AS173" i="8"/>
  <c r="AR173" i="8"/>
  <c r="AQ173" i="8"/>
  <c r="AP173" i="8"/>
  <c r="AO173" i="8"/>
  <c r="AY172" i="8"/>
  <c r="AX172" i="8"/>
  <c r="AW172" i="8"/>
  <c r="AV172" i="8"/>
  <c r="AU172" i="8"/>
  <c r="AT172" i="8"/>
  <c r="AS172" i="8"/>
  <c r="AR172" i="8"/>
  <c r="AQ172" i="8"/>
  <c r="AP172" i="8"/>
  <c r="AO172" i="8"/>
  <c r="AY171" i="8"/>
  <c r="AX171" i="8"/>
  <c r="AW171" i="8"/>
  <c r="AV171" i="8"/>
  <c r="AU171" i="8"/>
  <c r="AT171" i="8"/>
  <c r="AS171" i="8"/>
  <c r="AR171" i="8"/>
  <c r="AQ171" i="8"/>
  <c r="AP171" i="8"/>
  <c r="AO171" i="8"/>
  <c r="AY170" i="8"/>
  <c r="AX170" i="8"/>
  <c r="AW170" i="8"/>
  <c r="AV170" i="8"/>
  <c r="AU170" i="8"/>
  <c r="AS170" i="8"/>
  <c r="AR170" i="8"/>
  <c r="AQ170" i="8"/>
  <c r="AP170" i="8"/>
  <c r="AO170" i="8"/>
  <c r="AY169" i="8"/>
  <c r="AX169" i="8"/>
  <c r="AW169" i="8"/>
  <c r="AV169" i="8"/>
  <c r="AU169" i="8"/>
  <c r="AT169" i="8"/>
  <c r="AS169" i="8"/>
  <c r="AR169" i="8"/>
  <c r="AQ169" i="8"/>
  <c r="AP169" i="8"/>
  <c r="AO169" i="8"/>
  <c r="BD148" i="8"/>
  <c r="BC148" i="8"/>
  <c r="BB148" i="8"/>
  <c r="BA148" i="8"/>
  <c r="AZ148" i="8"/>
  <c r="BD147" i="8"/>
  <c r="BC147" i="8"/>
  <c r="BB147" i="8"/>
  <c r="BD144" i="8"/>
  <c r="BC144" i="8"/>
  <c r="BB144" i="8"/>
  <c r="BD143" i="8"/>
  <c r="BC143" i="8"/>
  <c r="BB143" i="8"/>
  <c r="BD142" i="8"/>
  <c r="BC142" i="8"/>
  <c r="BB142" i="8"/>
  <c r="BD141" i="8"/>
  <c r="BC141" i="8"/>
  <c r="BB141" i="8"/>
  <c r="BD140" i="8"/>
  <c r="BC140" i="8"/>
  <c r="BB140" i="8"/>
  <c r="BD139" i="8"/>
  <c r="BC139" i="8"/>
  <c r="BB139" i="8"/>
  <c r="BD138" i="8"/>
  <c r="BC138" i="8"/>
  <c r="BB138" i="8"/>
  <c r="BA138" i="8"/>
  <c r="AZ138" i="8"/>
  <c r="BD137" i="8"/>
  <c r="BC137" i="8"/>
  <c r="BB137" i="8"/>
  <c r="BA137" i="8"/>
  <c r="AZ137" i="8"/>
  <c r="AN131" i="8"/>
  <c r="BD88" i="8"/>
  <c r="BC88" i="8"/>
  <c r="BB88" i="8"/>
  <c r="BA88" i="8"/>
  <c r="AZ88" i="8"/>
  <c r="BD86" i="8"/>
  <c r="BC86" i="8"/>
  <c r="BB86" i="8"/>
  <c r="BA86" i="8"/>
  <c r="AZ86" i="8"/>
  <c r="AZ95" i="8" s="1"/>
  <c r="BD85" i="8"/>
  <c r="BC85" i="8"/>
  <c r="BB85" i="8"/>
  <c r="BD84" i="8"/>
  <c r="BC84" i="8"/>
  <c r="BB84" i="8"/>
  <c r="BD83" i="8"/>
  <c r="BC83" i="8"/>
  <c r="BB83" i="8"/>
  <c r="BA83" i="8"/>
  <c r="AZ83" i="8"/>
  <c r="BA77" i="8"/>
  <c r="BA74" i="8"/>
  <c r="BA56" i="8"/>
  <c r="AZ56" i="8"/>
  <c r="BA47" i="8"/>
  <c r="AZ47" i="8"/>
  <c r="AN208" i="8"/>
  <c r="AN209" i="8"/>
  <c r="AN210" i="8"/>
  <c r="AN196" i="8"/>
  <c r="AN197" i="8"/>
  <c r="AN198" i="8"/>
  <c r="AN188" i="8"/>
  <c r="AN189" i="8"/>
  <c r="AN190" i="8"/>
  <c r="AN216" i="8"/>
  <c r="AN215" i="8" s="1"/>
  <c r="Y210" i="8"/>
  <c r="X210" i="8"/>
  <c r="W210" i="8"/>
  <c r="Y209" i="8"/>
  <c r="X209" i="8"/>
  <c r="W209" i="8"/>
  <c r="Y208" i="8"/>
  <c r="X208" i="8"/>
  <c r="W208" i="8"/>
  <c r="V207" i="8"/>
  <c r="BB89" i="8" l="1"/>
  <c r="AN187" i="8"/>
  <c r="X207" i="8"/>
  <c r="Y207" i="8"/>
  <c r="AN221" i="8"/>
  <c r="AN222" i="8"/>
  <c r="W207" i="8"/>
  <c r="AN207" i="8"/>
  <c r="AN220" i="8"/>
  <c r="W55" i="6"/>
  <c r="U55" i="6"/>
  <c r="U49" i="6"/>
  <c r="AB55" i="6"/>
  <c r="V49" i="6"/>
  <c r="AC55" i="6"/>
  <c r="X49" i="6"/>
  <c r="W49" i="6"/>
  <c r="AD55" i="6"/>
  <c r="T49" i="6"/>
  <c r="Z55" i="6"/>
  <c r="AN195" i="8"/>
  <c r="AN141" i="8"/>
  <c r="AN142" i="8"/>
  <c r="AN147" i="8"/>
  <c r="AN179" i="8" s="1"/>
  <c r="AN143" i="8"/>
  <c r="AN144" i="8"/>
  <c r="AN139" i="8"/>
  <c r="AN140" i="8"/>
  <c r="Y143" i="8"/>
  <c r="Y144" i="8"/>
  <c r="AN223" i="8" l="1"/>
  <c r="AN226" i="8" s="1"/>
  <c r="AZ143" i="8"/>
  <c r="BA143" i="8"/>
  <c r="BA140" i="8"/>
  <c r="AZ140" i="8"/>
  <c r="BA147" i="8"/>
  <c r="AZ147" i="8"/>
  <c r="AZ144" i="8"/>
  <c r="BA144" i="8"/>
  <c r="BA141" i="8"/>
  <c r="AZ141" i="8"/>
  <c r="AZ139" i="8"/>
  <c r="BA139" i="8"/>
  <c r="BA142" i="8"/>
  <c r="AZ142" i="8"/>
  <c r="X144" i="8"/>
  <c r="W144" i="8"/>
  <c r="X143" i="8"/>
  <c r="W143" i="8"/>
  <c r="AN160" i="8"/>
  <c r="AN175" i="8" s="1"/>
  <c r="AN161" i="8"/>
  <c r="AN176" i="8" s="1"/>
  <c r="BD161" i="8"/>
  <c r="BD176" i="8" s="1"/>
  <c r="BC161" i="8"/>
  <c r="BC176" i="8" s="1"/>
  <c r="BB161" i="8"/>
  <c r="BB176" i="8" s="1"/>
  <c r="BA161" i="8"/>
  <c r="AZ161" i="8"/>
  <c r="AI161" i="8"/>
  <c r="AH161" i="8"/>
  <c r="AG161" i="8"/>
  <c r="AF161" i="8"/>
  <c r="AE161" i="8"/>
  <c r="AB161" i="8"/>
  <c r="AA161" i="8"/>
  <c r="Y161" i="8"/>
  <c r="AD161" i="8" s="1"/>
  <c r="X161" i="8"/>
  <c r="W161" i="8"/>
  <c r="V161" i="8"/>
  <c r="V176" i="8" s="1"/>
  <c r="BD160" i="8"/>
  <c r="BD175" i="8" s="1"/>
  <c r="BC160" i="8"/>
  <c r="BC175" i="8" s="1"/>
  <c r="BB160" i="8"/>
  <c r="BB175" i="8" s="1"/>
  <c r="BA160" i="8"/>
  <c r="AZ160" i="8"/>
  <c r="AI160" i="8"/>
  <c r="AH160" i="8"/>
  <c r="AG160" i="8"/>
  <c r="AF160" i="8"/>
  <c r="AE160" i="8"/>
  <c r="AB160" i="8"/>
  <c r="AA160" i="8"/>
  <c r="Z160" i="8"/>
  <c r="Y160" i="8"/>
  <c r="AD160" i="8" s="1"/>
  <c r="X160" i="8"/>
  <c r="W160" i="8"/>
  <c r="V160" i="8"/>
  <c r="V175" i="8" s="1"/>
  <c r="AN156" i="8"/>
  <c r="AN157" i="8"/>
  <c r="AN182" i="8" s="1"/>
  <c r="AN181" i="8" l="1"/>
  <c r="X175" i="8"/>
  <c r="AZ175" i="8"/>
  <c r="W176" i="8"/>
  <c r="BA176" i="8"/>
  <c r="Y175" i="8"/>
  <c r="X176" i="8"/>
  <c r="AZ176" i="8"/>
  <c r="W175" i="8"/>
  <c r="BA175" i="8"/>
  <c r="Y176" i="8"/>
  <c r="AC160" i="8"/>
  <c r="AC161" i="8"/>
  <c r="AN225" i="8"/>
  <c r="AN227" i="8"/>
  <c r="Z161" i="8"/>
  <c r="AN85" i="8"/>
  <c r="AN79" i="8"/>
  <c r="AN84" i="8"/>
  <c r="AN75" i="8"/>
  <c r="AN76" i="8"/>
  <c r="AE18" i="12" l="1"/>
  <c r="C18" i="12" s="1"/>
  <c r="AZ84" i="8"/>
  <c r="AZ93" i="8" s="1"/>
  <c r="BA84" i="8"/>
  <c r="AE56" i="12"/>
  <c r="C56" i="12" s="1"/>
  <c r="BA76" i="8"/>
  <c r="AE57" i="12"/>
  <c r="C57" i="12" s="1"/>
  <c r="AZ85" i="8"/>
  <c r="AZ94" i="8" s="1"/>
  <c r="BA85" i="8"/>
  <c r="AE82" i="12"/>
  <c r="BA79" i="8"/>
  <c r="AZ97" i="8"/>
  <c r="AE17" i="12"/>
  <c r="BA75" i="8"/>
  <c r="AN80" i="8"/>
  <c r="C58" i="12" l="1"/>
  <c r="C82" i="12"/>
  <c r="C84" i="12"/>
  <c r="AE4" i="12"/>
  <c r="C17" i="12"/>
  <c r="E17" i="12" s="1"/>
  <c r="C19" i="12"/>
  <c r="E19" i="12" s="1"/>
  <c r="E18" i="12"/>
  <c r="AE58" i="12"/>
  <c r="AE84" i="12"/>
  <c r="AE5" i="12"/>
  <c r="AE19" i="12"/>
  <c r="BD131" i="8"/>
  <c r="BC131" i="8"/>
  <c r="BB131" i="8"/>
  <c r="AZ131" i="8"/>
  <c r="BA131" i="8" s="1"/>
  <c r="AI131" i="8"/>
  <c r="AH131" i="8"/>
  <c r="AG131" i="8"/>
  <c r="AF131" i="8"/>
  <c r="AE131" i="8"/>
  <c r="AD131" i="8"/>
  <c r="AC131" i="8"/>
  <c r="AB131" i="8"/>
  <c r="AA131" i="8"/>
  <c r="Z131" i="8"/>
  <c r="BD122" i="8"/>
  <c r="BC122" i="8"/>
  <c r="BB122" i="8"/>
  <c r="AY122" i="8"/>
  <c r="AX122" i="8"/>
  <c r="AW122" i="8"/>
  <c r="AV122" i="8"/>
  <c r="AU122" i="8"/>
  <c r="AT122" i="8"/>
  <c r="AS122" i="8"/>
  <c r="AR122" i="8"/>
  <c r="AQ122" i="8"/>
  <c r="AP122" i="8"/>
  <c r="AO122" i="8"/>
  <c r="AI122" i="8"/>
  <c r="AH122" i="8"/>
  <c r="AG122" i="8"/>
  <c r="AF122" i="8"/>
  <c r="AC122" i="8"/>
  <c r="AB122" i="8"/>
  <c r="AA122" i="8"/>
  <c r="V122" i="8"/>
  <c r="T122" i="8"/>
  <c r="S122" i="8"/>
  <c r="R122" i="8"/>
  <c r="Q122" i="8"/>
  <c r="P122" i="8"/>
  <c r="O122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BD113" i="8"/>
  <c r="BC113" i="8"/>
  <c r="BB113" i="8"/>
  <c r="AY113" i="8"/>
  <c r="AX113" i="8"/>
  <c r="AW113" i="8"/>
  <c r="AV113" i="8"/>
  <c r="AU113" i="8"/>
  <c r="AT113" i="8"/>
  <c r="AS113" i="8"/>
  <c r="AR113" i="8"/>
  <c r="AQ113" i="8"/>
  <c r="AP113" i="8"/>
  <c r="AO113" i="8"/>
  <c r="AI113" i="8"/>
  <c r="AH113" i="8"/>
  <c r="AG113" i="8"/>
  <c r="AF113" i="8"/>
  <c r="AC113" i="8"/>
  <c r="AB113" i="8"/>
  <c r="AA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AV104" i="8"/>
  <c r="AU104" i="8"/>
  <c r="AT104" i="8"/>
  <c r="AS104" i="8"/>
  <c r="AR104" i="8"/>
  <c r="AQ104" i="8"/>
  <c r="AP104" i="8"/>
  <c r="AO104" i="8"/>
  <c r="AI104" i="8"/>
  <c r="AH104" i="8"/>
  <c r="AG104" i="8"/>
  <c r="AF104" i="8"/>
  <c r="AC104" i="8"/>
  <c r="AB104" i="8"/>
  <c r="AA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AV95" i="8"/>
  <c r="AU95" i="8"/>
  <c r="AT95" i="8"/>
  <c r="AS95" i="8"/>
  <c r="AR95" i="8"/>
  <c r="AQ95" i="8"/>
  <c r="AP95" i="8"/>
  <c r="AO95" i="8"/>
  <c r="AN95" i="8"/>
  <c r="AI95" i="8"/>
  <c r="AH95" i="8"/>
  <c r="AG95" i="8"/>
  <c r="AF95" i="8"/>
  <c r="AC95" i="8"/>
  <c r="AB95" i="8"/>
  <c r="AA95" i="8"/>
  <c r="V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BC104" i="8"/>
  <c r="BB95" i="8"/>
  <c r="BA95" i="8"/>
  <c r="AY95" i="8"/>
  <c r="AX95" i="8"/>
  <c r="AW95" i="8"/>
  <c r="AI86" i="8"/>
  <c r="AH86" i="8"/>
  <c r="AG86" i="8"/>
  <c r="AF86" i="8"/>
  <c r="AE86" i="8"/>
  <c r="AE95" i="8" s="1"/>
  <c r="AC86" i="8"/>
  <c r="AB86" i="8"/>
  <c r="AA86" i="8"/>
  <c r="Y86" i="8"/>
  <c r="X86" i="8"/>
  <c r="W86" i="8"/>
  <c r="BD77" i="8"/>
  <c r="BC77" i="8"/>
  <c r="BB77" i="8"/>
  <c r="AZ77" i="8"/>
  <c r="AI77" i="8"/>
  <c r="AH77" i="8"/>
  <c r="AG77" i="8"/>
  <c r="AF77" i="8"/>
  <c r="AE77" i="8"/>
  <c r="AE177" i="8" s="1"/>
  <c r="AC77" i="8"/>
  <c r="AB77" i="8"/>
  <c r="AA77" i="8"/>
  <c r="Y77" i="8"/>
  <c r="X77" i="8"/>
  <c r="W77" i="8"/>
  <c r="U77" i="8"/>
  <c r="AN61" i="8"/>
  <c r="BD59" i="8"/>
  <c r="BC59" i="8"/>
  <c r="BB59" i="8"/>
  <c r="AN59" i="8"/>
  <c r="AI59" i="8"/>
  <c r="AH59" i="8"/>
  <c r="AG59" i="8"/>
  <c r="AF59" i="8"/>
  <c r="AE59" i="8"/>
  <c r="AC59" i="8"/>
  <c r="AB59" i="8"/>
  <c r="AA59" i="8"/>
  <c r="Y59" i="8"/>
  <c r="X59" i="8"/>
  <c r="W59" i="8"/>
  <c r="AN57" i="8"/>
  <c r="AN58" i="8"/>
  <c r="AD77" i="8" l="1"/>
  <c r="AD177" i="8" s="1"/>
  <c r="U95" i="8"/>
  <c r="AE6" i="12"/>
  <c r="C5" i="12"/>
  <c r="AZ58" i="8"/>
  <c r="BA58" i="8"/>
  <c r="BA57" i="8"/>
  <c r="AZ57" i="8"/>
  <c r="BA59" i="8"/>
  <c r="AZ59" i="8"/>
  <c r="AZ61" i="8"/>
  <c r="BA61" i="8"/>
  <c r="BC95" i="8"/>
  <c r="BB104" i="8"/>
  <c r="U122" i="8"/>
  <c r="Y95" i="8"/>
  <c r="AW104" i="8"/>
  <c r="AX104" i="8"/>
  <c r="AY104" i="8"/>
  <c r="X95" i="8"/>
  <c r="W95" i="8"/>
  <c r="Z86" i="8"/>
  <c r="Z95" i="8" s="1"/>
  <c r="AD86" i="8"/>
  <c r="AD95" i="8" s="1"/>
  <c r="Z77" i="8"/>
  <c r="Z59" i="8"/>
  <c r="AD59" i="8"/>
  <c r="AN52" i="8"/>
  <c r="AN48" i="8"/>
  <c r="AN49" i="8"/>
  <c r="AN50" i="8"/>
  <c r="AN68" i="8" s="1"/>
  <c r="BB50" i="8"/>
  <c r="BD50" i="8"/>
  <c r="BC50" i="8"/>
  <c r="AI50" i="8"/>
  <c r="AH50" i="8"/>
  <c r="AG50" i="8"/>
  <c r="AF50" i="8"/>
  <c r="AE50" i="8"/>
  <c r="AE104" i="8" s="1"/>
  <c r="AC50" i="8"/>
  <c r="AB50" i="8"/>
  <c r="AA50" i="8"/>
  <c r="Y50" i="8"/>
  <c r="Y104" i="8" s="1"/>
  <c r="X50" i="8"/>
  <c r="X104" i="8" s="1"/>
  <c r="W50" i="8"/>
  <c r="W104" i="8" s="1"/>
  <c r="U50" i="8"/>
  <c r="BD41" i="8"/>
  <c r="BC41" i="8"/>
  <c r="BB41" i="8"/>
  <c r="AY41" i="8"/>
  <c r="AX41" i="8"/>
  <c r="AW41" i="8"/>
  <c r="AV41" i="8"/>
  <c r="AU41" i="8"/>
  <c r="AT41" i="8"/>
  <c r="AS41" i="8"/>
  <c r="AR41" i="8"/>
  <c r="AP41" i="8"/>
  <c r="AO41" i="8"/>
  <c r="AI41" i="8"/>
  <c r="AH41" i="8"/>
  <c r="AG41" i="8"/>
  <c r="AF41" i="8"/>
  <c r="AC41" i="8"/>
  <c r="AB41" i="8"/>
  <c r="AA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BD34" i="8"/>
  <c r="BC34" i="8"/>
  <c r="BB34" i="8"/>
  <c r="BD32" i="8"/>
  <c r="BC32" i="8"/>
  <c r="BB32" i="8"/>
  <c r="BD31" i="8"/>
  <c r="BC31" i="8"/>
  <c r="BB31" i="8"/>
  <c r="BD30" i="8"/>
  <c r="BC30" i="8"/>
  <c r="BB30" i="8"/>
  <c r="BD29" i="8"/>
  <c r="BC29" i="8"/>
  <c r="BB29" i="8"/>
  <c r="BA29" i="8"/>
  <c r="AZ29" i="8"/>
  <c r="AN34" i="8"/>
  <c r="AN30" i="8"/>
  <c r="AN31" i="8"/>
  <c r="AN32" i="8"/>
  <c r="AI32" i="8"/>
  <c r="AH32" i="8"/>
  <c r="AG32" i="8"/>
  <c r="AF32" i="8"/>
  <c r="AE32" i="8"/>
  <c r="AC32" i="8"/>
  <c r="AB32" i="8"/>
  <c r="AA32" i="8"/>
  <c r="Y32" i="8"/>
  <c r="X32" i="8"/>
  <c r="W32" i="8"/>
  <c r="AN23" i="8"/>
  <c r="S66" i="6" s="1"/>
  <c r="AZ18" i="8"/>
  <c r="BD21" i="8"/>
  <c r="BC21" i="8"/>
  <c r="BB21" i="8"/>
  <c r="AN21" i="8"/>
  <c r="AI21" i="8"/>
  <c r="AH21" i="8"/>
  <c r="AG21" i="8"/>
  <c r="AF21" i="8"/>
  <c r="AE21" i="8"/>
  <c r="AB21" i="8"/>
  <c r="AA21" i="8"/>
  <c r="Y21" i="8"/>
  <c r="X21" i="8"/>
  <c r="W21" i="8"/>
  <c r="U21" i="8"/>
  <c r="T21" i="8"/>
  <c r="AC21" i="8" s="1"/>
  <c r="AN19" i="8"/>
  <c r="AN20" i="8"/>
  <c r="Y68" i="8" l="1"/>
  <c r="X68" i="8"/>
  <c r="W68" i="8"/>
  <c r="AE68" i="8"/>
  <c r="AD68" i="6"/>
  <c r="T68" i="6"/>
  <c r="U68" i="6"/>
  <c r="V68" i="6"/>
  <c r="S68" i="6"/>
  <c r="X68" i="6"/>
  <c r="Y68" i="6"/>
  <c r="Z68" i="6"/>
  <c r="AA68" i="6"/>
  <c r="W68" i="6"/>
  <c r="S67" i="6"/>
  <c r="AB68" i="6"/>
  <c r="AC68" i="6"/>
  <c r="E5" i="12"/>
  <c r="AE20" i="12"/>
  <c r="C20" i="12" s="1"/>
  <c r="AZ48" i="8"/>
  <c r="BA48" i="8"/>
  <c r="AZ20" i="8"/>
  <c r="AE61" i="12"/>
  <c r="C61" i="12" s="1"/>
  <c r="S54" i="6"/>
  <c r="AZ30" i="8"/>
  <c r="BA30" i="8"/>
  <c r="AZ50" i="8"/>
  <c r="AZ68" i="8" s="1"/>
  <c r="BA50" i="8"/>
  <c r="BA104" i="8" s="1"/>
  <c r="AZ23" i="8"/>
  <c r="AE87" i="12"/>
  <c r="C87" i="12" s="1"/>
  <c r="BA32" i="8"/>
  <c r="AZ32" i="8"/>
  <c r="W122" i="8"/>
  <c r="BA31" i="8"/>
  <c r="AZ31" i="8"/>
  <c r="AE85" i="12"/>
  <c r="BA52" i="8"/>
  <c r="AZ52" i="8"/>
  <c r="AZ19" i="8"/>
  <c r="AE22" i="12"/>
  <c r="C22" i="12" s="1"/>
  <c r="S48" i="6"/>
  <c r="S49" i="6" s="1"/>
  <c r="S50" i="6" s="1"/>
  <c r="X122" i="8"/>
  <c r="Y122" i="8"/>
  <c r="AN122" i="8"/>
  <c r="BA34" i="8"/>
  <c r="AZ34" i="8"/>
  <c r="AE59" i="12"/>
  <c r="BA49" i="8"/>
  <c r="AZ49" i="8"/>
  <c r="AE113" i="8"/>
  <c r="AE122" i="8"/>
  <c r="W113" i="8"/>
  <c r="X113" i="8"/>
  <c r="Y113" i="8"/>
  <c r="BA21" i="8"/>
  <c r="BA122" i="8" s="1"/>
  <c r="AN113" i="8"/>
  <c r="BD95" i="8"/>
  <c r="BD104" i="8"/>
  <c r="AN104" i="8"/>
  <c r="Z50" i="8"/>
  <c r="Z104" i="8" s="1"/>
  <c r="Y41" i="8"/>
  <c r="AD50" i="8"/>
  <c r="AD104" i="8" s="1"/>
  <c r="AN41" i="8"/>
  <c r="X41" i="8"/>
  <c r="AE41" i="8"/>
  <c r="W41" i="8"/>
  <c r="AZ21" i="8"/>
  <c r="AD21" i="8"/>
  <c r="BC35" i="8"/>
  <c r="BB35" i="8"/>
  <c r="BD35" i="8"/>
  <c r="Z32" i="8"/>
  <c r="AD32" i="8"/>
  <c r="Z21" i="8"/>
  <c r="AZ104" i="8" l="1"/>
  <c r="AD68" i="8"/>
  <c r="BA68" i="8"/>
  <c r="Z68" i="8"/>
  <c r="AE60" i="12"/>
  <c r="C59" i="12"/>
  <c r="C60" i="12" s="1"/>
  <c r="BA41" i="8"/>
  <c r="C63" i="12"/>
  <c r="C64" i="12"/>
  <c r="E20" i="12"/>
  <c r="C21" i="12"/>
  <c r="E21" i="12" s="1"/>
  <c r="BA35" i="8"/>
  <c r="C90" i="12"/>
  <c r="C89" i="12"/>
  <c r="C24" i="12"/>
  <c r="E24" i="12" s="1"/>
  <c r="E22" i="12"/>
  <c r="C23" i="12"/>
  <c r="E23" i="12" s="1"/>
  <c r="C25" i="12"/>
  <c r="E25" i="12" s="1"/>
  <c r="AE86" i="12"/>
  <c r="C85" i="12"/>
  <c r="C86" i="12" s="1"/>
  <c r="AZ41" i="8"/>
  <c r="S56" i="6"/>
  <c r="T56" i="6"/>
  <c r="S55" i="6"/>
  <c r="Z56" i="6"/>
  <c r="V56" i="6"/>
  <c r="AC56" i="6"/>
  <c r="U56" i="6"/>
  <c r="AD56" i="6"/>
  <c r="Y56" i="6"/>
  <c r="AB56" i="6"/>
  <c r="W56" i="6"/>
  <c r="X56" i="6"/>
  <c r="AA56" i="6"/>
  <c r="BA53" i="8"/>
  <c r="AZ53" i="8"/>
  <c r="AE25" i="12"/>
  <c r="AE9" i="12"/>
  <c r="AE23" i="12"/>
  <c r="AE24" i="12"/>
  <c r="AE88" i="12"/>
  <c r="AE90" i="12"/>
  <c r="AE89" i="12"/>
  <c r="AE64" i="12"/>
  <c r="AE62" i="12"/>
  <c r="AE63" i="12"/>
  <c r="AE7" i="12"/>
  <c r="AE21" i="12"/>
  <c r="AZ122" i="8"/>
  <c r="Z113" i="8"/>
  <c r="Z122" i="8"/>
  <c r="AD113" i="8"/>
  <c r="AD122" i="8"/>
  <c r="BA113" i="8"/>
  <c r="AZ113" i="8"/>
  <c r="AD41" i="8"/>
  <c r="AZ35" i="8"/>
  <c r="Z41" i="8"/>
  <c r="C62" i="12" l="1"/>
  <c r="C88" i="12"/>
  <c r="AE8" i="12"/>
  <c r="AE12" i="12"/>
  <c r="AE11" i="12"/>
  <c r="AE10" i="12"/>
  <c r="AZ12" i="8"/>
  <c r="AZ8" i="8"/>
  <c r="AZ7" i="8"/>
  <c r="AZ6" i="8"/>
  <c r="BB6" i="8"/>
  <c r="AU13" i="8"/>
  <c r="Z17" i="6" s="1"/>
  <c r="AY13" i="8"/>
  <c r="AD17" i="6" s="1"/>
  <c r="BA6" i="8"/>
  <c r="BC6" i="8"/>
  <c r="BD6" i="8"/>
  <c r="BC7" i="8"/>
  <c r="BA7" i="8"/>
  <c r="BB7" i="8"/>
  <c r="BD7" i="8"/>
  <c r="BB8" i="8"/>
  <c r="BC8" i="8"/>
  <c r="BD8" i="8"/>
  <c r="BA8" i="8"/>
  <c r="BB12" i="8"/>
  <c r="BC12" i="8"/>
  <c r="BD12" i="8"/>
  <c r="BA12" i="8"/>
  <c r="AN13" i="8"/>
  <c r="AO13" i="8"/>
  <c r="T17" i="6" s="1"/>
  <c r="AP13" i="8"/>
  <c r="U17" i="6" s="1"/>
  <c r="AR13" i="8"/>
  <c r="W17" i="6" s="1"/>
  <c r="AS13" i="8"/>
  <c r="X17" i="6" s="1"/>
  <c r="AT13" i="8"/>
  <c r="Y17" i="6" s="1"/>
  <c r="AV13" i="8"/>
  <c r="AA17" i="6" s="1"/>
  <c r="AW13" i="8"/>
  <c r="AB17" i="6" s="1"/>
  <c r="AX13" i="8"/>
  <c r="AC17" i="6" s="1"/>
  <c r="AN174" i="8"/>
  <c r="AN173" i="8"/>
  <c r="AN172" i="8"/>
  <c r="AN171" i="8"/>
  <c r="AN170" i="8"/>
  <c r="AN169" i="8"/>
  <c r="AU166" i="8"/>
  <c r="AT166" i="8"/>
  <c r="AS166" i="8"/>
  <c r="AR166" i="8"/>
  <c r="AQ166" i="8"/>
  <c r="AP166" i="8"/>
  <c r="AO166" i="8"/>
  <c r="AN166" i="8"/>
  <c r="BB165" i="8"/>
  <c r="BB180" i="8" s="1"/>
  <c r="BA165" i="8"/>
  <c r="BA180" i="8" s="1"/>
  <c r="BC165" i="8"/>
  <c r="BC180" i="8" s="1"/>
  <c r="BB164" i="8"/>
  <c r="BB179" i="8" s="1"/>
  <c r="BA164" i="8"/>
  <c r="BA179" i="8" s="1"/>
  <c r="AZ164" i="8"/>
  <c r="AZ179" i="8" s="1"/>
  <c r="BB159" i="8"/>
  <c r="BB174" i="8" s="1"/>
  <c r="BA159" i="8"/>
  <c r="BA174" i="8" s="1"/>
  <c r="BD159" i="8"/>
  <c r="BD174" i="8" s="1"/>
  <c r="BB158" i="8"/>
  <c r="BB173" i="8" s="1"/>
  <c r="BA158" i="8"/>
  <c r="BA173" i="8" s="1"/>
  <c r="BD158" i="8"/>
  <c r="BD173" i="8" s="1"/>
  <c r="BC158" i="8"/>
  <c r="BC173" i="8" s="1"/>
  <c r="BB157" i="8"/>
  <c r="BB172" i="8" s="1"/>
  <c r="BA157" i="8"/>
  <c r="BA172" i="8" s="1"/>
  <c r="BB156" i="8"/>
  <c r="BB171" i="8" s="1"/>
  <c r="BA156" i="8"/>
  <c r="BA171" i="8" s="1"/>
  <c r="BD156" i="8"/>
  <c r="BD171" i="8" s="1"/>
  <c r="BD155" i="8"/>
  <c r="BD170" i="8" s="1"/>
  <c r="BC155" i="8"/>
  <c r="BC170" i="8" s="1"/>
  <c r="BB155" i="8"/>
  <c r="BB170" i="8" s="1"/>
  <c r="BA155" i="8"/>
  <c r="BA170" i="8" s="1"/>
  <c r="AZ155" i="8"/>
  <c r="AZ170" i="8" s="1"/>
  <c r="BD154" i="8"/>
  <c r="BD169" i="8" s="1"/>
  <c r="BC154" i="8"/>
  <c r="BC169" i="8" s="1"/>
  <c r="BB154" i="8"/>
  <c r="BB169" i="8" s="1"/>
  <c r="BA154" i="8"/>
  <c r="BA169" i="8" s="1"/>
  <c r="AZ154" i="8"/>
  <c r="AZ169" i="8" s="1"/>
  <c r="AV149" i="8"/>
  <c r="AU149" i="8"/>
  <c r="AT149" i="8"/>
  <c r="AS149" i="8"/>
  <c r="AS183" i="8" s="1"/>
  <c r="AR149" i="8"/>
  <c r="AR183" i="8" s="1"/>
  <c r="AQ149" i="8"/>
  <c r="AP149" i="8"/>
  <c r="AO149" i="8"/>
  <c r="AO183" i="8" s="1"/>
  <c r="AN149" i="8"/>
  <c r="AN183" i="8" s="1"/>
  <c r="AV134" i="8"/>
  <c r="AA23" i="6" s="1"/>
  <c r="AU134" i="8"/>
  <c r="Z23" i="6" s="1"/>
  <c r="AT134" i="8"/>
  <c r="Y23" i="6" s="1"/>
  <c r="AS134" i="8"/>
  <c r="X23" i="6" s="1"/>
  <c r="AR134" i="8"/>
  <c r="W23" i="6" s="1"/>
  <c r="V23" i="6"/>
  <c r="AP134" i="8"/>
  <c r="U23" i="6" s="1"/>
  <c r="AO134" i="8"/>
  <c r="T23" i="6" s="1"/>
  <c r="BD133" i="8"/>
  <c r="BC133" i="8"/>
  <c r="BB133" i="8"/>
  <c r="AZ133" i="8"/>
  <c r="BA133" i="8" s="1"/>
  <c r="BC130" i="8"/>
  <c r="BB130" i="8"/>
  <c r="BC129" i="8"/>
  <c r="BB129" i="8"/>
  <c r="BD128" i="8"/>
  <c r="BC128" i="8"/>
  <c r="BB128" i="8"/>
  <c r="BA128" i="8"/>
  <c r="AZ128" i="8"/>
  <c r="AV124" i="8"/>
  <c r="AS124" i="8"/>
  <c r="AR124" i="8"/>
  <c r="AQ124" i="8"/>
  <c r="AP124" i="8"/>
  <c r="AO124" i="8"/>
  <c r="AN124" i="8"/>
  <c r="AV121" i="8"/>
  <c r="AT121" i="8"/>
  <c r="AS121" i="8"/>
  <c r="AR121" i="8"/>
  <c r="AQ121" i="8"/>
  <c r="AP121" i="8"/>
  <c r="AO121" i="8"/>
  <c r="AN121" i="8"/>
  <c r="AV120" i="8"/>
  <c r="AS120" i="8"/>
  <c r="AR120" i="8"/>
  <c r="AQ120" i="8"/>
  <c r="AP120" i="8"/>
  <c r="AO120" i="8"/>
  <c r="AN120" i="8"/>
  <c r="AY119" i="8"/>
  <c r="AX119" i="8"/>
  <c r="AW119" i="8"/>
  <c r="AV119" i="8"/>
  <c r="AT119" i="8"/>
  <c r="AS119" i="8"/>
  <c r="AR119" i="8"/>
  <c r="AQ119" i="8"/>
  <c r="AP119" i="8"/>
  <c r="AO119" i="8"/>
  <c r="AN119" i="8"/>
  <c r="AV115" i="8"/>
  <c r="AS115" i="8"/>
  <c r="AR115" i="8"/>
  <c r="AQ115" i="8"/>
  <c r="AP115" i="8"/>
  <c r="AO115" i="8"/>
  <c r="AN115" i="8"/>
  <c r="AV112" i="8"/>
  <c r="AT112" i="8"/>
  <c r="AS112" i="8"/>
  <c r="AR112" i="8"/>
  <c r="AQ112" i="8"/>
  <c r="AP112" i="8"/>
  <c r="AO112" i="8"/>
  <c r="AN112" i="8"/>
  <c r="AV111" i="8"/>
  <c r="AS111" i="8"/>
  <c r="AR111" i="8"/>
  <c r="AQ111" i="8"/>
  <c r="AP111" i="8"/>
  <c r="AO111" i="8"/>
  <c r="AN111" i="8"/>
  <c r="AY110" i="8"/>
  <c r="AX110" i="8"/>
  <c r="AW110" i="8"/>
  <c r="AV110" i="8"/>
  <c r="AT110" i="8"/>
  <c r="AS110" i="8"/>
  <c r="AR110" i="8"/>
  <c r="AQ110" i="8"/>
  <c r="AP110" i="8"/>
  <c r="AO110" i="8"/>
  <c r="AN110" i="8"/>
  <c r="AV106" i="8"/>
  <c r="AT106" i="8"/>
  <c r="AS106" i="8"/>
  <c r="AR106" i="8"/>
  <c r="AQ106" i="8"/>
  <c r="AP106" i="8"/>
  <c r="AO106" i="8"/>
  <c r="AN106" i="8"/>
  <c r="AV103" i="8"/>
  <c r="AU103" i="8"/>
  <c r="AT103" i="8"/>
  <c r="AS103" i="8"/>
  <c r="AR103" i="8"/>
  <c r="AQ103" i="8"/>
  <c r="AP103" i="8"/>
  <c r="AO103" i="8"/>
  <c r="AN103" i="8"/>
  <c r="AV102" i="8"/>
  <c r="AU102" i="8"/>
  <c r="AT102" i="8"/>
  <c r="AS102" i="8"/>
  <c r="AR102" i="8"/>
  <c r="AQ102" i="8"/>
  <c r="AP102" i="8"/>
  <c r="AO102" i="8"/>
  <c r="AN102" i="8"/>
  <c r="AY101" i="8"/>
  <c r="AX101" i="8"/>
  <c r="AW101" i="8"/>
  <c r="AV101" i="8"/>
  <c r="AU101" i="8"/>
  <c r="AT101" i="8"/>
  <c r="AS101" i="8"/>
  <c r="AR101" i="8"/>
  <c r="AQ101" i="8"/>
  <c r="AP101" i="8"/>
  <c r="AO101" i="8"/>
  <c r="AN101" i="8"/>
  <c r="AV97" i="8"/>
  <c r="AT97" i="8"/>
  <c r="AS97" i="8"/>
  <c r="AR97" i="8"/>
  <c r="AQ97" i="8"/>
  <c r="AP97" i="8"/>
  <c r="AO97" i="8"/>
  <c r="AN97" i="8"/>
  <c r="AV94" i="8"/>
  <c r="AT94" i="8"/>
  <c r="AS94" i="8"/>
  <c r="AR94" i="8"/>
  <c r="AQ94" i="8"/>
  <c r="AP94" i="8"/>
  <c r="AO94" i="8"/>
  <c r="AN94" i="8"/>
  <c r="AV93" i="8"/>
  <c r="AT93" i="8"/>
  <c r="AS93" i="8"/>
  <c r="AR93" i="8"/>
  <c r="AQ93" i="8"/>
  <c r="AP93" i="8"/>
  <c r="AO93" i="8"/>
  <c r="AN93" i="8"/>
  <c r="AY92" i="8"/>
  <c r="AX92" i="8"/>
  <c r="AW92" i="8"/>
  <c r="AV92" i="8"/>
  <c r="AU92" i="8"/>
  <c r="AT92" i="8"/>
  <c r="AS92" i="8"/>
  <c r="AR92" i="8"/>
  <c r="AQ92" i="8"/>
  <c r="AP92" i="8"/>
  <c r="AO92" i="8"/>
  <c r="AN92" i="8"/>
  <c r="AV89" i="8"/>
  <c r="AU89" i="8"/>
  <c r="AT89" i="8"/>
  <c r="AS89" i="8"/>
  <c r="AR89" i="8"/>
  <c r="AP89" i="8"/>
  <c r="AO89" i="8"/>
  <c r="AN89" i="8"/>
  <c r="BB97" i="8"/>
  <c r="BA97" i="8"/>
  <c r="AX106" i="8"/>
  <c r="BB94" i="8"/>
  <c r="BA94" i="8"/>
  <c r="AW94" i="8"/>
  <c r="BB93" i="8"/>
  <c r="BA93" i="8"/>
  <c r="AV80" i="8"/>
  <c r="AT80" i="8"/>
  <c r="AS80" i="8"/>
  <c r="AR80" i="8"/>
  <c r="AQ80" i="8"/>
  <c r="AP80" i="8"/>
  <c r="AO80" i="8"/>
  <c r="BC79" i="8"/>
  <c r="BB79" i="8"/>
  <c r="BD79" i="8"/>
  <c r="AX124" i="8"/>
  <c r="AU97" i="8"/>
  <c r="BC76" i="8"/>
  <c r="BB76" i="8"/>
  <c r="BD76" i="8"/>
  <c r="AU94" i="8"/>
  <c r="BC75" i="8"/>
  <c r="BB75" i="8"/>
  <c r="AU93" i="8"/>
  <c r="BD74" i="8"/>
  <c r="BC74" i="8"/>
  <c r="BB74" i="8"/>
  <c r="AZ74" i="8"/>
  <c r="AV70" i="8"/>
  <c r="AS70" i="8"/>
  <c r="AR70" i="8"/>
  <c r="AQ70" i="8"/>
  <c r="AP70" i="8"/>
  <c r="AO70" i="8"/>
  <c r="AV67" i="8"/>
  <c r="AU67" i="8"/>
  <c r="AT67" i="8"/>
  <c r="AS67" i="8"/>
  <c r="AR67" i="8"/>
  <c r="AQ67" i="8"/>
  <c r="AP67" i="8"/>
  <c r="AO67" i="8"/>
  <c r="AN67" i="8"/>
  <c r="AV66" i="8"/>
  <c r="AU66" i="8"/>
  <c r="AT66" i="8"/>
  <c r="AS66" i="8"/>
  <c r="AR66" i="8"/>
  <c r="AQ66" i="8"/>
  <c r="AP66" i="8"/>
  <c r="AO66" i="8"/>
  <c r="AN66" i="8"/>
  <c r="AY65" i="8"/>
  <c r="AX65" i="8"/>
  <c r="AW65" i="8"/>
  <c r="AV65" i="8"/>
  <c r="AU65" i="8"/>
  <c r="AS65" i="8"/>
  <c r="AR65" i="8"/>
  <c r="AQ65" i="8"/>
  <c r="AP65" i="8"/>
  <c r="AO65" i="8"/>
  <c r="AN65" i="8"/>
  <c r="AV62" i="8"/>
  <c r="AU62" i="8"/>
  <c r="AT62" i="8"/>
  <c r="AS62" i="8"/>
  <c r="AR62" i="8"/>
  <c r="AP62" i="8"/>
  <c r="AO62" i="8"/>
  <c r="AN62" i="8"/>
  <c r="BC61" i="8"/>
  <c r="BB61" i="8"/>
  <c r="BC58" i="8"/>
  <c r="BB58" i="8"/>
  <c r="BC57" i="8"/>
  <c r="BB57" i="8"/>
  <c r="BD56" i="8"/>
  <c r="BC56" i="8"/>
  <c r="BB56" i="8"/>
  <c r="AV53" i="8"/>
  <c r="AV107" i="8" s="1"/>
  <c r="AA28" i="6" s="1"/>
  <c r="AT53" i="8"/>
  <c r="AS53" i="8"/>
  <c r="AS71" i="8" s="1"/>
  <c r="AR53" i="8"/>
  <c r="AR107" i="8" s="1"/>
  <c r="W28" i="6" s="1"/>
  <c r="AP53" i="8"/>
  <c r="AO53" i="8"/>
  <c r="AN53" i="8"/>
  <c r="BC52" i="8"/>
  <c r="BC106" i="8" s="1"/>
  <c r="BB52" i="8"/>
  <c r="BB106" i="8" s="1"/>
  <c r="AY106" i="8"/>
  <c r="AU53" i="8"/>
  <c r="BC49" i="8"/>
  <c r="BB49" i="8"/>
  <c r="BC48" i="8"/>
  <c r="BC102" i="8" s="1"/>
  <c r="BB48" i="8"/>
  <c r="AY111" i="8"/>
  <c r="BD47" i="8"/>
  <c r="BC47" i="8"/>
  <c r="BB47" i="8"/>
  <c r="BB101" i="8" s="1"/>
  <c r="AV43" i="8"/>
  <c r="AS43" i="8"/>
  <c r="AR43" i="8"/>
  <c r="AP43" i="8"/>
  <c r="AO43" i="8"/>
  <c r="AN43" i="8"/>
  <c r="AV40" i="8"/>
  <c r="AU40" i="8"/>
  <c r="AT40" i="8"/>
  <c r="AS40" i="8"/>
  <c r="AR40" i="8"/>
  <c r="AP40" i="8"/>
  <c r="AO40" i="8"/>
  <c r="AN40" i="8"/>
  <c r="AS39" i="8"/>
  <c r="AR39" i="8"/>
  <c r="AP39" i="8"/>
  <c r="AO39" i="8"/>
  <c r="AN39" i="8"/>
  <c r="AY38" i="8"/>
  <c r="AX38" i="8"/>
  <c r="AW38" i="8"/>
  <c r="AV38" i="8"/>
  <c r="AU38" i="8"/>
  <c r="AT38" i="8"/>
  <c r="AS38" i="8"/>
  <c r="AR38" i="8"/>
  <c r="AP38" i="8"/>
  <c r="AO38" i="8"/>
  <c r="AN38" i="8"/>
  <c r="AU35" i="8"/>
  <c r="AS35" i="8"/>
  <c r="AR35" i="8"/>
  <c r="AP35" i="8"/>
  <c r="AO35" i="8"/>
  <c r="AN35" i="8"/>
  <c r="AX43" i="8"/>
  <c r="AY40" i="8"/>
  <c r="AY39" i="8"/>
  <c r="AV39" i="8"/>
  <c r="AT35" i="8"/>
  <c r="AV24" i="8"/>
  <c r="AS24" i="8"/>
  <c r="X10" i="6" s="1"/>
  <c r="AR24" i="8"/>
  <c r="AP24" i="8"/>
  <c r="AO24" i="8"/>
  <c r="T10" i="6" s="1"/>
  <c r="AN24" i="8"/>
  <c r="BD23" i="8"/>
  <c r="BB23" i="8"/>
  <c r="BB124" i="8" s="1"/>
  <c r="BA23" i="8"/>
  <c r="AU24" i="8"/>
  <c r="AT43" i="8"/>
  <c r="BC20" i="8"/>
  <c r="BB20" i="8"/>
  <c r="BA20" i="8"/>
  <c r="BB19" i="8"/>
  <c r="BA19" i="8"/>
  <c r="BA120" i="8" s="1"/>
  <c r="AW120" i="8"/>
  <c r="BD18" i="8"/>
  <c r="BB18" i="8"/>
  <c r="BA18" i="8"/>
  <c r="AT71" i="8" l="1"/>
  <c r="BC53" i="8"/>
  <c r="BB119" i="8"/>
  <c r="W10" i="6"/>
  <c r="AR26" i="8"/>
  <c r="AR25" i="8"/>
  <c r="AQ26" i="8"/>
  <c r="S10" i="6"/>
  <c r="AP25" i="8"/>
  <c r="U10" i="6"/>
  <c r="AP183" i="8"/>
  <c r="AT107" i="8"/>
  <c r="Y28" i="6" s="1"/>
  <c r="AP26" i="8"/>
  <c r="AA7" i="6"/>
  <c r="AA11" i="6"/>
  <c r="AA6" i="6"/>
  <c r="AA18" i="6"/>
  <c r="AA9" i="6"/>
  <c r="AA8" i="6"/>
  <c r="V8" i="6"/>
  <c r="V7" i="6"/>
  <c r="V18" i="6"/>
  <c r="V11" i="6"/>
  <c r="V6" i="6"/>
  <c r="V9" i="6"/>
  <c r="AA3" i="6"/>
  <c r="Z8" i="6"/>
  <c r="Z18" i="6"/>
  <c r="Z3" i="6" s="1"/>
  <c r="Z7" i="6"/>
  <c r="Z11" i="6"/>
  <c r="Z6" i="6"/>
  <c r="Z9" i="6"/>
  <c r="W7" i="6"/>
  <c r="W11" i="6"/>
  <c r="W6" i="6"/>
  <c r="W18" i="6"/>
  <c r="W3" i="6" s="1"/>
  <c r="W9" i="6"/>
  <c r="W8" i="6"/>
  <c r="X11" i="6"/>
  <c r="X6" i="6"/>
  <c r="X9" i="6"/>
  <c r="X8" i="6"/>
  <c r="X18" i="6"/>
  <c r="X3" i="6" s="1"/>
  <c r="X7" i="6"/>
  <c r="U11" i="6"/>
  <c r="U8" i="6"/>
  <c r="U6" i="6"/>
  <c r="U18" i="6"/>
  <c r="U3" i="6" s="1"/>
  <c r="U9" i="6"/>
  <c r="U7" i="6"/>
  <c r="AP107" i="8"/>
  <c r="U28" i="6" s="1"/>
  <c r="T11" i="6"/>
  <c r="T7" i="6"/>
  <c r="T18" i="6"/>
  <c r="T6" i="6"/>
  <c r="T8" i="6"/>
  <c r="T9" i="6"/>
  <c r="T3" i="6"/>
  <c r="S17" i="6"/>
  <c r="S3" i="6" s="1"/>
  <c r="S18" i="6"/>
  <c r="S6" i="6"/>
  <c r="S9" i="6"/>
  <c r="S8" i="6"/>
  <c r="S11" i="6"/>
  <c r="S7" i="6"/>
  <c r="BA13" i="8"/>
  <c r="BD13" i="8"/>
  <c r="BA149" i="8"/>
  <c r="AT183" i="8"/>
  <c r="BB166" i="8"/>
  <c r="BB103" i="8"/>
  <c r="BA103" i="8"/>
  <c r="AN107" i="8"/>
  <c r="S28" i="6" s="1"/>
  <c r="AN98" i="8"/>
  <c r="S38" i="6" s="1"/>
  <c r="AQ98" i="8"/>
  <c r="V38" i="6" s="1"/>
  <c r="AR98" i="8"/>
  <c r="W38" i="6" s="1"/>
  <c r="AV98" i="8"/>
  <c r="AA38" i="6" s="1"/>
  <c r="BB65" i="8"/>
  <c r="BA115" i="8"/>
  <c r="BC66" i="8"/>
  <c r="BA67" i="8"/>
  <c r="AQ71" i="8"/>
  <c r="AO71" i="8"/>
  <c r="BA65" i="8"/>
  <c r="BB70" i="8"/>
  <c r="BA38" i="8"/>
  <c r="AX93" i="8"/>
  <c r="AW102" i="8"/>
  <c r="AY103" i="8"/>
  <c r="AW80" i="8"/>
  <c r="AX62" i="8"/>
  <c r="AX35" i="8"/>
  <c r="AY102" i="8"/>
  <c r="AW103" i="8"/>
  <c r="AS125" i="8"/>
  <c r="X43" i="6" s="1"/>
  <c r="AS44" i="8"/>
  <c r="AS98" i="8"/>
  <c r="X38" i="6" s="1"/>
  <c r="AZ101" i="8"/>
  <c r="BD101" i="8"/>
  <c r="AX103" i="8"/>
  <c r="BC103" i="8"/>
  <c r="BB53" i="8"/>
  <c r="AV71" i="8"/>
  <c r="BA92" i="8"/>
  <c r="BD97" i="8"/>
  <c r="BB134" i="8"/>
  <c r="AW134" i="8"/>
  <c r="AB23" i="6" s="1"/>
  <c r="AO98" i="8"/>
  <c r="T38" i="6" s="1"/>
  <c r="BA106" i="8"/>
  <c r="AO107" i="8"/>
  <c r="T28" i="6" s="1"/>
  <c r="AS107" i="8"/>
  <c r="X28" i="6" s="1"/>
  <c r="AZ65" i="8"/>
  <c r="BD65" i="8"/>
  <c r="BA66" i="8"/>
  <c r="BC67" i="8"/>
  <c r="BA70" i="8"/>
  <c r="BB62" i="8"/>
  <c r="BC97" i="8"/>
  <c r="BA166" i="8"/>
  <c r="AO14" i="8"/>
  <c r="AO125" i="8"/>
  <c r="T43" i="6" s="1"/>
  <c r="BA89" i="8"/>
  <c r="BA98" i="8" s="1"/>
  <c r="BC101" i="8"/>
  <c r="BB39" i="8"/>
  <c r="AT39" i="8"/>
  <c r="AP71" i="8"/>
  <c r="BA80" i="8"/>
  <c r="BC89" i="8"/>
  <c r="BC107" i="8" s="1"/>
  <c r="BC149" i="8"/>
  <c r="AQ183" i="8"/>
  <c r="AU183" i="8"/>
  <c r="AZ156" i="8"/>
  <c r="AZ171" i="8" s="1"/>
  <c r="BD48" i="8"/>
  <c r="BD49" i="8"/>
  <c r="AY67" i="8"/>
  <c r="BD164" i="8"/>
  <c r="BD179" i="8" s="1"/>
  <c r="AX53" i="8"/>
  <c r="AX70" i="8"/>
  <c r="AZ76" i="8"/>
  <c r="AY89" i="8"/>
  <c r="AW111" i="8"/>
  <c r="AW166" i="8"/>
  <c r="AX166" i="8"/>
  <c r="AU121" i="8"/>
  <c r="BC157" i="8"/>
  <c r="BC172" i="8" s="1"/>
  <c r="AZ159" i="8"/>
  <c r="AZ174" i="8" s="1"/>
  <c r="AX80" i="8"/>
  <c r="AY97" i="8"/>
  <c r="AN14" i="8"/>
  <c r="BA40" i="8"/>
  <c r="BB38" i="8"/>
  <c r="BA39" i="8"/>
  <c r="AS14" i="8"/>
  <c r="BC40" i="8"/>
  <c r="BB43" i="8"/>
  <c r="BB115" i="8"/>
  <c r="AR14" i="8"/>
  <c r="AU14" i="8"/>
  <c r="AO44" i="8"/>
  <c r="AS116" i="8"/>
  <c r="X33" i="6" s="1"/>
  <c r="AV14" i="8"/>
  <c r="AP14" i="8"/>
  <c r="BC13" i="8"/>
  <c r="BB13" i="8"/>
  <c r="AQ13" i="8"/>
  <c r="V17" i="6" s="1"/>
  <c r="AZ13" i="8"/>
  <c r="AN15" i="8"/>
  <c r="AU116" i="8"/>
  <c r="Z33" i="6" s="1"/>
  <c r="AU44" i="8"/>
  <c r="AX120" i="8"/>
  <c r="AX111" i="8"/>
  <c r="AW121" i="8"/>
  <c r="AW112" i="8"/>
  <c r="BD20" i="8"/>
  <c r="BA121" i="8"/>
  <c r="BA112" i="8"/>
  <c r="BD124" i="8"/>
  <c r="AY149" i="8"/>
  <c r="AT120" i="8"/>
  <c r="AT111" i="8"/>
  <c r="BC19" i="8"/>
  <c r="AX112" i="8"/>
  <c r="AX121" i="8"/>
  <c r="BB112" i="8"/>
  <c r="BB121" i="8"/>
  <c r="AW115" i="8"/>
  <c r="AW124" i="8"/>
  <c r="AN116" i="8"/>
  <c r="S33" i="6" s="1"/>
  <c r="AN125" i="8"/>
  <c r="S43" i="6" s="1"/>
  <c r="AR116" i="8"/>
  <c r="W33" i="6" s="1"/>
  <c r="AR125" i="8"/>
  <c r="W43" i="6" s="1"/>
  <c r="AV116" i="8"/>
  <c r="AA33" i="6" s="1"/>
  <c r="AV125" i="8"/>
  <c r="AA43" i="6" s="1"/>
  <c r="BB24" i="8"/>
  <c r="BB44" i="8" s="1"/>
  <c r="AW39" i="8"/>
  <c r="AW35" i="8"/>
  <c r="AW43" i="8"/>
  <c r="BA43" i="8"/>
  <c r="AN44" i="8"/>
  <c r="AR44" i="8"/>
  <c r="AV35" i="8"/>
  <c r="AV44" i="8" s="1"/>
  <c r="AX102" i="8"/>
  <c r="AX66" i="8"/>
  <c r="BB66" i="8"/>
  <c r="BB102" i="8"/>
  <c r="AW106" i="8"/>
  <c r="BD52" i="8"/>
  <c r="BA62" i="8"/>
  <c r="AW62" i="8"/>
  <c r="AW66" i="8"/>
  <c r="BD57" i="8"/>
  <c r="AX67" i="8"/>
  <c r="BB67" i="8"/>
  <c r="AY70" i="8"/>
  <c r="BC70" i="8"/>
  <c r="BD92" i="8"/>
  <c r="BA102" i="8"/>
  <c r="AY120" i="8"/>
  <c r="BA124" i="8"/>
  <c r="AY134" i="8"/>
  <c r="AD23" i="6" s="1"/>
  <c r="BD129" i="8"/>
  <c r="BD130" i="8"/>
  <c r="BD110" i="8"/>
  <c r="BD119" i="8"/>
  <c r="BB120" i="8"/>
  <c r="BB111" i="8"/>
  <c r="AU124" i="8"/>
  <c r="AU43" i="8"/>
  <c r="AQ125" i="8"/>
  <c r="V43" i="6" s="1"/>
  <c r="AQ116" i="8"/>
  <c r="V33" i="6" s="1"/>
  <c r="AW67" i="8"/>
  <c r="BD58" i="8"/>
  <c r="BA110" i="8"/>
  <c r="BA119" i="8"/>
  <c r="BA24" i="8"/>
  <c r="AU111" i="8"/>
  <c r="AU120" i="8"/>
  <c r="AU39" i="8"/>
  <c r="BD19" i="8"/>
  <c r="AY121" i="8"/>
  <c r="AY112" i="8"/>
  <c r="BC121" i="8"/>
  <c r="BC112" i="8"/>
  <c r="AX24" i="8"/>
  <c r="BD38" i="8"/>
  <c r="AX40" i="8"/>
  <c r="BB40" i="8"/>
  <c r="AX39" i="8"/>
  <c r="AN71" i="8"/>
  <c r="AR71" i="8"/>
  <c r="AW93" i="8"/>
  <c r="AW89" i="8"/>
  <c r="AX94" i="8"/>
  <c r="BB110" i="8"/>
  <c r="AU115" i="8"/>
  <c r="AU107" i="8"/>
  <c r="Z28" i="6" s="1"/>
  <c r="AU71" i="8"/>
  <c r="AY93" i="8"/>
  <c r="AY80" i="8"/>
  <c r="BD75" i="8"/>
  <c r="AZ75" i="8"/>
  <c r="AT124" i="8"/>
  <c r="AT115" i="8"/>
  <c r="AY124" i="8"/>
  <c r="AY115" i="8"/>
  <c r="BC23" i="8"/>
  <c r="AP125" i="8"/>
  <c r="U43" i="6" s="1"/>
  <c r="AP116" i="8"/>
  <c r="U33" i="6" s="1"/>
  <c r="AT24" i="8"/>
  <c r="AY24" i="8"/>
  <c r="AY43" i="8"/>
  <c r="AP44" i="8"/>
  <c r="AY35" i="8"/>
  <c r="AW40" i="8"/>
  <c r="BC65" i="8"/>
  <c r="BC62" i="8"/>
  <c r="BC71" i="8" s="1"/>
  <c r="AY66" i="8"/>
  <c r="AY62" i="8"/>
  <c r="AW70" i="8"/>
  <c r="BD61" i="8"/>
  <c r="AX71" i="8"/>
  <c r="BC80" i="8"/>
  <c r="BC93" i="8"/>
  <c r="BC164" i="8"/>
  <c r="BC179" i="8" s="1"/>
  <c r="AU119" i="8"/>
  <c r="AU110" i="8"/>
  <c r="BC18" i="8"/>
  <c r="BC38" i="8" s="1"/>
  <c r="AW24" i="8"/>
  <c r="AW53" i="8"/>
  <c r="AU70" i="8"/>
  <c r="BB80" i="8"/>
  <c r="BB92" i="8"/>
  <c r="BB98" i="8"/>
  <c r="AX89" i="8"/>
  <c r="AY94" i="8"/>
  <c r="BC94" i="8"/>
  <c r="AQ107" i="8"/>
  <c r="V28" i="6" s="1"/>
  <c r="BC134" i="8"/>
  <c r="AZ92" i="8"/>
  <c r="AW97" i="8"/>
  <c r="AU106" i="8"/>
  <c r="BA111" i="8"/>
  <c r="AX115" i="8"/>
  <c r="AO116" i="8"/>
  <c r="T33" i="6" s="1"/>
  <c r="AY166" i="8"/>
  <c r="BD157" i="8"/>
  <c r="BD172" i="8" s="1"/>
  <c r="AZ157" i="8"/>
  <c r="AZ172" i="8" s="1"/>
  <c r="BA101" i="8"/>
  <c r="AY53" i="8"/>
  <c r="AZ79" i="8"/>
  <c r="AU80" i="8"/>
  <c r="AU98" i="8" s="1"/>
  <c r="Z38" i="6" s="1"/>
  <c r="BD94" i="8"/>
  <c r="AX97" i="8"/>
  <c r="AP98" i="8"/>
  <c r="U38" i="6" s="1"/>
  <c r="AT98" i="8"/>
  <c r="Y38" i="6" s="1"/>
  <c r="BC92" i="8"/>
  <c r="AU112" i="8"/>
  <c r="AX134" i="8"/>
  <c r="AC23" i="6" s="1"/>
  <c r="BB149" i="8"/>
  <c r="BC156" i="8"/>
  <c r="BC171" i="8" s="1"/>
  <c r="AV166" i="8"/>
  <c r="AV183" i="8" s="1"/>
  <c r="BD165" i="8"/>
  <c r="BD180" i="8" s="1"/>
  <c r="AZ165" i="8"/>
  <c r="AZ180" i="8" s="1"/>
  <c r="AW149" i="8"/>
  <c r="AZ158" i="8"/>
  <c r="AZ173" i="8" s="1"/>
  <c r="BC159" i="8"/>
  <c r="BC174" i="8" s="1"/>
  <c r="AX149" i="8"/>
  <c r="AT25" i="8" l="1"/>
  <c r="AT26" i="8"/>
  <c r="AT14" i="8"/>
  <c r="Y10" i="6"/>
  <c r="B9" i="12"/>
  <c r="B11" i="12" s="1"/>
  <c r="V3" i="6"/>
  <c r="BB183" i="8"/>
  <c r="BB71" i="8"/>
  <c r="AB11" i="6"/>
  <c r="AB6" i="6"/>
  <c r="AB9" i="6"/>
  <c r="AB8" i="6"/>
  <c r="AB18" i="6"/>
  <c r="AB3" i="6" s="1"/>
  <c r="AB7" i="6"/>
  <c r="AX14" i="8"/>
  <c r="AC18" i="6"/>
  <c r="AC3" i="6" s="1"/>
  <c r="AC9" i="6"/>
  <c r="AC8" i="6"/>
  <c r="AC7" i="6"/>
  <c r="AC11" i="6"/>
  <c r="AC6" i="6"/>
  <c r="Y18" i="6"/>
  <c r="Y3" i="6" s="1"/>
  <c r="Y9" i="6"/>
  <c r="Y8" i="6"/>
  <c r="Y7" i="6"/>
  <c r="Y11" i="6"/>
  <c r="Y6" i="6"/>
  <c r="AY14" i="8"/>
  <c r="AD8" i="6"/>
  <c r="AD18" i="6"/>
  <c r="AD3" i="6" s="1"/>
  <c r="AD7" i="6"/>
  <c r="AD11" i="6"/>
  <c r="AD6" i="6"/>
  <c r="AD9" i="6"/>
  <c r="BA183" i="8"/>
  <c r="BD106" i="8"/>
  <c r="BA71" i="8"/>
  <c r="AX183" i="8"/>
  <c r="AW98" i="8"/>
  <c r="AB38" i="6" s="1"/>
  <c r="AY98" i="8"/>
  <c r="AD38" i="6" s="1"/>
  <c r="BD53" i="8"/>
  <c r="BC166" i="8"/>
  <c r="BC183" i="8" s="1"/>
  <c r="BD102" i="8"/>
  <c r="AW107" i="8"/>
  <c r="AB28" i="6" s="1"/>
  <c r="BD67" i="8"/>
  <c r="BA44" i="8"/>
  <c r="BD134" i="8"/>
  <c r="BD149" i="8"/>
  <c r="BA107" i="8"/>
  <c r="BD166" i="8"/>
  <c r="AY71" i="8"/>
  <c r="BD43" i="8"/>
  <c r="AY107" i="8"/>
  <c r="AD28" i="6" s="1"/>
  <c r="AW183" i="8"/>
  <c r="BD115" i="8"/>
  <c r="AZ166" i="8"/>
  <c r="AX98" i="8"/>
  <c r="AC38" i="6" s="1"/>
  <c r="BD70" i="8"/>
  <c r="AY44" i="8"/>
  <c r="AW14" i="8"/>
  <c r="AX44" i="8"/>
  <c r="AQ14" i="8"/>
  <c r="BC39" i="8"/>
  <c r="BC124" i="8"/>
  <c r="BC115" i="8"/>
  <c r="BD120" i="8"/>
  <c r="BD111" i="8"/>
  <c r="BD80" i="8"/>
  <c r="BD121" i="8"/>
  <c r="BD112" i="8"/>
  <c r="BD103" i="8"/>
  <c r="AT125" i="8"/>
  <c r="Y43" i="6" s="1"/>
  <c r="AT116" i="8"/>
  <c r="Y33" i="6" s="1"/>
  <c r="BD40" i="8"/>
  <c r="BC98" i="8"/>
  <c r="BD66" i="8"/>
  <c r="BD62" i="8"/>
  <c r="BB125" i="8"/>
  <c r="BB116" i="8"/>
  <c r="AW125" i="8"/>
  <c r="AB43" i="6" s="1"/>
  <c r="AW116" i="8"/>
  <c r="AB33" i="6" s="1"/>
  <c r="BC43" i="8"/>
  <c r="BD93" i="8"/>
  <c r="BB107" i="8"/>
  <c r="BA125" i="8"/>
  <c r="BA116" i="8"/>
  <c r="BD89" i="8"/>
  <c r="BC111" i="8"/>
  <c r="BC120" i="8"/>
  <c r="AX107" i="8"/>
  <c r="AC28" i="6" s="1"/>
  <c r="AY125" i="8"/>
  <c r="AD43" i="6" s="1"/>
  <c r="AY116" i="8"/>
  <c r="AD33" i="6" s="1"/>
  <c r="BD39" i="8"/>
  <c r="BC119" i="8"/>
  <c r="BC110" i="8"/>
  <c r="BC24" i="8"/>
  <c r="BD24" i="8"/>
  <c r="AZ80" i="8"/>
  <c r="AX125" i="8"/>
  <c r="AC43" i="6" s="1"/>
  <c r="AX116" i="8"/>
  <c r="AC33" i="6" s="1"/>
  <c r="AW71" i="8"/>
  <c r="AW44" i="8"/>
  <c r="AY183" i="8"/>
  <c r="AT44" i="8"/>
  <c r="AU125" i="8"/>
  <c r="Z43" i="6" s="1"/>
  <c r="B12" i="12" l="1"/>
  <c r="B10" i="12"/>
  <c r="BD183" i="8"/>
  <c r="AE3" i="6"/>
  <c r="BD71" i="8"/>
  <c r="BC125" i="8"/>
  <c r="BC116" i="8"/>
  <c r="BD98" i="8"/>
  <c r="BC44" i="8"/>
  <c r="BD116" i="8"/>
  <c r="BD125" i="8"/>
  <c r="BD44" i="8"/>
  <c r="BD107" i="8"/>
  <c r="V156" i="8" l="1"/>
  <c r="V157" i="8"/>
  <c r="V182" i="8" s="1"/>
  <c r="V158" i="8"/>
  <c r="V159" i="8"/>
  <c r="V181" i="8" l="1"/>
  <c r="AD29" i="2"/>
  <c r="Y191" i="8"/>
  <c r="Y196" i="8"/>
  <c r="Y197" i="8"/>
  <c r="Y198" i="8"/>
  <c r="Y188" i="8"/>
  <c r="Y187" i="8" s="1"/>
  <c r="Y158" i="8"/>
  <c r="Y156" i="8"/>
  <c r="Y157" i="8"/>
  <c r="Y159" i="8"/>
  <c r="Y139" i="8"/>
  <c r="Y181" i="8" s="1"/>
  <c r="Y140" i="8"/>
  <c r="Y141" i="8"/>
  <c r="Y142" i="8"/>
  <c r="AD30" i="2"/>
  <c r="Y76" i="8"/>
  <c r="Y75" i="8"/>
  <c r="AD31" i="2"/>
  <c r="Y85" i="8"/>
  <c r="Y84" i="8"/>
  <c r="Y182" i="8" l="1"/>
  <c r="AD17" i="2"/>
  <c r="AD17" i="12"/>
  <c r="AD56" i="2"/>
  <c r="AD4" i="2" s="1"/>
  <c r="C7" i="11" s="1"/>
  <c r="E7" i="11" s="1"/>
  <c r="AD56" i="12"/>
  <c r="AD18" i="2"/>
  <c r="AD18" i="12"/>
  <c r="AD57" i="2"/>
  <c r="AD58" i="2" s="1"/>
  <c r="AD57" i="12"/>
  <c r="AD58" i="12" s="1"/>
  <c r="Y221" i="8"/>
  <c r="Y222" i="8"/>
  <c r="Y220" i="8"/>
  <c r="Y195" i="8"/>
  <c r="Y223" i="8" s="1"/>
  <c r="AD32" i="2"/>
  <c r="AD19" i="2"/>
  <c r="AD5" i="2" l="1"/>
  <c r="AD6" i="2" s="1"/>
  <c r="C8" i="11" s="1"/>
  <c r="E8" i="11" s="1"/>
  <c r="AD19" i="12"/>
  <c r="AD5" i="12"/>
  <c r="AD4" i="12"/>
  <c r="Y225" i="8"/>
  <c r="Y227" i="8" l="1"/>
  <c r="Y226" i="8"/>
  <c r="AD6" i="12"/>
  <c r="Y57" i="8"/>
  <c r="AC18" i="5" s="1"/>
  <c r="Y58" i="8"/>
  <c r="AC38" i="5" s="1"/>
  <c r="AC28" i="5"/>
  <c r="Y48" i="8"/>
  <c r="AD20" i="12" s="1"/>
  <c r="Y49" i="8"/>
  <c r="AD59" i="12" s="1"/>
  <c r="AD60" i="12" s="1"/>
  <c r="Y30" i="8"/>
  <c r="AC13" i="5" s="1"/>
  <c r="Y31" i="8"/>
  <c r="AC33" i="5" s="1"/>
  <c r="AC23" i="5"/>
  <c r="Y19" i="8"/>
  <c r="AD22" i="12" s="1"/>
  <c r="Y20" i="8"/>
  <c r="AD61" i="12" s="1"/>
  <c r="AD64" i="12" l="1"/>
  <c r="AD62" i="12"/>
  <c r="AD63" i="12"/>
  <c r="AD9" i="12"/>
  <c r="AD25" i="12"/>
  <c r="AD23" i="12"/>
  <c r="AD24" i="12"/>
  <c r="AD7" i="12"/>
  <c r="AD8" i="12" s="1"/>
  <c r="AD21" i="12"/>
  <c r="AC14" i="5"/>
  <c r="AC15" i="5" s="1"/>
  <c r="AD22" i="2"/>
  <c r="O48" i="6"/>
  <c r="AD20" i="2"/>
  <c r="AC17" i="5"/>
  <c r="AC3" i="5"/>
  <c r="AC27" i="5"/>
  <c r="AC29" i="5" s="1"/>
  <c r="AD33" i="2"/>
  <c r="AD34" i="2" s="1"/>
  <c r="AD35" i="2"/>
  <c r="AC24" i="5"/>
  <c r="AC25" i="5" s="1"/>
  <c r="AD61" i="2"/>
  <c r="AC34" i="5"/>
  <c r="AC35" i="5" s="1"/>
  <c r="O54" i="6"/>
  <c r="AC37" i="5"/>
  <c r="AC39" i="5" s="1"/>
  <c r="AD59" i="2"/>
  <c r="AD60" i="2" s="1"/>
  <c r="AC8" i="5"/>
  <c r="AA56" i="2"/>
  <c r="AC29" i="2"/>
  <c r="AD12" i="12" l="1"/>
  <c r="AD11" i="12"/>
  <c r="AD10" i="12"/>
  <c r="AD38" i="2"/>
  <c r="AD37" i="2"/>
  <c r="AD36" i="2"/>
  <c r="AC19" i="5"/>
  <c r="AC7" i="5"/>
  <c r="AC9" i="5" s="1"/>
  <c r="AD25" i="2"/>
  <c r="AD9" i="2"/>
  <c r="AD23" i="2"/>
  <c r="AD24" i="2"/>
  <c r="AD64" i="2"/>
  <c r="AD63" i="2"/>
  <c r="AD62" i="2"/>
  <c r="AD21" i="2"/>
  <c r="AD7" i="2"/>
  <c r="AD8" i="2" s="1"/>
  <c r="C9" i="11" s="1"/>
  <c r="E9" i="11" s="1"/>
  <c r="AC4" i="5"/>
  <c r="AC5" i="5" s="1"/>
  <c r="Z28" i="5"/>
  <c r="Y28" i="5"/>
  <c r="Z27" i="5"/>
  <c r="Z24" i="5"/>
  <c r="Z23" i="5"/>
  <c r="Y23" i="5"/>
  <c r="AC32" i="5"/>
  <c r="AB32" i="5"/>
  <c r="AC22" i="5"/>
  <c r="AB22" i="5"/>
  <c r="AC12" i="5"/>
  <c r="AB12" i="5"/>
  <c r="X196" i="8"/>
  <c r="X197" i="8"/>
  <c r="X198" i="8"/>
  <c r="X188" i="8"/>
  <c r="X189" i="8"/>
  <c r="X190" i="8"/>
  <c r="X191" i="8"/>
  <c r="X141" i="8"/>
  <c r="X142" i="8"/>
  <c r="X139" i="8"/>
  <c r="X140" i="8"/>
  <c r="Z25" i="5" l="1"/>
  <c r="X220" i="8"/>
  <c r="X222" i="8"/>
  <c r="Z29" i="5"/>
  <c r="X221" i="8"/>
  <c r="X195" i="8"/>
  <c r="AD12" i="2"/>
  <c r="C6" i="11"/>
  <c r="AD11" i="2"/>
  <c r="AD10" i="2"/>
  <c r="C10" i="11" s="1"/>
  <c r="E10" i="11" s="1"/>
  <c r="X187" i="8"/>
  <c r="X223" i="8" s="1"/>
  <c r="X84" i="8"/>
  <c r="X85" i="8"/>
  <c r="AC31" i="2"/>
  <c r="AC30" i="2"/>
  <c r="X76" i="8"/>
  <c r="X75" i="8"/>
  <c r="AC17" i="2" l="1"/>
  <c r="AC17" i="12"/>
  <c r="AC57" i="2"/>
  <c r="AC57" i="12"/>
  <c r="AC56" i="2"/>
  <c r="AC56" i="12"/>
  <c r="AC18" i="2"/>
  <c r="AC19" i="2" s="1"/>
  <c r="AC18" i="12"/>
  <c r="X227" i="8"/>
  <c r="AM237" i="8" s="1"/>
  <c r="AC4" i="2"/>
  <c r="C11" i="11"/>
  <c r="E11" i="11" s="1"/>
  <c r="AC5" i="2"/>
  <c r="AC32" i="2"/>
  <c r="X226" i="8" l="1"/>
  <c r="X225" i="8"/>
  <c r="AC58" i="2"/>
  <c r="AC58" i="12"/>
  <c r="AC4" i="12"/>
  <c r="AC19" i="12"/>
  <c r="AC5" i="12"/>
  <c r="AC6" i="2"/>
  <c r="X57" i="8"/>
  <c r="AB18" i="5" s="1"/>
  <c r="X58" i="8"/>
  <c r="AB38" i="5" s="1"/>
  <c r="AB28" i="5"/>
  <c r="X48" i="8"/>
  <c r="AC20" i="12" s="1"/>
  <c r="X49" i="8"/>
  <c r="AC59" i="12" s="1"/>
  <c r="AC60" i="12" s="1"/>
  <c r="X30" i="8"/>
  <c r="AB13" i="5" s="1"/>
  <c r="X31" i="8"/>
  <c r="AB33" i="5" s="1"/>
  <c r="AB23" i="5"/>
  <c r="X19" i="8"/>
  <c r="AC22" i="12" s="1"/>
  <c r="X20" i="8"/>
  <c r="AC61" i="12" s="1"/>
  <c r="AC21" i="12" l="1"/>
  <c r="AC7" i="12"/>
  <c r="AC8" i="12" s="1"/>
  <c r="AC63" i="12"/>
  <c r="AC62" i="12"/>
  <c r="AC64" i="12"/>
  <c r="AC25" i="12"/>
  <c r="AC9" i="12"/>
  <c r="AC24" i="12"/>
  <c r="AC23" i="12"/>
  <c r="AC6" i="12"/>
  <c r="AB3" i="5"/>
  <c r="AC35" i="2"/>
  <c r="AB24" i="5"/>
  <c r="AB25" i="5" s="1"/>
  <c r="AC33" i="2"/>
  <c r="AC34" i="2" s="1"/>
  <c r="AB27" i="5"/>
  <c r="AB29" i="5" s="1"/>
  <c r="AC59" i="2"/>
  <c r="AC60" i="2" s="1"/>
  <c r="AB37" i="5"/>
  <c r="AB39" i="5" s="1"/>
  <c r="AB8" i="5"/>
  <c r="AC61" i="2"/>
  <c r="N54" i="6"/>
  <c r="AB34" i="5"/>
  <c r="AC22" i="2"/>
  <c r="N48" i="6"/>
  <c r="AB14" i="5"/>
  <c r="AB35" i="5"/>
  <c r="AC20" i="2"/>
  <c r="AB17" i="5"/>
  <c r="AA32" i="5"/>
  <c r="Z32" i="5"/>
  <c r="AA22" i="5"/>
  <c r="Z22" i="5"/>
  <c r="AA12" i="5"/>
  <c r="AC11" i="12" l="1"/>
  <c r="AC10" i="12"/>
  <c r="AC12" i="12"/>
  <c r="AB7" i="5"/>
  <c r="AB9" i="5" s="1"/>
  <c r="AC38" i="2"/>
  <c r="AC36" i="2"/>
  <c r="AC37" i="2"/>
  <c r="AC21" i="2"/>
  <c r="AC7" i="2"/>
  <c r="AC8" i="2" s="1"/>
  <c r="AC25" i="2"/>
  <c r="AC24" i="2"/>
  <c r="AC9" i="2"/>
  <c r="AC23" i="2"/>
  <c r="AB19" i="5"/>
  <c r="AC63" i="2"/>
  <c r="AC64" i="2"/>
  <c r="AC62" i="2"/>
  <c r="AB4" i="5"/>
  <c r="AB5" i="5" s="1"/>
  <c r="AB15" i="5"/>
  <c r="AB29" i="2"/>
  <c r="W196" i="8"/>
  <c r="W197" i="8"/>
  <c r="W198" i="8"/>
  <c r="W191" i="8"/>
  <c r="W188" i="8"/>
  <c r="W189" i="8"/>
  <c r="W190" i="8"/>
  <c r="W220" i="8" l="1"/>
  <c r="Z220" i="8" s="1"/>
  <c r="W221" i="8"/>
  <c r="Z221" i="8" s="1"/>
  <c r="W222" i="8"/>
  <c r="Z222" i="8" s="1"/>
  <c r="W195" i="8"/>
  <c r="AC12" i="2"/>
  <c r="AC10" i="2"/>
  <c r="AC11" i="2"/>
  <c r="W187" i="8"/>
  <c r="W223" i="8" s="1"/>
  <c r="Z223" i="8" s="1"/>
  <c r="W141" i="8"/>
  <c r="W142" i="8"/>
  <c r="W139" i="8"/>
  <c r="W140" i="8"/>
  <c r="W156" i="8"/>
  <c r="X156" i="8" s="1"/>
  <c r="W157" i="8"/>
  <c r="X157" i="8" s="1"/>
  <c r="W158" i="8"/>
  <c r="X158" i="8" s="1"/>
  <c r="W159" i="8"/>
  <c r="X159" i="8" s="1"/>
  <c r="W182" i="8" l="1"/>
  <c r="W181" i="8"/>
  <c r="X182" i="8"/>
  <c r="X181" i="8"/>
  <c r="W227" i="8"/>
  <c r="W85" i="8"/>
  <c r="AB57" i="12" s="1"/>
  <c r="W84" i="8"/>
  <c r="AB18" i="12" s="1"/>
  <c r="W225" i="8" l="1"/>
  <c r="W226" i="8"/>
  <c r="AB5" i="12"/>
  <c r="AB57" i="2"/>
  <c r="AB18" i="2"/>
  <c r="AB31" i="2"/>
  <c r="W129" i="8"/>
  <c r="AB16" i="12" s="1"/>
  <c r="AB3" i="12" s="1"/>
  <c r="W130" i="8"/>
  <c r="AB55" i="12" s="1"/>
  <c r="AB30" i="2"/>
  <c r="W76" i="8"/>
  <c r="W75" i="8"/>
  <c r="AB17" i="2" l="1"/>
  <c r="AB17" i="12"/>
  <c r="AB56" i="2"/>
  <c r="AB58" i="2" s="1"/>
  <c r="AB56" i="12"/>
  <c r="AB58" i="12" s="1"/>
  <c r="AB5" i="2"/>
  <c r="AB32" i="2"/>
  <c r="X130" i="8"/>
  <c r="AC55" i="12" s="1"/>
  <c r="AB55" i="2"/>
  <c r="X129" i="8"/>
  <c r="AC16" i="12" s="1"/>
  <c r="AB16" i="2"/>
  <c r="AZ89" i="8"/>
  <c r="AZ98" i="8" s="1"/>
  <c r="AB19" i="2"/>
  <c r="W57" i="8"/>
  <c r="W58" i="8"/>
  <c r="W48" i="8"/>
  <c r="AB20" i="12" s="1"/>
  <c r="W49" i="8"/>
  <c r="AB59" i="12" s="1"/>
  <c r="AB60" i="12" s="1"/>
  <c r="W30" i="8"/>
  <c r="W31" i="8"/>
  <c r="W20" i="8"/>
  <c r="AB61" i="12" s="1"/>
  <c r="W19" i="8"/>
  <c r="AB22" i="12" s="1"/>
  <c r="AC3" i="12" l="1"/>
  <c r="AB4" i="2"/>
  <c r="AB6" i="2" s="1"/>
  <c r="AB9" i="12"/>
  <c r="AB23" i="12"/>
  <c r="AB25" i="12"/>
  <c r="AB24" i="12"/>
  <c r="AB4" i="12"/>
  <c r="AB6" i="12" s="1"/>
  <c r="AB19" i="12"/>
  <c r="AB62" i="12"/>
  <c r="AB63" i="12"/>
  <c r="AB64" i="12"/>
  <c r="AB7" i="12"/>
  <c r="AB8" i="12" s="1"/>
  <c r="AB21" i="12"/>
  <c r="AB3" i="2"/>
  <c r="Y129" i="8"/>
  <c r="AD16" i="12" s="1"/>
  <c r="AC16" i="2"/>
  <c r="Y130" i="8"/>
  <c r="AC55" i="2"/>
  <c r="AZ103" i="8"/>
  <c r="AA18" i="5"/>
  <c r="AZ102" i="8"/>
  <c r="AA38" i="5"/>
  <c r="AZ67" i="8"/>
  <c r="AA33" i="5"/>
  <c r="AA13" i="5"/>
  <c r="AA28" i="5"/>
  <c r="AA23" i="5"/>
  <c r="AB35" i="2"/>
  <c r="AB37" i="2" s="1"/>
  <c r="AA24" i="5"/>
  <c r="AB33" i="2"/>
  <c r="AB34" i="2" s="1"/>
  <c r="AA27" i="5"/>
  <c r="AA37" i="5"/>
  <c r="AB59" i="2"/>
  <c r="AB60" i="2" s="1"/>
  <c r="AA14" i="5"/>
  <c r="M48" i="6"/>
  <c r="AB22" i="2"/>
  <c r="AA17" i="5"/>
  <c r="AB20" i="2"/>
  <c r="AA34" i="5"/>
  <c r="AB61" i="2"/>
  <c r="M54" i="6"/>
  <c r="AE18" i="8"/>
  <c r="AD55" i="2" l="1"/>
  <c r="AD55" i="12"/>
  <c r="AD3" i="12"/>
  <c r="AB11" i="12"/>
  <c r="AB10" i="12"/>
  <c r="AB12" i="12"/>
  <c r="AA15" i="5"/>
  <c r="AA8" i="5"/>
  <c r="AA3" i="5"/>
  <c r="AB38" i="2"/>
  <c r="AA29" i="5"/>
  <c r="AC3" i="2"/>
  <c r="AA35" i="5"/>
  <c r="AB36" i="2"/>
  <c r="AD16" i="2"/>
  <c r="AD3" i="2" s="1"/>
  <c r="AZ66" i="8"/>
  <c r="AZ62" i="8"/>
  <c r="AA39" i="5"/>
  <c r="AA4" i="5"/>
  <c r="AA25" i="5"/>
  <c r="AB64" i="2"/>
  <c r="AB62" i="2"/>
  <c r="AB63" i="2"/>
  <c r="AB25" i="2"/>
  <c r="AB24" i="2"/>
  <c r="AB23" i="2"/>
  <c r="AB9" i="2"/>
  <c r="AA19" i="5"/>
  <c r="AA7" i="5"/>
  <c r="AB21" i="2"/>
  <c r="AB7" i="2"/>
  <c r="AB8" i="2" s="1"/>
  <c r="W24" i="8"/>
  <c r="M9" i="6" l="1"/>
  <c r="M10" i="6"/>
  <c r="AA9" i="5"/>
  <c r="AA5" i="5"/>
  <c r="AW25" i="8"/>
  <c r="AB12" i="2"/>
  <c r="AB11" i="2"/>
  <c r="AB10" i="2"/>
  <c r="M18" i="6"/>
  <c r="AB16" i="6" s="1"/>
  <c r="T80" i="8" l="1"/>
  <c r="CC43" i="7" l="1"/>
  <c r="CD43" i="7"/>
  <c r="CF40" i="7"/>
  <c r="CC33" i="7"/>
  <c r="CE33" i="7" s="1"/>
  <c r="CD33" i="7"/>
  <c r="CF33" i="7" s="1"/>
  <c r="CC34" i="7"/>
  <c r="CD34" i="7"/>
  <c r="CF34" i="7" s="1"/>
  <c r="CC35" i="7"/>
  <c r="CD35" i="7"/>
  <c r="CF35" i="7" s="1"/>
  <c r="CC36" i="7"/>
  <c r="CD36" i="7"/>
  <c r="CC37" i="7"/>
  <c r="CD37" i="7"/>
  <c r="CF37" i="7" s="1"/>
  <c r="CC45" i="7"/>
  <c r="CD45" i="7"/>
  <c r="CC44" i="7"/>
  <c r="CD44" i="7"/>
  <c r="CF44" i="7" s="1"/>
  <c r="CC41" i="7"/>
  <c r="CD41" i="7"/>
  <c r="CC42" i="7"/>
  <c r="CD42" i="7"/>
  <c r="CC39" i="7"/>
  <c r="CD39" i="7"/>
  <c r="CC59" i="7"/>
  <c r="CD59" i="7"/>
  <c r="CC57" i="7"/>
  <c r="CD57" i="7"/>
  <c r="CC55" i="7"/>
  <c r="CD55" i="7"/>
  <c r="CC56" i="7"/>
  <c r="CD56" i="7"/>
  <c r="CC48" i="7"/>
  <c r="CD48" i="7"/>
  <c r="CC49" i="7"/>
  <c r="CD49" i="7"/>
  <c r="CC50" i="7"/>
  <c r="CD50" i="7"/>
  <c r="CC51" i="7"/>
  <c r="CD51" i="7"/>
  <c r="CC52" i="7"/>
  <c r="CD52" i="7"/>
  <c r="CC53" i="7"/>
  <c r="CD53" i="7"/>
  <c r="CC54" i="7"/>
  <c r="CD54" i="7"/>
  <c r="CH61" i="7"/>
  <c r="CM58" i="7"/>
  <c r="CL58" i="7"/>
  <c r="CF58" i="7" s="1"/>
  <c r="CK58" i="7"/>
  <c r="CI58" i="7"/>
  <c r="CJ58" i="7" s="1"/>
  <c r="CE58" i="7"/>
  <c r="CM57" i="7"/>
  <c r="CL57" i="7"/>
  <c r="CF57" i="7" s="1"/>
  <c r="CK57" i="7"/>
  <c r="CI57" i="7"/>
  <c r="CJ57" i="7" s="1"/>
  <c r="CM56" i="7"/>
  <c r="CL56" i="7"/>
  <c r="CK56" i="7"/>
  <c r="CI56" i="7"/>
  <c r="CJ56" i="7" s="1"/>
  <c r="CM55" i="7"/>
  <c r="CL55" i="7"/>
  <c r="CK55" i="7"/>
  <c r="CI55" i="7"/>
  <c r="CJ55" i="7" s="1"/>
  <c r="CM54" i="7"/>
  <c r="CL54" i="7"/>
  <c r="CK54" i="7"/>
  <c r="CI54" i="7"/>
  <c r="CM53" i="7"/>
  <c r="CL53" i="7"/>
  <c r="CF53" i="7" s="1"/>
  <c r="CK53" i="7"/>
  <c r="CI53" i="7"/>
  <c r="CM52" i="7"/>
  <c r="CL52" i="7"/>
  <c r="CK52" i="7"/>
  <c r="CI52" i="7"/>
  <c r="CM50" i="7"/>
  <c r="CL50" i="7"/>
  <c r="CK50" i="7"/>
  <c r="CI50" i="7"/>
  <c r="CE50" i="7"/>
  <c r="CM49" i="7"/>
  <c r="CL49" i="7"/>
  <c r="CK49" i="7"/>
  <c r="CI49" i="7"/>
  <c r="CM48" i="7"/>
  <c r="CL48" i="7"/>
  <c r="CK48" i="7"/>
  <c r="CI48" i="7"/>
  <c r="CG48" i="7" s="1"/>
  <c r="CM46" i="7"/>
  <c r="CL46" i="7"/>
  <c r="CK46" i="7"/>
  <c r="CI45" i="7"/>
  <c r="CG45" i="7" s="1"/>
  <c r="CH45" i="7"/>
  <c r="CF45" i="7"/>
  <c r="CI44" i="7"/>
  <c r="CH44" i="7"/>
  <c r="CI42" i="7"/>
  <c r="CH42" i="7"/>
  <c r="CI41" i="7"/>
  <c r="CG41" i="7" s="1"/>
  <c r="CH41" i="7"/>
  <c r="CF41" i="7"/>
  <c r="CE40" i="7"/>
  <c r="CI39" i="7"/>
  <c r="CH39" i="7"/>
  <c r="CG38" i="7"/>
  <c r="CF38" i="7"/>
  <c r="CE38" i="7"/>
  <c r="CI37" i="7"/>
  <c r="CH37" i="7"/>
  <c r="CI36" i="7"/>
  <c r="CH36" i="7"/>
  <c r="CF36" i="7"/>
  <c r="CI35" i="7"/>
  <c r="CG35" i="7" s="1"/>
  <c r="CH35" i="7"/>
  <c r="CI34" i="7"/>
  <c r="CH34" i="7"/>
  <c r="CI33" i="7"/>
  <c r="CH33" i="7"/>
  <c r="CM31" i="7"/>
  <c r="CK30" i="7"/>
  <c r="CI30" i="7"/>
  <c r="CH30" i="7"/>
  <c r="CJ30" i="7" s="1"/>
  <c r="CD30" i="7"/>
  <c r="CF30" i="7" s="1"/>
  <c r="CC30" i="7"/>
  <c r="CI29" i="7"/>
  <c r="CH29" i="7"/>
  <c r="CJ29" i="7" s="1"/>
  <c r="CD29" i="7"/>
  <c r="CF29" i="7" s="1"/>
  <c r="CC29" i="7"/>
  <c r="CK28" i="7"/>
  <c r="CJ28" i="7"/>
  <c r="CI28" i="7"/>
  <c r="CK27" i="7"/>
  <c r="CJ27" i="7"/>
  <c r="CI27" i="7"/>
  <c r="CL26" i="7"/>
  <c r="CL14" i="7" s="1"/>
  <c r="CK26" i="7"/>
  <c r="CI26" i="7"/>
  <c r="CH26" i="7"/>
  <c r="CJ26" i="7" s="1"/>
  <c r="CD26" i="7"/>
  <c r="CD14" i="7" s="1"/>
  <c r="CC26" i="7"/>
  <c r="CH25" i="7"/>
  <c r="CH31" i="7" s="1"/>
  <c r="CJ31" i="7" s="1"/>
  <c r="CD25" i="7"/>
  <c r="CD31" i="7" s="1"/>
  <c r="CC25" i="7"/>
  <c r="CK24" i="7"/>
  <c r="CK13" i="7" s="1"/>
  <c r="CJ24" i="7"/>
  <c r="CI24" i="7"/>
  <c r="CG24" i="7" s="1"/>
  <c r="CF24" i="7"/>
  <c r="CE24" i="7"/>
  <c r="CJ23" i="7"/>
  <c r="CG23" i="7"/>
  <c r="CF23" i="7"/>
  <c r="CE23" i="7"/>
  <c r="CH22" i="7"/>
  <c r="CC21" i="7"/>
  <c r="CM16" i="7"/>
  <c r="CL16" i="7"/>
  <c r="CK16" i="7"/>
  <c r="CM15" i="7"/>
  <c r="CL15" i="7"/>
  <c r="CK15" i="7"/>
  <c r="CM14" i="7"/>
  <c r="CH14" i="7"/>
  <c r="CM13" i="7"/>
  <c r="CL13" i="7"/>
  <c r="CH13" i="7"/>
  <c r="CH17" i="7" s="1"/>
  <c r="CH12" i="7"/>
  <c r="CC11" i="7"/>
  <c r="CA26" i="7"/>
  <c r="CA31" i="7" s="1"/>
  <c r="BX29" i="7"/>
  <c r="BZ48" i="7"/>
  <c r="CA48" i="7"/>
  <c r="CB48" i="7"/>
  <c r="BZ50" i="7"/>
  <c r="CA50" i="7"/>
  <c r="CB50" i="7"/>
  <c r="BZ52" i="7"/>
  <c r="CA52" i="7"/>
  <c r="CB52" i="7"/>
  <c r="BZ53" i="7"/>
  <c r="CA53" i="7"/>
  <c r="CB53" i="7"/>
  <c r="BZ54" i="7"/>
  <c r="CA54" i="7"/>
  <c r="CB54" i="7"/>
  <c r="BZ55" i="7"/>
  <c r="CA55" i="7"/>
  <c r="CB55" i="7"/>
  <c r="BZ56" i="7"/>
  <c r="CA56" i="7"/>
  <c r="CB56" i="7"/>
  <c r="BZ57" i="7"/>
  <c r="CA57" i="7"/>
  <c r="CB57" i="7"/>
  <c r="BZ58" i="7"/>
  <c r="CA58" i="7"/>
  <c r="CB58" i="7"/>
  <c r="BZ49" i="7"/>
  <c r="CA49" i="7"/>
  <c r="CB49" i="7"/>
  <c r="CB31" i="7"/>
  <c r="BZ28" i="7"/>
  <c r="BZ27" i="7"/>
  <c r="BZ26" i="7"/>
  <c r="BZ30" i="7"/>
  <c r="BZ24" i="7"/>
  <c r="BX26" i="7"/>
  <c r="CG54" i="7" l="1"/>
  <c r="CE55" i="7"/>
  <c r="CE44" i="7"/>
  <c r="CE57" i="7"/>
  <c r="CE41" i="7"/>
  <c r="CE45" i="7"/>
  <c r="CC61" i="7"/>
  <c r="CF52" i="7"/>
  <c r="CJ42" i="7"/>
  <c r="CE52" i="7"/>
  <c r="CE48" i="7"/>
  <c r="CE42" i="7"/>
  <c r="CF54" i="7"/>
  <c r="CF55" i="7"/>
  <c r="CM7" i="7"/>
  <c r="CG37" i="7"/>
  <c r="CH16" i="7"/>
  <c r="CG50" i="7"/>
  <c r="CK7" i="7"/>
  <c r="CK14" i="7"/>
  <c r="CK6" i="7" s="1"/>
  <c r="CK8" i="7" s="1"/>
  <c r="CE29" i="7"/>
  <c r="CH46" i="7"/>
  <c r="CH62" i="7" s="1"/>
  <c r="CE35" i="7"/>
  <c r="CE37" i="7"/>
  <c r="CF48" i="7"/>
  <c r="CG52" i="7"/>
  <c r="CE54" i="7"/>
  <c r="CG55" i="7"/>
  <c r="CE53" i="7"/>
  <c r="CF49" i="7"/>
  <c r="CD61" i="7"/>
  <c r="CE61" i="7" s="1"/>
  <c r="CE36" i="7"/>
  <c r="CI13" i="7"/>
  <c r="CD13" i="7"/>
  <c r="CF13" i="7" s="1"/>
  <c r="CI15" i="7"/>
  <c r="CG44" i="7"/>
  <c r="CF50" i="7"/>
  <c r="CC15" i="7"/>
  <c r="CG40" i="7"/>
  <c r="CG34" i="7"/>
  <c r="CE34" i="7"/>
  <c r="CG36" i="7"/>
  <c r="CD15" i="7"/>
  <c r="CF15" i="7" s="1"/>
  <c r="CE56" i="7"/>
  <c r="CF56" i="7"/>
  <c r="CE49" i="7"/>
  <c r="CG53" i="7"/>
  <c r="CG49" i="7"/>
  <c r="CF42" i="7"/>
  <c r="BZ31" i="7"/>
  <c r="CL6" i="7"/>
  <c r="CJ35" i="7"/>
  <c r="CG57" i="7"/>
  <c r="CC31" i="7"/>
  <c r="CE31" i="7" s="1"/>
  <c r="CM17" i="7"/>
  <c r="CG29" i="7"/>
  <c r="CG39" i="7"/>
  <c r="CF14" i="7"/>
  <c r="CH15" i="7"/>
  <c r="CI16" i="7"/>
  <c r="CE26" i="7"/>
  <c r="CF26" i="7"/>
  <c r="CG30" i="7"/>
  <c r="CI46" i="7"/>
  <c r="CJ39" i="7"/>
  <c r="CJ41" i="7"/>
  <c r="CJ45" i="7"/>
  <c r="CJ48" i="7"/>
  <c r="CJ49" i="7"/>
  <c r="CJ50" i="7"/>
  <c r="CJ52" i="7"/>
  <c r="CJ53" i="7"/>
  <c r="CG56" i="7"/>
  <c r="CC14" i="7"/>
  <c r="CE14" i="7" s="1"/>
  <c r="CC16" i="7"/>
  <c r="CJ44" i="7"/>
  <c r="CK61" i="7"/>
  <c r="CL7" i="7"/>
  <c r="CC13" i="7"/>
  <c r="CI14" i="7"/>
  <c r="CD16" i="7"/>
  <c r="CK31" i="7"/>
  <c r="CG26" i="7"/>
  <c r="CE30" i="7"/>
  <c r="CL31" i="7"/>
  <c r="CF31" i="7" s="1"/>
  <c r="CG33" i="7"/>
  <c r="CJ37" i="7"/>
  <c r="CC46" i="7"/>
  <c r="CL61" i="7"/>
  <c r="CM61" i="7"/>
  <c r="CM62" i="7" s="1"/>
  <c r="CG58" i="7"/>
  <c r="CD62" i="7"/>
  <c r="CH6" i="7"/>
  <c r="CH8" i="7" s="1"/>
  <c r="CM6" i="7"/>
  <c r="CM8" i="7" s="1"/>
  <c r="CL17" i="7"/>
  <c r="CE25" i="7"/>
  <c r="CJ25" i="7"/>
  <c r="CI31" i="7"/>
  <c r="CG31" i="7" s="1"/>
  <c r="CJ34" i="7"/>
  <c r="CJ36" i="7"/>
  <c r="CE39" i="7"/>
  <c r="CG42" i="7"/>
  <c r="CI61" i="7"/>
  <c r="CF25" i="7"/>
  <c r="CF39" i="7"/>
  <c r="CD46" i="7"/>
  <c r="CG25" i="7"/>
  <c r="CJ33" i="7"/>
  <c r="CF61" i="7" l="1"/>
  <c r="CC62" i="7"/>
  <c r="CE62" i="7" s="1"/>
  <c r="CK17" i="7"/>
  <c r="CH7" i="7"/>
  <c r="CD17" i="7"/>
  <c r="CD6" i="7"/>
  <c r="CD8" i="7" s="1"/>
  <c r="CC7" i="7"/>
  <c r="CG13" i="7"/>
  <c r="CJ46" i="7"/>
  <c r="CG15" i="7"/>
  <c r="CE15" i="7"/>
  <c r="CE16" i="7"/>
  <c r="CL62" i="7"/>
  <c r="CF62" i="7" s="1"/>
  <c r="CK62" i="7"/>
  <c r="CC17" i="7"/>
  <c r="CG14" i="7"/>
  <c r="CI6" i="7"/>
  <c r="CE13" i="7"/>
  <c r="CJ15" i="7"/>
  <c r="CC6" i="7"/>
  <c r="CG16" i="7"/>
  <c r="CL8" i="7"/>
  <c r="CI17" i="7"/>
  <c r="CJ17" i="7" s="1"/>
  <c r="CF16" i="7"/>
  <c r="CD7" i="7"/>
  <c r="CJ16" i="7"/>
  <c r="CI7" i="7"/>
  <c r="CF17" i="7"/>
  <c r="CI62" i="7"/>
  <c r="CF46" i="7"/>
  <c r="CE46" i="7"/>
  <c r="CG61" i="7"/>
  <c r="CJ61" i="7"/>
  <c r="CG46" i="7"/>
  <c r="CF6" i="7" l="1"/>
  <c r="CE17" i="7"/>
  <c r="CF8" i="7"/>
  <c r="CG6" i="7"/>
  <c r="CE7" i="7"/>
  <c r="CC8" i="7"/>
  <c r="CE8" i="7" s="1"/>
  <c r="CE6" i="7"/>
  <c r="CF7" i="7"/>
  <c r="CJ7" i="7"/>
  <c r="CG7" i="7"/>
  <c r="CI8" i="7"/>
  <c r="CG17" i="7"/>
  <c r="CG62" i="7"/>
  <c r="CJ62" i="7"/>
  <c r="CJ8" i="7" l="1"/>
  <c r="CG8" i="7"/>
  <c r="BY28" i="7" l="1"/>
  <c r="BY27" i="7"/>
  <c r="BY24" i="7"/>
  <c r="BY23" i="7"/>
  <c r="BX30" i="7"/>
  <c r="BX28" i="7"/>
  <c r="BX27" i="7"/>
  <c r="BX24" i="7" l="1"/>
  <c r="BX31" i="7" s="1"/>
  <c r="BX54" i="7"/>
  <c r="BX55" i="7"/>
  <c r="BX56" i="7"/>
  <c r="BX57" i="7"/>
  <c r="BX58" i="7"/>
  <c r="BX53" i="7"/>
  <c r="BX52" i="7"/>
  <c r="BX50" i="7"/>
  <c r="BX49" i="7"/>
  <c r="BX48" i="7"/>
  <c r="BX39" i="7"/>
  <c r="BX40" i="7"/>
  <c r="BX41" i="7"/>
  <c r="BX42" i="7"/>
  <c r="BX44" i="7"/>
  <c r="BX45" i="7"/>
  <c r="BX33" i="7"/>
  <c r="BX34" i="7"/>
  <c r="BX35" i="7"/>
  <c r="BX36" i="7"/>
  <c r="BX37" i="7"/>
  <c r="BW45" i="7"/>
  <c r="BW44" i="7"/>
  <c r="BW42" i="7"/>
  <c r="BW41" i="7"/>
  <c r="BW40" i="7"/>
  <c r="BW39" i="7"/>
  <c r="BW37" i="7"/>
  <c r="BW36" i="7"/>
  <c r="BW35" i="7"/>
  <c r="BW34" i="7"/>
  <c r="BW33" i="7"/>
  <c r="BW30" i="7"/>
  <c r="BY30" i="7" s="1"/>
  <c r="BW29" i="7"/>
  <c r="BY29" i="7" s="1"/>
  <c r="BW26" i="7"/>
  <c r="BY26" i="7" s="1"/>
  <c r="BW25" i="7"/>
  <c r="BY25" i="7" s="1"/>
  <c r="Z33" i="5" l="1"/>
  <c r="Z12" i="5"/>
  <c r="Z38" i="5"/>
  <c r="Z37" i="5"/>
  <c r="Z34" i="5"/>
  <c r="Z18" i="5"/>
  <c r="Z17" i="5"/>
  <c r="Z14" i="5"/>
  <c r="Z4" i="5" s="1"/>
  <c r="B59" i="2"/>
  <c r="B57" i="2"/>
  <c r="B56" i="2"/>
  <c r="B55" i="2"/>
  <c r="Z8" i="5" l="1"/>
  <c r="Z19" i="5"/>
  <c r="Z39" i="5"/>
  <c r="Z35" i="5"/>
  <c r="Z7" i="5"/>
  <c r="Z9" i="5" s="1"/>
  <c r="B60" i="2"/>
  <c r="B58" i="2"/>
  <c r="AA61" i="2" l="1"/>
  <c r="AA59" i="2"/>
  <c r="AA57" i="2"/>
  <c r="AA55" i="2"/>
  <c r="AA35" i="2"/>
  <c r="AA33" i="2"/>
  <c r="AA31" i="2"/>
  <c r="AA30" i="2"/>
  <c r="AA29" i="2"/>
  <c r="AA22" i="2"/>
  <c r="AA20" i="2"/>
  <c r="AA18" i="2"/>
  <c r="AA17" i="2"/>
  <c r="AA16" i="2"/>
  <c r="AA60" i="2" l="1"/>
  <c r="AA25" i="2"/>
  <c r="AA34" i="2"/>
  <c r="AA38" i="2"/>
  <c r="AA64" i="2"/>
  <c r="AA21" i="2"/>
  <c r="AA32" i="2"/>
  <c r="AA3" i="2"/>
  <c r="AA62" i="2"/>
  <c r="AA7" i="2"/>
  <c r="AA36" i="2"/>
  <c r="AA37" i="2"/>
  <c r="AA5" i="2"/>
  <c r="AA9" i="2"/>
  <c r="AA19" i="2"/>
  <c r="AA23" i="2"/>
  <c r="AA24" i="2"/>
  <c r="L54" i="6"/>
  <c r="L48" i="6"/>
  <c r="V174" i="8"/>
  <c r="V170" i="8"/>
  <c r="V169" i="8"/>
  <c r="V195" i="8"/>
  <c r="V191" i="8"/>
  <c r="V222" i="8"/>
  <c r="V221" i="8"/>
  <c r="V220" i="8"/>
  <c r="V141" i="8"/>
  <c r="AZ149" i="8" s="1"/>
  <c r="AZ183" i="8" s="1"/>
  <c r="V30" i="8"/>
  <c r="Z13" i="5" s="1"/>
  <c r="AA10" i="2" l="1"/>
  <c r="AA8" i="2"/>
  <c r="Z15" i="5"/>
  <c r="Z3" i="5"/>
  <c r="Z5" i="5" s="1"/>
  <c r="V225" i="8"/>
  <c r="V173" i="8"/>
  <c r="AA12" i="2"/>
  <c r="V226" i="8" l="1"/>
  <c r="V227" i="8"/>
  <c r="V35" i="8"/>
  <c r="Y121" i="8" l="1"/>
  <c r="X121" i="8"/>
  <c r="W121" i="8"/>
  <c r="V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Y112" i="8"/>
  <c r="X112" i="8"/>
  <c r="W112" i="8"/>
  <c r="V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Y103" i="8"/>
  <c r="X103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Y94" i="8"/>
  <c r="X94" i="8"/>
  <c r="W94" i="8"/>
  <c r="V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D48" i="6"/>
  <c r="E48" i="6"/>
  <c r="F48" i="6"/>
  <c r="G48" i="6"/>
  <c r="H48" i="6"/>
  <c r="I48" i="6"/>
  <c r="U20" i="8" l="1"/>
  <c r="U19" i="8"/>
  <c r="K48" i="6" s="1"/>
  <c r="U18" i="8"/>
  <c r="BR41" i="7"/>
  <c r="BR42" i="7"/>
  <c r="BS42" i="7"/>
  <c r="BR40" i="7"/>
  <c r="BR39" i="7"/>
  <c r="BS39" i="7"/>
  <c r="Y27" i="5" l="1"/>
  <c r="Y29" i="5" s="1"/>
  <c r="K54" i="6"/>
  <c r="U112" i="8"/>
  <c r="U24" i="8"/>
  <c r="Y24" i="5"/>
  <c r="Y25" i="5" s="1"/>
  <c r="AU25" i="8" l="1"/>
  <c r="K9" i="6"/>
  <c r="AZ106" i="8"/>
  <c r="AZ70" i="8"/>
  <c r="F4" i="11"/>
  <c r="C4" i="11"/>
  <c r="AZ107" i="8" l="1"/>
  <c r="AZ71" i="8"/>
  <c r="BS25" i="7"/>
  <c r="BS26" i="7"/>
  <c r="BS29" i="7"/>
  <c r="BS30" i="7"/>
  <c r="BR25" i="7"/>
  <c r="BR26" i="7"/>
  <c r="BR29" i="7"/>
  <c r="BR30" i="7"/>
  <c r="BR31" i="7" l="1"/>
  <c r="BW31" i="7"/>
  <c r="BY31" i="7" s="1"/>
  <c r="BS31" i="7"/>
  <c r="BV31" i="7" s="1"/>
  <c r="CB61" i="7"/>
  <c r="CA61" i="7"/>
  <c r="BZ61" i="7"/>
  <c r="BX61" i="7"/>
  <c r="BW61" i="7"/>
  <c r="BS61" i="7"/>
  <c r="BR61" i="7"/>
  <c r="BQ61" i="7"/>
  <c r="BP61" i="7"/>
  <c r="BO61" i="7"/>
  <c r="BM61" i="7"/>
  <c r="BL61" i="7"/>
  <c r="BH61" i="7"/>
  <c r="BG61" i="7"/>
  <c r="BF61" i="7"/>
  <c r="BE61" i="7"/>
  <c r="BA61" i="7" s="1"/>
  <c r="BD61" i="7"/>
  <c r="BC61" i="7"/>
  <c r="BB61" i="7" s="1"/>
  <c r="AZ61" i="7"/>
  <c r="AW61" i="7"/>
  <c r="AV61" i="7"/>
  <c r="AR61" i="7" s="1"/>
  <c r="AU61" i="7"/>
  <c r="AT61" i="7"/>
  <c r="AS61" i="7" s="1"/>
  <c r="AQ61" i="7"/>
  <c r="AN61" i="7"/>
  <c r="AM61" i="7"/>
  <c r="AI61" i="7" s="1"/>
  <c r="AL61" i="7"/>
  <c r="AK61" i="7"/>
  <c r="AJ61" i="7" s="1"/>
  <c r="AH61" i="7"/>
  <c r="AE61" i="7"/>
  <c r="AD61" i="7"/>
  <c r="Z61" i="7" s="1"/>
  <c r="AC61" i="7"/>
  <c r="AB61" i="7"/>
  <c r="AA61" i="7" s="1"/>
  <c r="Y61" i="7"/>
  <c r="V61" i="7"/>
  <c r="U61" i="7"/>
  <c r="Q61" i="7" s="1"/>
  <c r="T61" i="7"/>
  <c r="S61" i="7"/>
  <c r="R61" i="7"/>
  <c r="P61" i="7"/>
  <c r="M61" i="7"/>
  <c r="L61" i="7"/>
  <c r="K61" i="7"/>
  <c r="J61" i="7"/>
  <c r="F61" i="7"/>
  <c r="E61" i="7"/>
  <c r="CN58" i="7"/>
  <c r="BY58" i="7"/>
  <c r="BV58" i="7"/>
  <c r="BU58" i="7"/>
  <c r="BT58" i="7"/>
  <c r="CN57" i="7"/>
  <c r="BY57" i="7"/>
  <c r="BV57" i="7"/>
  <c r="BU57" i="7"/>
  <c r="BT57" i="7"/>
  <c r="CN56" i="7"/>
  <c r="BY56" i="7"/>
  <c r="BV56" i="7"/>
  <c r="BU56" i="7"/>
  <c r="BT56" i="7"/>
  <c r="CN55" i="7"/>
  <c r="BY55" i="7"/>
  <c r="BV55" i="7"/>
  <c r="BU55" i="7"/>
  <c r="BT55" i="7"/>
  <c r="CN54" i="7"/>
  <c r="BV54" i="7"/>
  <c r="BU54" i="7"/>
  <c r="BT54" i="7"/>
  <c r="CN53" i="7"/>
  <c r="BY53" i="7"/>
  <c r="BV53" i="7"/>
  <c r="BU53" i="7"/>
  <c r="BT53" i="7"/>
  <c r="CN52" i="7"/>
  <c r="BY52" i="7"/>
  <c r="BV52" i="7"/>
  <c r="BU52" i="7"/>
  <c r="BT52" i="7"/>
  <c r="CN50" i="7"/>
  <c r="BY50" i="7"/>
  <c r="BV50" i="7"/>
  <c r="BU50" i="7"/>
  <c r="BT50" i="7"/>
  <c r="CN49" i="7"/>
  <c r="BY49" i="7"/>
  <c r="BV49" i="7"/>
  <c r="BU49" i="7"/>
  <c r="BT49" i="7"/>
  <c r="CN48" i="7"/>
  <c r="BY48" i="7"/>
  <c r="BV48" i="7"/>
  <c r="BU48" i="7"/>
  <c r="BT48" i="7"/>
  <c r="BR21" i="7"/>
  <c r="CB46" i="7"/>
  <c r="CA46" i="7"/>
  <c r="BZ46" i="7"/>
  <c r="BX46" i="7"/>
  <c r="BX62" i="7" s="1"/>
  <c r="BW46" i="7"/>
  <c r="BS46" i="7"/>
  <c r="BR46" i="7"/>
  <c r="BR62" i="7" s="1"/>
  <c r="BY45" i="7"/>
  <c r="BV45" i="7"/>
  <c r="BU45" i="7"/>
  <c r="BT45" i="7"/>
  <c r="BY44" i="7"/>
  <c r="BV44" i="7"/>
  <c r="BU44" i="7"/>
  <c r="BT44" i="7"/>
  <c r="BY42" i="7"/>
  <c r="BV42" i="7"/>
  <c r="BU42" i="7"/>
  <c r="BT42" i="7"/>
  <c r="BY41" i="7"/>
  <c r="BV41" i="7"/>
  <c r="BU41" i="7"/>
  <c r="BT41" i="7"/>
  <c r="BY40" i="7"/>
  <c r="BV40" i="7"/>
  <c r="BU40" i="7"/>
  <c r="BT40" i="7"/>
  <c r="BY39" i="7"/>
  <c r="BV39" i="7"/>
  <c r="BU39" i="7"/>
  <c r="BT39" i="7"/>
  <c r="BV38" i="7"/>
  <c r="BU38" i="7"/>
  <c r="BT38" i="7"/>
  <c r="BY37" i="7"/>
  <c r="BV37" i="7"/>
  <c r="BU37" i="7"/>
  <c r="BT37" i="7"/>
  <c r="BY36" i="7"/>
  <c r="BV36" i="7"/>
  <c r="BU36" i="7"/>
  <c r="BT36" i="7"/>
  <c r="BY35" i="7"/>
  <c r="BV35" i="7"/>
  <c r="BU35" i="7"/>
  <c r="BT35" i="7"/>
  <c r="BY34" i="7"/>
  <c r="BV34" i="7"/>
  <c r="BU34" i="7"/>
  <c r="BT34" i="7"/>
  <c r="BY33" i="7"/>
  <c r="BV33" i="7"/>
  <c r="BU33" i="7"/>
  <c r="BT33" i="7"/>
  <c r="BV30" i="7"/>
  <c r="BU30" i="7"/>
  <c r="BT30" i="7"/>
  <c r="BV29" i="7"/>
  <c r="BU29" i="7"/>
  <c r="BT29" i="7"/>
  <c r="BV26" i="7"/>
  <c r="BU26" i="7"/>
  <c r="BT26" i="7"/>
  <c r="BV25" i="7"/>
  <c r="BU25" i="7"/>
  <c r="BT25" i="7"/>
  <c r="BV24" i="7"/>
  <c r="BU24" i="7"/>
  <c r="BT24" i="7"/>
  <c r="BV23" i="7"/>
  <c r="BU23" i="7"/>
  <c r="BT23" i="7"/>
  <c r="BW22" i="7"/>
  <c r="CB16" i="7"/>
  <c r="CA16" i="7"/>
  <c r="BZ16" i="7"/>
  <c r="BX16" i="7"/>
  <c r="BW16" i="7"/>
  <c r="BS16" i="7"/>
  <c r="BR16" i="7"/>
  <c r="CB15" i="7"/>
  <c r="CA15" i="7"/>
  <c r="BZ15" i="7"/>
  <c r="BX15" i="7"/>
  <c r="BW15" i="7"/>
  <c r="BS15" i="7"/>
  <c r="BR15" i="7"/>
  <c r="CB14" i="7"/>
  <c r="CA14" i="7"/>
  <c r="BZ14" i="7"/>
  <c r="BX14" i="7"/>
  <c r="BW14" i="7"/>
  <c r="BS14" i="7"/>
  <c r="BR14" i="7"/>
  <c r="CB13" i="7"/>
  <c r="CA13" i="7"/>
  <c r="BZ13" i="7"/>
  <c r="BX13" i="7"/>
  <c r="BW13" i="7"/>
  <c r="BS13" i="7"/>
  <c r="BR13" i="7"/>
  <c r="BW12" i="7"/>
  <c r="BR11" i="7"/>
  <c r="Y38" i="5"/>
  <c r="B38" i="5" s="1"/>
  <c r="D38" i="5" s="1"/>
  <c r="Y37" i="5"/>
  <c r="Y34" i="5"/>
  <c r="Y33" i="5"/>
  <c r="B33" i="5" s="1"/>
  <c r="D33" i="5" s="1"/>
  <c r="Y18" i="5"/>
  <c r="Y8" i="5" s="1"/>
  <c r="Y17" i="5"/>
  <c r="Y14" i="5"/>
  <c r="Y4" i="5" s="1"/>
  <c r="Y13" i="5"/>
  <c r="AI58" i="8"/>
  <c r="AH58" i="8"/>
  <c r="AG58" i="8"/>
  <c r="AF58" i="8"/>
  <c r="AE58" i="8"/>
  <c r="AD58" i="8"/>
  <c r="AC58" i="8"/>
  <c r="AB58" i="8"/>
  <c r="AA58" i="8"/>
  <c r="Z58" i="8"/>
  <c r="B34" i="5"/>
  <c r="D34" i="5" s="1"/>
  <c r="Z61" i="2"/>
  <c r="Z59" i="2"/>
  <c r="Z57" i="2"/>
  <c r="Z55" i="2"/>
  <c r="C55" i="2" s="1"/>
  <c r="C61" i="2"/>
  <c r="Z35" i="2"/>
  <c r="Z33" i="2"/>
  <c r="Z31" i="2"/>
  <c r="Z29" i="2"/>
  <c r="Z22" i="2"/>
  <c r="Z20" i="2"/>
  <c r="Z18" i="2"/>
  <c r="Z16" i="2"/>
  <c r="Z3" i="2" s="1"/>
  <c r="U76" i="8"/>
  <c r="Z56" i="12" s="1"/>
  <c r="U75" i="8"/>
  <c r="Z17" i="12" s="1"/>
  <c r="U222" i="8"/>
  <c r="U227" i="8" s="1"/>
  <c r="U221" i="8"/>
  <c r="U226" i="8" s="1"/>
  <c r="U220" i="8"/>
  <c r="U225" i="8" s="1"/>
  <c r="Z58" i="12" l="1"/>
  <c r="Z63" i="12"/>
  <c r="Z4" i="12"/>
  <c r="Z19" i="12"/>
  <c r="Z24" i="12"/>
  <c r="AB67" i="8"/>
  <c r="Z56" i="2"/>
  <c r="Z58" i="2" s="1"/>
  <c r="Z30" i="2"/>
  <c r="Z32" i="2" s="1"/>
  <c r="Z17" i="2"/>
  <c r="Z24" i="2" s="1"/>
  <c r="BT31" i="7"/>
  <c r="U121" i="8"/>
  <c r="BW62" i="7"/>
  <c r="BY62" i="7" s="1"/>
  <c r="CB62" i="7"/>
  <c r="BZ62" i="7"/>
  <c r="CA62" i="7"/>
  <c r="BZ7" i="7"/>
  <c r="BU31" i="7"/>
  <c r="BS62" i="7"/>
  <c r="BT62" i="7" s="1"/>
  <c r="I61" i="7"/>
  <c r="C56" i="2"/>
  <c r="U94" i="8"/>
  <c r="Y15" i="5"/>
  <c r="Z21" i="2"/>
  <c r="Z34" i="2"/>
  <c r="Y19" i="5"/>
  <c r="Z25" i="2"/>
  <c r="Z38" i="2"/>
  <c r="Y3" i="5"/>
  <c r="Y5" i="5" s="1"/>
  <c r="Y35" i="5"/>
  <c r="Z5" i="2"/>
  <c r="Y7" i="5"/>
  <c r="Y9" i="5" s="1"/>
  <c r="BY61" i="7"/>
  <c r="BT61" i="7"/>
  <c r="BR7" i="7"/>
  <c r="BN61" i="7"/>
  <c r="BI61" i="7"/>
  <c r="G61" i="7"/>
  <c r="BV61" i="7"/>
  <c r="BU61" i="7"/>
  <c r="CN61" i="7"/>
  <c r="BJ61" i="7"/>
  <c r="H61" i="7"/>
  <c r="BW17" i="7"/>
  <c r="CB17" i="7"/>
  <c r="BX6" i="7"/>
  <c r="BT16" i="7"/>
  <c r="BZ6" i="7"/>
  <c r="BZ8" i="7" s="1"/>
  <c r="BV15" i="7"/>
  <c r="CA7" i="7"/>
  <c r="BK61" i="7"/>
  <c r="BY15" i="7"/>
  <c r="BR17" i="7"/>
  <c r="BZ17" i="7"/>
  <c r="BT14" i="7"/>
  <c r="BU14" i="7"/>
  <c r="BS7" i="7"/>
  <c r="BT46" i="7"/>
  <c r="BW7" i="7"/>
  <c r="BX17" i="7"/>
  <c r="BV16" i="7"/>
  <c r="BV14" i="7"/>
  <c r="CB7" i="7"/>
  <c r="BV13" i="7"/>
  <c r="CA17" i="7"/>
  <c r="BU15" i="7"/>
  <c r="BU16" i="7"/>
  <c r="BR6" i="7"/>
  <c r="CA6" i="7"/>
  <c r="BX7" i="7"/>
  <c r="BT13" i="7"/>
  <c r="BT15" i="7"/>
  <c r="BY16" i="7"/>
  <c r="BU46" i="7"/>
  <c r="BY46" i="7"/>
  <c r="BS6" i="7"/>
  <c r="BW6" i="7"/>
  <c r="CB6" i="7"/>
  <c r="BU13" i="7"/>
  <c r="BS17" i="7"/>
  <c r="BV46" i="7"/>
  <c r="Y39" i="5"/>
  <c r="B37" i="5"/>
  <c r="D37" i="5" s="1"/>
  <c r="Z7" i="2"/>
  <c r="Z9" i="2"/>
  <c r="B35" i="5"/>
  <c r="D35" i="5" s="1"/>
  <c r="Z64" i="2"/>
  <c r="C57" i="2"/>
  <c r="C58" i="2" s="1"/>
  <c r="Z60" i="2"/>
  <c r="Z62" i="2"/>
  <c r="Z63" i="2"/>
  <c r="C59" i="2"/>
  <c r="Z36" i="2"/>
  <c r="Z23" i="2"/>
  <c r="AI130" i="8"/>
  <c r="AH130" i="8"/>
  <c r="AG130" i="8"/>
  <c r="AF130" i="8"/>
  <c r="AE130" i="8"/>
  <c r="AD130" i="8"/>
  <c r="AC130" i="8"/>
  <c r="AB130" i="8"/>
  <c r="AA130" i="8"/>
  <c r="Z130" i="8"/>
  <c r="AZ130" i="8" s="1"/>
  <c r="BA130" i="8" s="1"/>
  <c r="AI85" i="8"/>
  <c r="AI94" i="8" s="1"/>
  <c r="AH85" i="8"/>
  <c r="AH94" i="8" s="1"/>
  <c r="AG85" i="8"/>
  <c r="AG94" i="8" s="1"/>
  <c r="AF85" i="8"/>
  <c r="AF94" i="8" s="1"/>
  <c r="AE85" i="8"/>
  <c r="AE94" i="8" s="1"/>
  <c r="AD85" i="8"/>
  <c r="AC85" i="8"/>
  <c r="AB85" i="8"/>
  <c r="AB94" i="8" s="1"/>
  <c r="AA85" i="8"/>
  <c r="AA94" i="8" s="1"/>
  <c r="Z85" i="8"/>
  <c r="Z94" i="8" s="1"/>
  <c r="AI76" i="8"/>
  <c r="AH76" i="8"/>
  <c r="AG76" i="8"/>
  <c r="AF76" i="8"/>
  <c r="AE76" i="8"/>
  <c r="AE176" i="8" s="1"/>
  <c r="AD76" i="8"/>
  <c r="AD176" i="8" s="1"/>
  <c r="AC76" i="8"/>
  <c r="AB76" i="8"/>
  <c r="AA76" i="8"/>
  <c r="Z76" i="8"/>
  <c r="Z176" i="8" s="1"/>
  <c r="AI49" i="8"/>
  <c r="AI103" i="8" s="1"/>
  <c r="AH49" i="8"/>
  <c r="AH103" i="8" s="1"/>
  <c r="AG49" i="8"/>
  <c r="AG103" i="8" s="1"/>
  <c r="AF49" i="8"/>
  <c r="AF103" i="8" s="1"/>
  <c r="AE49" i="8"/>
  <c r="AD49" i="8"/>
  <c r="AC49" i="8"/>
  <c r="AB49" i="8"/>
  <c r="AB103" i="8" s="1"/>
  <c r="AA49" i="8"/>
  <c r="AA103" i="8" s="1"/>
  <c r="Z49" i="8"/>
  <c r="AF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U35" i="8"/>
  <c r="AI31" i="8"/>
  <c r="AI40" i="8" s="1"/>
  <c r="AH31" i="8"/>
  <c r="AH40" i="8" s="1"/>
  <c r="AG31" i="8"/>
  <c r="AG40" i="8" s="1"/>
  <c r="AF31" i="8"/>
  <c r="AE31" i="8"/>
  <c r="AD31" i="8"/>
  <c r="AB31" i="8"/>
  <c r="AB40" i="8" s="1"/>
  <c r="AA31" i="8"/>
  <c r="AA40" i="8" s="1"/>
  <c r="Z31" i="8"/>
  <c r="AC31" i="8"/>
  <c r="AI20" i="8"/>
  <c r="AH20" i="8"/>
  <c r="AG20" i="8"/>
  <c r="AF20" i="8"/>
  <c r="AE20" i="8"/>
  <c r="AD20" i="8"/>
  <c r="AB20" i="8"/>
  <c r="AA20" i="8"/>
  <c r="Z20" i="8"/>
  <c r="AC20" i="8"/>
  <c r="C63" i="2" l="1"/>
  <c r="Z11" i="12"/>
  <c r="Z6" i="12"/>
  <c r="Z37" i="2"/>
  <c r="Z19" i="2"/>
  <c r="AH121" i="8"/>
  <c r="AH112" i="8"/>
  <c r="AI67" i="8"/>
  <c r="AI121" i="8"/>
  <c r="AI112" i="8"/>
  <c r="AG67" i="8"/>
  <c r="AA67" i="8"/>
  <c r="AB121" i="8"/>
  <c r="AB112" i="8"/>
  <c r="AG112" i="8"/>
  <c r="AG121" i="8"/>
  <c r="AA121" i="8"/>
  <c r="AA112" i="8"/>
  <c r="AF112" i="8"/>
  <c r="AF121" i="8"/>
  <c r="AF67" i="8"/>
  <c r="AH67" i="8"/>
  <c r="AD94" i="8"/>
  <c r="AD67" i="8"/>
  <c r="AD103" i="8"/>
  <c r="BV62" i="7"/>
  <c r="Z4" i="2"/>
  <c r="Z11" i="2" s="1"/>
  <c r="BU62" i="7"/>
  <c r="AA63" i="2"/>
  <c r="AA4" i="2"/>
  <c r="AA58" i="2"/>
  <c r="BT17" i="7"/>
  <c r="BV6" i="7"/>
  <c r="AC94" i="8"/>
  <c r="AC103" i="8"/>
  <c r="AC67" i="8"/>
  <c r="BR8" i="7"/>
  <c r="AD121" i="8"/>
  <c r="AD112" i="8"/>
  <c r="AD40" i="8"/>
  <c r="AC40" i="8"/>
  <c r="AC112" i="8"/>
  <c r="AC121" i="8"/>
  <c r="AE112" i="8"/>
  <c r="AE121" i="8"/>
  <c r="Z8" i="2"/>
  <c r="Z112" i="8"/>
  <c r="Z121" i="8"/>
  <c r="AE67" i="8"/>
  <c r="AE103" i="8"/>
  <c r="Z67" i="8"/>
  <c r="Z103" i="8"/>
  <c r="AE40" i="8"/>
  <c r="Z40" i="8"/>
  <c r="K18" i="6"/>
  <c r="Z16" i="6" s="1"/>
  <c r="K8" i="6"/>
  <c r="BT7" i="7"/>
  <c r="BY17" i="7"/>
  <c r="CB8" i="7"/>
  <c r="BW8" i="7"/>
  <c r="BU7" i="7"/>
  <c r="BV7" i="7"/>
  <c r="BY7" i="7"/>
  <c r="CA8" i="7"/>
  <c r="BU6" i="7"/>
  <c r="BS8" i="7"/>
  <c r="BT6" i="7"/>
  <c r="BU17" i="7"/>
  <c r="BX8" i="7"/>
  <c r="BV17" i="7"/>
  <c r="B39" i="5"/>
  <c r="D39" i="5" s="1"/>
  <c r="C64" i="2"/>
  <c r="C60" i="2"/>
  <c r="C62" i="2"/>
  <c r="Z10" i="2"/>
  <c r="Z12" i="2"/>
  <c r="BT8" i="7" l="1"/>
  <c r="Z6" i="2"/>
  <c r="AA11" i="2"/>
  <c r="AA6" i="2"/>
  <c r="BU8" i="7"/>
  <c r="BV8" i="7"/>
  <c r="BY8" i="7"/>
  <c r="F7" i="11" l="1"/>
  <c r="B35" i="2"/>
  <c r="B33" i="2"/>
  <c r="B31" i="2"/>
  <c r="B30" i="2"/>
  <c r="B28" i="2"/>
  <c r="B29" i="2"/>
  <c r="H7" i="11" l="1"/>
  <c r="B36" i="2"/>
  <c r="B34" i="2"/>
  <c r="B37" i="2"/>
  <c r="B38" i="2"/>
  <c r="T222" i="8"/>
  <c r="S222" i="8"/>
  <c r="R222" i="8"/>
  <c r="Q222" i="8"/>
  <c r="P222" i="8"/>
  <c r="O222" i="8"/>
  <c r="N222" i="8"/>
  <c r="M222" i="8"/>
  <c r="L222" i="8"/>
  <c r="K222" i="8"/>
  <c r="J222" i="8"/>
  <c r="I222" i="8"/>
  <c r="H222" i="8"/>
  <c r="G222" i="8"/>
  <c r="F222" i="8"/>
  <c r="E222" i="8"/>
  <c r="D222" i="8"/>
  <c r="C222" i="8"/>
  <c r="B222" i="8"/>
  <c r="T221" i="8"/>
  <c r="S221" i="8"/>
  <c r="R221" i="8"/>
  <c r="Q221" i="8"/>
  <c r="P221" i="8"/>
  <c r="O221" i="8"/>
  <c r="N221" i="8"/>
  <c r="M221" i="8"/>
  <c r="L221" i="8"/>
  <c r="K221" i="8"/>
  <c r="J221" i="8"/>
  <c r="I221" i="8"/>
  <c r="H221" i="8"/>
  <c r="G221" i="8"/>
  <c r="F221" i="8"/>
  <c r="E221" i="8"/>
  <c r="D221" i="8"/>
  <c r="C221" i="8"/>
  <c r="B221" i="8"/>
  <c r="T220" i="8"/>
  <c r="S220" i="8"/>
  <c r="R220" i="8"/>
  <c r="Q220" i="8"/>
  <c r="P220" i="8"/>
  <c r="O220" i="8"/>
  <c r="N220" i="8"/>
  <c r="M220" i="8"/>
  <c r="L220" i="8"/>
  <c r="K220" i="8"/>
  <c r="J220" i="8"/>
  <c r="I220" i="8"/>
  <c r="H220" i="8"/>
  <c r="G220" i="8"/>
  <c r="F220" i="8"/>
  <c r="E220" i="8"/>
  <c r="D220" i="8"/>
  <c r="C220" i="8"/>
  <c r="B220" i="8"/>
  <c r="N6" i="8"/>
  <c r="O6" i="8"/>
  <c r="E47" i="6" s="1"/>
  <c r="E49" i="6" s="1"/>
  <c r="P6" i="8"/>
  <c r="F47" i="6" s="1"/>
  <c r="F49" i="6" s="1"/>
  <c r="N7" i="8"/>
  <c r="O7" i="8"/>
  <c r="P7" i="8"/>
  <c r="D47" i="6" l="1"/>
  <c r="D49" i="6" s="1"/>
  <c r="D50" i="6" s="1"/>
  <c r="H227" i="8"/>
  <c r="F50" i="6"/>
  <c r="E50" i="6"/>
  <c r="Z226" i="8"/>
  <c r="C225" i="8"/>
  <c r="K225" i="8"/>
  <c r="S225" i="8"/>
  <c r="E227" i="8"/>
  <c r="I227" i="8"/>
  <c r="M227" i="8"/>
  <c r="Q227" i="8"/>
  <c r="S226" i="8"/>
  <c r="G225" i="8"/>
  <c r="O225" i="8"/>
  <c r="L226" i="8"/>
  <c r="L225" i="8"/>
  <c r="P225" i="8"/>
  <c r="T225" i="8"/>
  <c r="E226" i="8"/>
  <c r="I226" i="8"/>
  <c r="M226" i="8"/>
  <c r="Q226" i="8"/>
  <c r="B227" i="8"/>
  <c r="F227" i="8"/>
  <c r="J227" i="8"/>
  <c r="N227" i="8"/>
  <c r="R227" i="8"/>
  <c r="D226" i="8"/>
  <c r="P226" i="8"/>
  <c r="H225" i="8"/>
  <c r="E225" i="8"/>
  <c r="I225" i="8"/>
  <c r="M225" i="8"/>
  <c r="Q225" i="8"/>
  <c r="B226" i="8"/>
  <c r="F226" i="8"/>
  <c r="J226" i="8"/>
  <c r="N226" i="8"/>
  <c r="R226" i="8"/>
  <c r="C227" i="8"/>
  <c r="G227" i="8"/>
  <c r="K227" i="8"/>
  <c r="O227" i="8"/>
  <c r="S227" i="8"/>
  <c r="H226" i="8"/>
  <c r="T226" i="8"/>
  <c r="D225" i="8"/>
  <c r="B225" i="8"/>
  <c r="F225" i="8"/>
  <c r="J225" i="8"/>
  <c r="N225" i="8"/>
  <c r="R225" i="8"/>
  <c r="C226" i="8"/>
  <c r="G226" i="8"/>
  <c r="K226" i="8"/>
  <c r="O226" i="8"/>
  <c r="D227" i="8"/>
  <c r="L227" i="8"/>
  <c r="P227" i="8"/>
  <c r="T227" i="8"/>
  <c r="Z227" i="8" l="1"/>
  <c r="AK237" i="8"/>
  <c r="Z225" i="8"/>
  <c r="B24" i="12"/>
  <c r="B23" i="12"/>
  <c r="B25" i="12"/>
  <c r="B15" i="2"/>
  <c r="B9" i="2"/>
  <c r="B11" i="2" s="1"/>
  <c r="B7" i="2"/>
  <c r="B3" i="2"/>
  <c r="B4" i="2"/>
  <c r="B5" i="2"/>
  <c r="B6" i="2" s="1"/>
  <c r="B10" i="2" l="1"/>
  <c r="B12" i="2"/>
  <c r="B8" i="2"/>
  <c r="B16" i="2"/>
  <c r="S182" i="8" l="1"/>
  <c r="R182" i="8"/>
  <c r="Q182" i="8"/>
  <c r="P182" i="8"/>
  <c r="O182" i="8"/>
  <c r="N182" i="8"/>
  <c r="M182" i="8"/>
  <c r="S181" i="8"/>
  <c r="R181" i="8"/>
  <c r="Q181" i="8"/>
  <c r="P181" i="8"/>
  <c r="O181" i="8"/>
  <c r="N181" i="8"/>
  <c r="Z137" i="8" l="1"/>
  <c r="Y174" i="8"/>
  <c r="X174" i="8"/>
  <c r="W174" i="8"/>
  <c r="U174" i="8"/>
  <c r="T174" i="8"/>
  <c r="S174" i="8"/>
  <c r="R174" i="8"/>
  <c r="Q174" i="8"/>
  <c r="P174" i="8"/>
  <c r="O174" i="8"/>
  <c r="N174" i="8"/>
  <c r="M174" i="8"/>
  <c r="L174" i="8"/>
  <c r="K174" i="8"/>
  <c r="J174" i="8"/>
  <c r="I174" i="8"/>
  <c r="H174" i="8"/>
  <c r="G174" i="8"/>
  <c r="F174" i="8"/>
  <c r="E174" i="8"/>
  <c r="D174" i="8"/>
  <c r="C174" i="8"/>
  <c r="B174" i="8"/>
  <c r="Y173" i="8"/>
  <c r="X173" i="8"/>
  <c r="W173" i="8"/>
  <c r="U173" i="8"/>
  <c r="T173" i="8"/>
  <c r="S173" i="8"/>
  <c r="R173" i="8"/>
  <c r="Q173" i="8"/>
  <c r="P173" i="8"/>
  <c r="O173" i="8"/>
  <c r="N173" i="8"/>
  <c r="M173" i="8"/>
  <c r="L173" i="8"/>
  <c r="K173" i="8"/>
  <c r="J173" i="8"/>
  <c r="I173" i="8"/>
  <c r="H173" i="8"/>
  <c r="G173" i="8"/>
  <c r="F173" i="8"/>
  <c r="E173" i="8"/>
  <c r="D173" i="8"/>
  <c r="C173" i="8"/>
  <c r="B173" i="8"/>
  <c r="Y172" i="8"/>
  <c r="X172" i="8"/>
  <c r="W172" i="8"/>
  <c r="U172" i="8"/>
  <c r="T172" i="8"/>
  <c r="S172" i="8"/>
  <c r="R172" i="8"/>
  <c r="Q172" i="8"/>
  <c r="P172" i="8"/>
  <c r="O172" i="8"/>
  <c r="N172" i="8"/>
  <c r="M172" i="8"/>
  <c r="L172" i="8"/>
  <c r="K172" i="8"/>
  <c r="J172" i="8"/>
  <c r="I172" i="8"/>
  <c r="H172" i="8"/>
  <c r="G172" i="8"/>
  <c r="F172" i="8"/>
  <c r="E172" i="8"/>
  <c r="D172" i="8"/>
  <c r="C172" i="8"/>
  <c r="B172" i="8"/>
  <c r="Y171" i="8"/>
  <c r="X171" i="8"/>
  <c r="W171" i="8"/>
  <c r="U171" i="8"/>
  <c r="T171" i="8"/>
  <c r="S171" i="8"/>
  <c r="R171" i="8"/>
  <c r="Q171" i="8"/>
  <c r="P171" i="8"/>
  <c r="O171" i="8"/>
  <c r="N171" i="8"/>
  <c r="M171" i="8"/>
  <c r="L171" i="8"/>
  <c r="K171" i="8"/>
  <c r="J171" i="8"/>
  <c r="I171" i="8"/>
  <c r="H171" i="8"/>
  <c r="G171" i="8"/>
  <c r="F171" i="8"/>
  <c r="E171" i="8"/>
  <c r="D171" i="8"/>
  <c r="C171" i="8"/>
  <c r="B171" i="8"/>
  <c r="Y170" i="8"/>
  <c r="X170" i="8"/>
  <c r="W170" i="8"/>
  <c r="U170" i="8"/>
  <c r="T170" i="8"/>
  <c r="S170" i="8"/>
  <c r="R170" i="8"/>
  <c r="Q170" i="8"/>
  <c r="P170" i="8"/>
  <c r="O170" i="8"/>
  <c r="N170" i="8"/>
  <c r="M170" i="8"/>
  <c r="L170" i="8"/>
  <c r="K170" i="8"/>
  <c r="J170" i="8"/>
  <c r="I170" i="8"/>
  <c r="H170" i="8"/>
  <c r="G170" i="8"/>
  <c r="F170" i="8"/>
  <c r="E170" i="8"/>
  <c r="D170" i="8"/>
  <c r="C170" i="8"/>
  <c r="B170" i="8"/>
  <c r="Y169" i="8"/>
  <c r="X169" i="8"/>
  <c r="W169" i="8"/>
  <c r="U169" i="8"/>
  <c r="T169" i="8"/>
  <c r="S169" i="8"/>
  <c r="R169" i="8"/>
  <c r="Q169" i="8"/>
  <c r="P169" i="8"/>
  <c r="O169" i="8"/>
  <c r="N169" i="8"/>
  <c r="M169" i="8"/>
  <c r="L169" i="8"/>
  <c r="K169" i="8"/>
  <c r="J169" i="8"/>
  <c r="I169" i="8"/>
  <c r="H169" i="8"/>
  <c r="G169" i="8"/>
  <c r="F169" i="8"/>
  <c r="E169" i="8"/>
  <c r="D169" i="8"/>
  <c r="C169" i="8"/>
  <c r="B169" i="8"/>
  <c r="AI171" i="8"/>
  <c r="AH171" i="8"/>
  <c r="AG171" i="8"/>
  <c r="AF171" i="8"/>
  <c r="AE171" i="8"/>
  <c r="AD171" i="8"/>
  <c r="AC171" i="8"/>
  <c r="AB171" i="8"/>
  <c r="AA171" i="8"/>
  <c r="Z171" i="8"/>
  <c r="AI173" i="8"/>
  <c r="AH173" i="8"/>
  <c r="AG173" i="8"/>
  <c r="AF173" i="8"/>
  <c r="AE173" i="8"/>
  <c r="AD173" i="8"/>
  <c r="AC173" i="8"/>
  <c r="AB173" i="8"/>
  <c r="AA173" i="8"/>
  <c r="AI155" i="8"/>
  <c r="AH155" i="8"/>
  <c r="AG155" i="8"/>
  <c r="AF155" i="8"/>
  <c r="AE155" i="8"/>
  <c r="AD155" i="8"/>
  <c r="AC155" i="8"/>
  <c r="AB155" i="8"/>
  <c r="AA155" i="8"/>
  <c r="Z155" i="8"/>
  <c r="AI157" i="8"/>
  <c r="AH157" i="8"/>
  <c r="AG157" i="8"/>
  <c r="AF157" i="8"/>
  <c r="AE157" i="8"/>
  <c r="AD157" i="8"/>
  <c r="AB157" i="8"/>
  <c r="AA157" i="8"/>
  <c r="Z157" i="8"/>
  <c r="AI156" i="8"/>
  <c r="AH156" i="8"/>
  <c r="AG156" i="8"/>
  <c r="AF156" i="8"/>
  <c r="AE156" i="8"/>
  <c r="AD156" i="8"/>
  <c r="AB156" i="8"/>
  <c r="AA156" i="8"/>
  <c r="Z156" i="8"/>
  <c r="AI159" i="8"/>
  <c r="AH159" i="8"/>
  <c r="AG159" i="8"/>
  <c r="AF159" i="8"/>
  <c r="AE159" i="8"/>
  <c r="AD159" i="8"/>
  <c r="AC159" i="8"/>
  <c r="AB159" i="8"/>
  <c r="AA159" i="8"/>
  <c r="Z159" i="8"/>
  <c r="AI158" i="8"/>
  <c r="AH158" i="8"/>
  <c r="AG158" i="8"/>
  <c r="AF158" i="8"/>
  <c r="AE158" i="8"/>
  <c r="AD158" i="8"/>
  <c r="AC158" i="8"/>
  <c r="AB158" i="8"/>
  <c r="AA158" i="8"/>
  <c r="Z158" i="8"/>
  <c r="Y149" i="8"/>
  <c r="X149" i="8"/>
  <c r="W149" i="8"/>
  <c r="V149" i="8"/>
  <c r="U149" i="8"/>
  <c r="T149" i="8"/>
  <c r="S149" i="8"/>
  <c r="R149" i="8"/>
  <c r="Q149" i="8"/>
  <c r="P149" i="8"/>
  <c r="O149" i="8"/>
  <c r="N149" i="8"/>
  <c r="M149" i="8"/>
  <c r="L149" i="8"/>
  <c r="K149" i="8"/>
  <c r="J149" i="8"/>
  <c r="I149" i="8"/>
  <c r="H149" i="8"/>
  <c r="G149" i="8"/>
  <c r="F149" i="8"/>
  <c r="E149" i="8"/>
  <c r="D149" i="8"/>
  <c r="C149" i="8"/>
  <c r="B149" i="8"/>
  <c r="AI141" i="8"/>
  <c r="AH141" i="8"/>
  <c r="AG141" i="8"/>
  <c r="AF141" i="8"/>
  <c r="AE141" i="8"/>
  <c r="AD141" i="8"/>
  <c r="AB141" i="8"/>
  <c r="AA141" i="8"/>
  <c r="Z141" i="8"/>
  <c r="AC141" i="8"/>
  <c r="AI139" i="8"/>
  <c r="AH139" i="8"/>
  <c r="AG139" i="8"/>
  <c r="AF139" i="8"/>
  <c r="AE139" i="8"/>
  <c r="AD139" i="8"/>
  <c r="AB139" i="8"/>
  <c r="AA139" i="8"/>
  <c r="Z139" i="8"/>
  <c r="AC139" i="8"/>
  <c r="AI137" i="8"/>
  <c r="AH137" i="8"/>
  <c r="AG137" i="8"/>
  <c r="AF137" i="8"/>
  <c r="AE137" i="8"/>
  <c r="AD137" i="8"/>
  <c r="AC137" i="8"/>
  <c r="AB137" i="8"/>
  <c r="AA137" i="8"/>
  <c r="Y166" i="8"/>
  <c r="X166" i="8"/>
  <c r="W166" i="8"/>
  <c r="U166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AI165" i="8"/>
  <c r="AH165" i="8"/>
  <c r="AG165" i="8"/>
  <c r="AF165" i="8"/>
  <c r="AE165" i="8"/>
  <c r="AD165" i="8"/>
  <c r="AC165" i="8"/>
  <c r="AB165" i="8"/>
  <c r="AA165" i="8"/>
  <c r="Z165" i="8"/>
  <c r="AI164" i="8"/>
  <c r="AH164" i="8"/>
  <c r="AG164" i="8"/>
  <c r="AF164" i="8"/>
  <c r="AE164" i="8"/>
  <c r="AD164" i="8"/>
  <c r="AC164" i="8"/>
  <c r="AB164" i="8"/>
  <c r="AA164" i="8"/>
  <c r="Z164" i="8"/>
  <c r="AI154" i="8"/>
  <c r="AH154" i="8"/>
  <c r="AG154" i="8"/>
  <c r="AF154" i="8"/>
  <c r="AE154" i="8"/>
  <c r="AD154" i="8"/>
  <c r="AC154" i="8"/>
  <c r="AB154" i="8"/>
  <c r="AA154" i="8"/>
  <c r="Z154" i="8"/>
  <c r="AI142" i="8"/>
  <c r="AH142" i="8"/>
  <c r="AG142" i="8"/>
  <c r="AF142" i="8"/>
  <c r="AE142" i="8"/>
  <c r="AD142" i="8"/>
  <c r="AB142" i="8"/>
  <c r="AA142" i="8"/>
  <c r="AC142" i="8"/>
  <c r="AI140" i="8"/>
  <c r="AH140" i="8"/>
  <c r="AG140" i="8"/>
  <c r="AF140" i="8"/>
  <c r="AE140" i="8"/>
  <c r="AD140" i="8"/>
  <c r="AB140" i="8"/>
  <c r="AA140" i="8"/>
  <c r="Z140" i="8"/>
  <c r="AI138" i="8"/>
  <c r="AH138" i="8"/>
  <c r="AG138" i="8"/>
  <c r="AF138" i="8"/>
  <c r="AE138" i="8"/>
  <c r="AD138" i="8"/>
  <c r="AC138" i="8"/>
  <c r="AB138" i="8"/>
  <c r="AA138" i="8"/>
  <c r="Z138" i="8"/>
  <c r="D183" i="8" l="1"/>
  <c r="L183" i="8"/>
  <c r="P183" i="8"/>
  <c r="E183" i="8"/>
  <c r="I183" i="8"/>
  <c r="M183" i="8"/>
  <c r="Q183" i="8"/>
  <c r="H183" i="8"/>
  <c r="T183" i="8"/>
  <c r="C183" i="8"/>
  <c r="G183" i="8"/>
  <c r="K183" i="8"/>
  <c r="O183" i="8"/>
  <c r="S183" i="8"/>
  <c r="Y183" i="8"/>
  <c r="W183" i="8"/>
  <c r="X183" i="8"/>
  <c r="U183" i="8"/>
  <c r="AD149" i="8"/>
  <c r="B183" i="8"/>
  <c r="F183" i="8"/>
  <c r="J183" i="8"/>
  <c r="N183" i="8"/>
  <c r="R183" i="8"/>
  <c r="AG149" i="8"/>
  <c r="AA149" i="8"/>
  <c r="AF149" i="8"/>
  <c r="AB149" i="8"/>
  <c r="AH149" i="8"/>
  <c r="AI149" i="8"/>
  <c r="AG166" i="8"/>
  <c r="AE149" i="8"/>
  <c r="AD166" i="8"/>
  <c r="AH166" i="8"/>
  <c r="AB166" i="8"/>
  <c r="AF166" i="8"/>
  <c r="AA166" i="8"/>
  <c r="AI166" i="8"/>
  <c r="AE166" i="8"/>
  <c r="Z166" i="8"/>
  <c r="AC140" i="8"/>
  <c r="AC149" i="8" s="1"/>
  <c r="Z142" i="8"/>
  <c r="Z149" i="8" s="1"/>
  <c r="AI12" i="8"/>
  <c r="AH12" i="8"/>
  <c r="AG12" i="8"/>
  <c r="AF12" i="8"/>
  <c r="AE12" i="8"/>
  <c r="AA12" i="8"/>
  <c r="AI8" i="8"/>
  <c r="AH8" i="8"/>
  <c r="AG8" i="8"/>
  <c r="AF8" i="8"/>
  <c r="AE8" i="8"/>
  <c r="AA8" i="8"/>
  <c r="M13" i="8" l="1"/>
  <c r="L13" i="8"/>
  <c r="K13" i="8"/>
  <c r="J13" i="8"/>
  <c r="I13" i="8"/>
  <c r="H13" i="8"/>
  <c r="G13" i="8"/>
  <c r="F13" i="8"/>
  <c r="E13" i="8"/>
  <c r="D13" i="8"/>
  <c r="C13" i="8"/>
  <c r="B13" i="8"/>
  <c r="S12" i="8" l="1"/>
  <c r="T12" i="8"/>
  <c r="U12" i="8"/>
  <c r="V12" i="8"/>
  <c r="W12" i="8"/>
  <c r="X12" i="8"/>
  <c r="Y12" i="8"/>
  <c r="R8" i="8"/>
  <c r="S8" i="8"/>
  <c r="I53" i="6" s="1"/>
  <c r="I55" i="6" s="1"/>
  <c r="T8" i="8"/>
  <c r="J53" i="6" s="1"/>
  <c r="J55" i="6" s="1"/>
  <c r="U8" i="8"/>
  <c r="K53" i="6" s="1"/>
  <c r="K55" i="6" s="1"/>
  <c r="V8" i="8"/>
  <c r="L53" i="6" s="1"/>
  <c r="L55" i="6" s="1"/>
  <c r="W8" i="8"/>
  <c r="M53" i="6" s="1"/>
  <c r="M55" i="6" s="1"/>
  <c r="X8" i="8"/>
  <c r="N53" i="6" s="1"/>
  <c r="N55" i="6" s="1"/>
  <c r="Y8" i="8"/>
  <c r="O53" i="6" s="1"/>
  <c r="O55" i="6" s="1"/>
  <c r="H53" i="6" l="1"/>
  <c r="B61" i="2"/>
  <c r="AC8" i="8"/>
  <c r="AC12" i="8"/>
  <c r="AB8" i="8"/>
  <c r="Z8" i="8"/>
  <c r="AD8" i="8"/>
  <c r="AD12" i="8"/>
  <c r="AB12" i="8"/>
  <c r="Z12" i="8"/>
  <c r="BN45" i="7"/>
  <c r="BN44" i="7"/>
  <c r="BN42" i="7"/>
  <c r="BN41" i="7"/>
  <c r="BN40" i="7"/>
  <c r="BN39" i="7"/>
  <c r="BN37" i="7"/>
  <c r="BN36" i="7"/>
  <c r="BN35" i="7"/>
  <c r="BN34" i="7"/>
  <c r="BN33" i="7"/>
  <c r="BL22" i="7"/>
  <c r="BL12" i="7"/>
  <c r="BL46" i="7"/>
  <c r="BL62" i="7" s="1"/>
  <c r="BL16" i="7"/>
  <c r="BL15" i="7"/>
  <c r="BL14" i="7"/>
  <c r="BL13" i="7"/>
  <c r="I56" i="6" l="1"/>
  <c r="N56" i="6"/>
  <c r="O56" i="6"/>
  <c r="L56" i="6"/>
  <c r="M56" i="6"/>
  <c r="J56" i="6"/>
  <c r="H56" i="6"/>
  <c r="K56" i="6"/>
  <c r="H55" i="6"/>
  <c r="B62" i="2"/>
  <c r="B63" i="2"/>
  <c r="B64" i="2"/>
  <c r="CU58" i="7"/>
  <c r="CO58" i="7"/>
  <c r="CP58" i="7" s="1"/>
  <c r="CT57" i="7"/>
  <c r="CV56" i="7"/>
  <c r="CO56" i="7"/>
  <c r="CT55" i="7"/>
  <c r="CS54" i="7"/>
  <c r="CT53" i="7"/>
  <c r="CV52" i="7"/>
  <c r="CO52" i="7"/>
  <c r="CP52" i="7" s="1"/>
  <c r="CT50" i="7"/>
  <c r="CV49" i="7"/>
  <c r="CO49" i="7"/>
  <c r="CP49" i="7" s="1"/>
  <c r="CT48" i="7"/>
  <c r="CT58" i="7"/>
  <c r="CS57" i="7"/>
  <c r="CU56" i="7"/>
  <c r="CS55" i="7"/>
  <c r="CV54" i="7"/>
  <c r="CO54" i="7"/>
  <c r="CP54" i="7" s="1"/>
  <c r="CS53" i="7"/>
  <c r="CU52" i="7"/>
  <c r="CQ52" i="7" s="1"/>
  <c r="CS50" i="7"/>
  <c r="CU49" i="7"/>
  <c r="CQ49" i="7" s="1"/>
  <c r="CS48" i="7"/>
  <c r="CS58" i="7"/>
  <c r="CR58" i="7" s="1"/>
  <c r="CV57" i="7"/>
  <c r="CO57" i="7"/>
  <c r="CP57" i="7" s="1"/>
  <c r="CT56" i="7"/>
  <c r="CV55" i="7"/>
  <c r="CU54" i="7"/>
  <c r="CV53" i="7"/>
  <c r="CO53" i="7"/>
  <c r="CP53" i="7" s="1"/>
  <c r="CT52" i="7"/>
  <c r="CV50" i="7"/>
  <c r="CO50" i="7"/>
  <c r="CT49" i="7"/>
  <c r="CV48" i="7"/>
  <c r="CO48" i="7"/>
  <c r="CV58" i="7"/>
  <c r="CU57" i="7"/>
  <c r="CS56" i="7"/>
  <c r="CR56" i="7" s="1"/>
  <c r="CU55" i="7"/>
  <c r="CO55" i="7"/>
  <c r="CP55" i="7" s="1"/>
  <c r="CT54" i="7"/>
  <c r="CU53" i="7"/>
  <c r="CQ53" i="7" s="1"/>
  <c r="CS52" i="7"/>
  <c r="CU50" i="7"/>
  <c r="CS49" i="7"/>
  <c r="CR49" i="7" s="1"/>
  <c r="CU48" i="7"/>
  <c r="CV42" i="7"/>
  <c r="CV38" i="7"/>
  <c r="CV34" i="7"/>
  <c r="CV26" i="7"/>
  <c r="CU45" i="7"/>
  <c r="CU40" i="7"/>
  <c r="CU36" i="7"/>
  <c r="CU30" i="7"/>
  <c r="CU24" i="7"/>
  <c r="CT42" i="7"/>
  <c r="CT38" i="7"/>
  <c r="CT34" i="7"/>
  <c r="CT26" i="7"/>
  <c r="CS45" i="7"/>
  <c r="CS40" i="7"/>
  <c r="CS36" i="7"/>
  <c r="CS30" i="7"/>
  <c r="CS24" i="7"/>
  <c r="CT33" i="7"/>
  <c r="CS44" i="7"/>
  <c r="CS35" i="7"/>
  <c r="CS29" i="7"/>
  <c r="CV40" i="7"/>
  <c r="CV36" i="7"/>
  <c r="CV24" i="7"/>
  <c r="CU38" i="7"/>
  <c r="CU26" i="7"/>
  <c r="CT40" i="7"/>
  <c r="CT30" i="7"/>
  <c r="CS42" i="7"/>
  <c r="CS34" i="7"/>
  <c r="CV44" i="7"/>
  <c r="CV35" i="7"/>
  <c r="CV23" i="7"/>
  <c r="CU37" i="7"/>
  <c r="CU25" i="7"/>
  <c r="CT44" i="7"/>
  <c r="CT35" i="7"/>
  <c r="CT23" i="7"/>
  <c r="CS33" i="7"/>
  <c r="CV41" i="7"/>
  <c r="CV37" i="7"/>
  <c r="CV33" i="7"/>
  <c r="CV25" i="7"/>
  <c r="CU44" i="7"/>
  <c r="CU39" i="7"/>
  <c r="CU35" i="7"/>
  <c r="CU29" i="7"/>
  <c r="CU23" i="7"/>
  <c r="CT41" i="7"/>
  <c r="CT37" i="7"/>
  <c r="CT25" i="7"/>
  <c r="CS39" i="7"/>
  <c r="CS23" i="7"/>
  <c r="CV45" i="7"/>
  <c r="CV30" i="7"/>
  <c r="CU42" i="7"/>
  <c r="CU34" i="7"/>
  <c r="CT45" i="7"/>
  <c r="CT36" i="7"/>
  <c r="CT24" i="7"/>
  <c r="CS38" i="7"/>
  <c r="CS26" i="7"/>
  <c r="CV39" i="7"/>
  <c r="CV29" i="7"/>
  <c r="CU41" i="7"/>
  <c r="CU33" i="7"/>
  <c r="CT39" i="7"/>
  <c r="CT29" i="7"/>
  <c r="CS41" i="7"/>
  <c r="CS37" i="7"/>
  <c r="CS25" i="7"/>
  <c r="BL7" i="7"/>
  <c r="BL17" i="7"/>
  <c r="BL6" i="7"/>
  <c r="B17" i="2"/>
  <c r="B18" i="2"/>
  <c r="B20" i="2"/>
  <c r="CR52" i="7" l="1"/>
  <c r="CQ54" i="7"/>
  <c r="CQ57" i="7"/>
  <c r="B19" i="2"/>
  <c r="CV61" i="7"/>
  <c r="CQ50" i="7"/>
  <c r="CP50" i="7"/>
  <c r="CR57" i="7"/>
  <c r="CQ55" i="7"/>
  <c r="CO61" i="7"/>
  <c r="CP61" i="7" s="1"/>
  <c r="CP48" i="7"/>
  <c r="CR50" i="7"/>
  <c r="CR54" i="7"/>
  <c r="CU61" i="7"/>
  <c r="CQ61" i="7" s="1"/>
  <c r="CQ48" i="7"/>
  <c r="CR55" i="7"/>
  <c r="CT61" i="7"/>
  <c r="CS61" i="7"/>
  <c r="CR61" i="7" s="1"/>
  <c r="CR48" i="7"/>
  <c r="CR53" i="7"/>
  <c r="CQ56" i="7"/>
  <c r="CP56" i="7"/>
  <c r="CQ58" i="7"/>
  <c r="BL8" i="7"/>
  <c r="B21" i="2"/>
  <c r="Y33" i="2"/>
  <c r="Y31" i="2"/>
  <c r="Y30" i="2"/>
  <c r="Y29" i="2"/>
  <c r="Y20" i="2"/>
  <c r="Y18" i="2"/>
  <c r="Y17" i="2"/>
  <c r="Y16" i="2"/>
  <c r="X28" i="5"/>
  <c r="X27" i="5"/>
  <c r="X23" i="5"/>
  <c r="X18" i="5"/>
  <c r="X17" i="5"/>
  <c r="T30" i="8"/>
  <c r="Y35" i="2"/>
  <c r="T19" i="8"/>
  <c r="CO45" i="7"/>
  <c r="CP45" i="7" s="1"/>
  <c r="CO44" i="7"/>
  <c r="CP44" i="7" s="1"/>
  <c r="CO42" i="7"/>
  <c r="CP42" i="7" s="1"/>
  <c r="CO41" i="7"/>
  <c r="CP41" i="7" s="1"/>
  <c r="CO40" i="7"/>
  <c r="CP40" i="7" s="1"/>
  <c r="CO39" i="7"/>
  <c r="CP39" i="7" s="1"/>
  <c r="CO38" i="7"/>
  <c r="CP38" i="7" s="1"/>
  <c r="CO37" i="7"/>
  <c r="CP37" i="7" s="1"/>
  <c r="CO36" i="7"/>
  <c r="CP36" i="7" s="1"/>
  <c r="CO35" i="7"/>
  <c r="CP35" i="7" s="1"/>
  <c r="CO34" i="7"/>
  <c r="CP34" i="7" s="1"/>
  <c r="CO33" i="7"/>
  <c r="CP33" i="7" s="1"/>
  <c r="CN45" i="7"/>
  <c r="CN44" i="7"/>
  <c r="CN42" i="7"/>
  <c r="CN41" i="7"/>
  <c r="CN40" i="7"/>
  <c r="CN39" i="7"/>
  <c r="CN38" i="7"/>
  <c r="CN37" i="7"/>
  <c r="CN36" i="7"/>
  <c r="CN35" i="7"/>
  <c r="CN34" i="7"/>
  <c r="CN33" i="7"/>
  <c r="BK33" i="7"/>
  <c r="BK34" i="7"/>
  <c r="BK35" i="7"/>
  <c r="BK36" i="7"/>
  <c r="BK37" i="7"/>
  <c r="BK38" i="7"/>
  <c r="BK39" i="7"/>
  <c r="BK40" i="7"/>
  <c r="BK41" i="7"/>
  <c r="BK42" i="7"/>
  <c r="BK44" i="7"/>
  <c r="BK45" i="7"/>
  <c r="X13" i="5" l="1"/>
  <c r="X3" i="5" s="1"/>
  <c r="X14" i="5"/>
  <c r="J48" i="6"/>
  <c r="CN46" i="7"/>
  <c r="X8" i="5"/>
  <c r="Y22" i="2"/>
  <c r="Y25" i="2" s="1"/>
  <c r="X24" i="5"/>
  <c r="X19" i="5"/>
  <c r="X29" i="5"/>
  <c r="Y21" i="2"/>
  <c r="Y3" i="2"/>
  <c r="Y4" i="2"/>
  <c r="Y5" i="2"/>
  <c r="Y7" i="2"/>
  <c r="Y34" i="2"/>
  <c r="Y38" i="2"/>
  <c r="Y32" i="2"/>
  <c r="Y36" i="2"/>
  <c r="Y37" i="2"/>
  <c r="Y19" i="2"/>
  <c r="X7" i="5"/>
  <c r="X9" i="5" s="1"/>
  <c r="CO46" i="7"/>
  <c r="BH46" i="7"/>
  <c r="BH62" i="7" s="1"/>
  <c r="BG46" i="7"/>
  <c r="BG21" i="7"/>
  <c r="BQ46" i="7"/>
  <c r="BP46" i="7"/>
  <c r="BP62" i="7" s="1"/>
  <c r="BO46" i="7"/>
  <c r="BO62" i="7" s="1"/>
  <c r="BM46" i="7"/>
  <c r="BJ45" i="7"/>
  <c r="BI45" i="7"/>
  <c r="BJ44" i="7"/>
  <c r="BI44" i="7"/>
  <c r="BJ42" i="7"/>
  <c r="BI42" i="7"/>
  <c r="BJ41" i="7"/>
  <c r="BI41" i="7"/>
  <c r="BJ40" i="7"/>
  <c r="BI40" i="7"/>
  <c r="BJ39" i="7"/>
  <c r="BI39" i="7"/>
  <c r="BJ38" i="7"/>
  <c r="BI38" i="7"/>
  <c r="BJ37" i="7"/>
  <c r="BI37" i="7"/>
  <c r="BJ36" i="7"/>
  <c r="BI36" i="7"/>
  <c r="BJ35" i="7"/>
  <c r="BI35" i="7"/>
  <c r="BJ34" i="7"/>
  <c r="BI34" i="7"/>
  <c r="BJ33" i="7"/>
  <c r="BI33" i="7"/>
  <c r="BJ31" i="7"/>
  <c r="BK31" i="7"/>
  <c r="BI31" i="7"/>
  <c r="BK30" i="7"/>
  <c r="BJ30" i="7"/>
  <c r="BI30" i="7"/>
  <c r="BK29" i="7"/>
  <c r="BJ29" i="7"/>
  <c r="BI29" i="7"/>
  <c r="BK26" i="7"/>
  <c r="BJ26" i="7"/>
  <c r="BI26" i="7"/>
  <c r="BK25" i="7"/>
  <c r="BJ25" i="7"/>
  <c r="BI25" i="7"/>
  <c r="BK24" i="7"/>
  <c r="BJ24" i="7"/>
  <c r="BI24" i="7"/>
  <c r="BK23" i="7"/>
  <c r="BJ23" i="7"/>
  <c r="BI23" i="7"/>
  <c r="BQ16" i="7"/>
  <c r="BP16" i="7"/>
  <c r="BO16" i="7"/>
  <c r="BM16" i="7"/>
  <c r="BN16" i="7" s="1"/>
  <c r="BH16" i="7"/>
  <c r="BG16" i="7"/>
  <c r="BQ15" i="7"/>
  <c r="BP15" i="7"/>
  <c r="BO15" i="7"/>
  <c r="BM15" i="7"/>
  <c r="BN15" i="7" s="1"/>
  <c r="BH15" i="7"/>
  <c r="BG15" i="7"/>
  <c r="BQ14" i="7"/>
  <c r="BP14" i="7"/>
  <c r="BO14" i="7"/>
  <c r="BM14" i="7"/>
  <c r="BH14" i="7"/>
  <c r="BG14" i="7"/>
  <c r="BQ13" i="7"/>
  <c r="BP13" i="7"/>
  <c r="BO13" i="7"/>
  <c r="BM13" i="7"/>
  <c r="BH13" i="7"/>
  <c r="BG13" i="7"/>
  <c r="BG11" i="7"/>
  <c r="X15" i="5" l="1"/>
  <c r="X4" i="5"/>
  <c r="X5" i="5" s="1"/>
  <c r="BI46" i="7"/>
  <c r="BM62" i="7"/>
  <c r="BN62" i="7" s="1"/>
  <c r="BN46" i="7"/>
  <c r="Y24" i="2"/>
  <c r="Y23" i="2"/>
  <c r="Y9" i="2"/>
  <c r="Y11" i="2" s="1"/>
  <c r="Y6" i="2"/>
  <c r="X25" i="5"/>
  <c r="Y8" i="2"/>
  <c r="BJ13" i="7"/>
  <c r="BJ15" i="7"/>
  <c r="BQ7" i="7"/>
  <c r="BM17" i="7"/>
  <c r="BN17" i="7" s="1"/>
  <c r="BP6" i="7"/>
  <c r="BP7" i="7"/>
  <c r="BO17" i="7"/>
  <c r="BQ6" i="7"/>
  <c r="BO7" i="7"/>
  <c r="BO6" i="7"/>
  <c r="BK46" i="7"/>
  <c r="BJ46" i="7"/>
  <c r="BQ17" i="7"/>
  <c r="BG62" i="7"/>
  <c r="BI62" i="7" s="1"/>
  <c r="BK62" i="7"/>
  <c r="BJ62" i="7"/>
  <c r="BJ14" i="7"/>
  <c r="BJ16" i="7"/>
  <c r="BM6" i="7"/>
  <c r="BP17" i="7"/>
  <c r="BQ62" i="7"/>
  <c r="BG6" i="7"/>
  <c r="BK15" i="7"/>
  <c r="BH6" i="7"/>
  <c r="BK13" i="7"/>
  <c r="BK14" i="7"/>
  <c r="BI15" i="7"/>
  <c r="BK16" i="7"/>
  <c r="BG7" i="7"/>
  <c r="BG17" i="7"/>
  <c r="BI14" i="7"/>
  <c r="BI16" i="7"/>
  <c r="BH17" i="7"/>
  <c r="BH7" i="7"/>
  <c r="BM7" i="7"/>
  <c r="BN7" i="7" s="1"/>
  <c r="BI13" i="7"/>
  <c r="CN11" i="7"/>
  <c r="AX11" i="7"/>
  <c r="AO11" i="7"/>
  <c r="AF11" i="7"/>
  <c r="W11" i="7"/>
  <c r="N11" i="7"/>
  <c r="E11" i="7"/>
  <c r="AY16" i="7"/>
  <c r="AX16" i="7"/>
  <c r="AY15" i="7"/>
  <c r="AX15" i="7"/>
  <c r="AY14" i="7"/>
  <c r="AX14" i="7"/>
  <c r="AY13" i="7"/>
  <c r="AX13" i="7"/>
  <c r="AP16" i="7"/>
  <c r="AO16" i="7"/>
  <c r="AP15" i="7"/>
  <c r="AO15" i="7"/>
  <c r="AP14" i="7"/>
  <c r="AO14" i="7"/>
  <c r="AP13" i="7"/>
  <c r="AO13" i="7"/>
  <c r="AG16" i="7"/>
  <c r="AF16" i="7"/>
  <c r="AG15" i="7"/>
  <c r="AF15" i="7"/>
  <c r="AG14" i="7"/>
  <c r="AF14" i="7"/>
  <c r="AG13" i="7"/>
  <c r="AF13" i="7"/>
  <c r="X16" i="7"/>
  <c r="W16" i="7"/>
  <c r="X15" i="7"/>
  <c r="W15" i="7"/>
  <c r="X14" i="7"/>
  <c r="W14" i="7"/>
  <c r="X13" i="7"/>
  <c r="W13" i="7"/>
  <c r="O16" i="7"/>
  <c r="N16" i="7"/>
  <c r="O15" i="7"/>
  <c r="N15" i="7"/>
  <c r="O14" i="7"/>
  <c r="N14" i="7"/>
  <c r="O13" i="7"/>
  <c r="N13" i="7"/>
  <c r="F16" i="7"/>
  <c r="E16" i="7"/>
  <c r="F15" i="7"/>
  <c r="E15" i="7"/>
  <c r="F14" i="7"/>
  <c r="E14" i="7"/>
  <c r="F13" i="7"/>
  <c r="E13" i="7"/>
  <c r="CU16" i="7"/>
  <c r="CT16" i="7"/>
  <c r="CV15" i="7"/>
  <c r="CU46" i="7"/>
  <c r="CT15" i="7"/>
  <c r="CS15" i="7"/>
  <c r="CV14" i="7"/>
  <c r="CU14" i="7"/>
  <c r="CS14" i="7"/>
  <c r="CV31" i="7"/>
  <c r="CU13" i="7"/>
  <c r="CT13" i="7"/>
  <c r="CO30" i="7"/>
  <c r="CP30" i="7" s="1"/>
  <c r="CO29" i="7"/>
  <c r="CP29" i="7" s="1"/>
  <c r="CO26" i="7"/>
  <c r="CP26" i="7" s="1"/>
  <c r="CO25" i="7"/>
  <c r="CP25" i="7" s="1"/>
  <c r="CO23" i="7"/>
  <c r="CP23" i="7" s="1"/>
  <c r="CO24" i="7"/>
  <c r="CP24" i="7" s="1"/>
  <c r="CN23" i="7"/>
  <c r="CN24" i="7"/>
  <c r="CN25" i="7"/>
  <c r="CN26" i="7"/>
  <c r="CN29" i="7"/>
  <c r="CN30" i="7"/>
  <c r="CN31" i="7"/>
  <c r="CN62" i="7" s="1"/>
  <c r="CN15" i="7"/>
  <c r="BB45" i="7"/>
  <c r="BA45" i="7"/>
  <c r="AZ45" i="7"/>
  <c r="BB44" i="7"/>
  <c r="BA44" i="7"/>
  <c r="AZ44" i="7"/>
  <c r="BB42" i="7"/>
  <c r="BA42" i="7"/>
  <c r="AZ42" i="7"/>
  <c r="BB41" i="7"/>
  <c r="BA41" i="7"/>
  <c r="AZ41" i="7"/>
  <c r="BB40" i="7"/>
  <c r="BA40" i="7"/>
  <c r="AZ40" i="7"/>
  <c r="BB39" i="7"/>
  <c r="BA39" i="7"/>
  <c r="AZ39" i="7"/>
  <c r="BB38" i="7"/>
  <c r="BA38" i="7"/>
  <c r="AZ38" i="7"/>
  <c r="BB37" i="7"/>
  <c r="BA37" i="7"/>
  <c r="AZ37" i="7"/>
  <c r="BB36" i="7"/>
  <c r="BA36" i="7"/>
  <c r="AZ36" i="7"/>
  <c r="BB35" i="7"/>
  <c r="BA35" i="7"/>
  <c r="AZ35" i="7"/>
  <c r="BB34" i="7"/>
  <c r="BA34" i="7"/>
  <c r="AZ34" i="7"/>
  <c r="BB33" i="7"/>
  <c r="BA33" i="7"/>
  <c r="AZ33" i="7"/>
  <c r="BB30" i="7"/>
  <c r="BA30" i="7"/>
  <c r="AZ30" i="7"/>
  <c r="BB29" i="7"/>
  <c r="BA29" i="7"/>
  <c r="AZ29" i="7"/>
  <c r="BB26" i="7"/>
  <c r="BA26" i="7"/>
  <c r="AZ26" i="7"/>
  <c r="BB25" i="7"/>
  <c r="BA25" i="7"/>
  <c r="AZ25" i="7"/>
  <c r="BB24" i="7"/>
  <c r="BA24" i="7"/>
  <c r="AZ24" i="7"/>
  <c r="BB23" i="7"/>
  <c r="BA23" i="7"/>
  <c r="AZ23" i="7"/>
  <c r="AS45" i="7"/>
  <c r="AR45" i="7"/>
  <c r="AQ45" i="7"/>
  <c r="AS44" i="7"/>
  <c r="AR44" i="7"/>
  <c r="AQ44" i="7"/>
  <c r="AS42" i="7"/>
  <c r="AR42" i="7"/>
  <c r="AQ42" i="7"/>
  <c r="AS41" i="7"/>
  <c r="AR41" i="7"/>
  <c r="AQ41" i="7"/>
  <c r="AS40" i="7"/>
  <c r="AR40" i="7"/>
  <c r="AQ40" i="7"/>
  <c r="AS39" i="7"/>
  <c r="AR39" i="7"/>
  <c r="AQ39" i="7"/>
  <c r="AS38" i="7"/>
  <c r="AR38" i="7"/>
  <c r="AQ38" i="7"/>
  <c r="AS37" i="7"/>
  <c r="AR37" i="7"/>
  <c r="AQ37" i="7"/>
  <c r="AS36" i="7"/>
  <c r="AR36" i="7"/>
  <c r="AQ36" i="7"/>
  <c r="AS35" i="7"/>
  <c r="AR35" i="7"/>
  <c r="AQ35" i="7"/>
  <c r="AS34" i="7"/>
  <c r="AR34" i="7"/>
  <c r="AQ34" i="7"/>
  <c r="AS33" i="7"/>
  <c r="AR33" i="7"/>
  <c r="AQ33" i="7"/>
  <c r="AS30" i="7"/>
  <c r="AR30" i="7"/>
  <c r="AQ30" i="7"/>
  <c r="AS29" i="7"/>
  <c r="AR29" i="7"/>
  <c r="AQ29" i="7"/>
  <c r="AS26" i="7"/>
  <c r="AR26" i="7"/>
  <c r="AQ26" i="7"/>
  <c r="AS25" i="7"/>
  <c r="AR25" i="7"/>
  <c r="AQ25" i="7"/>
  <c r="AS24" i="7"/>
  <c r="AR24" i="7"/>
  <c r="AQ24" i="7"/>
  <c r="AS23" i="7"/>
  <c r="AR23" i="7"/>
  <c r="AQ23" i="7"/>
  <c r="AJ45" i="7"/>
  <c r="AI45" i="7"/>
  <c r="AH45" i="7"/>
  <c r="AJ44" i="7"/>
  <c r="AI44" i="7"/>
  <c r="AH44" i="7"/>
  <c r="AJ42" i="7"/>
  <c r="AI42" i="7"/>
  <c r="AH42" i="7"/>
  <c r="AJ41" i="7"/>
  <c r="AI41" i="7"/>
  <c r="AH41" i="7"/>
  <c r="AJ40" i="7"/>
  <c r="AI40" i="7"/>
  <c r="AH40" i="7"/>
  <c r="AJ39" i="7"/>
  <c r="AI39" i="7"/>
  <c r="AH39" i="7"/>
  <c r="AJ38" i="7"/>
  <c r="AI38" i="7"/>
  <c r="AH38" i="7"/>
  <c r="AJ37" i="7"/>
  <c r="AI37" i="7"/>
  <c r="AH37" i="7"/>
  <c r="AJ36" i="7"/>
  <c r="AI36" i="7"/>
  <c r="AH36" i="7"/>
  <c r="AJ35" i="7"/>
  <c r="AI35" i="7"/>
  <c r="AH35" i="7"/>
  <c r="AJ34" i="7"/>
  <c r="AI34" i="7"/>
  <c r="AH34" i="7"/>
  <c r="AJ33" i="7"/>
  <c r="AI33" i="7"/>
  <c r="AH33" i="7"/>
  <c r="AJ30" i="7"/>
  <c r="AI30" i="7"/>
  <c r="AH30" i="7"/>
  <c r="AJ29" i="7"/>
  <c r="AI29" i="7"/>
  <c r="AH29" i="7"/>
  <c r="AJ26" i="7"/>
  <c r="AI26" i="7"/>
  <c r="AH26" i="7"/>
  <c r="AJ25" i="7"/>
  <c r="AI25" i="7"/>
  <c r="AH25" i="7"/>
  <c r="AJ24" i="7"/>
  <c r="AI24" i="7"/>
  <c r="AH24" i="7"/>
  <c r="AJ23" i="7"/>
  <c r="AI23" i="7"/>
  <c r="AH23" i="7"/>
  <c r="AA45" i="7"/>
  <c r="Z45" i="7"/>
  <c r="Y45" i="7"/>
  <c r="AA44" i="7"/>
  <c r="Z44" i="7"/>
  <c r="Y44" i="7"/>
  <c r="AA42" i="7"/>
  <c r="Z42" i="7"/>
  <c r="Y42" i="7"/>
  <c r="AA41" i="7"/>
  <c r="Z41" i="7"/>
  <c r="Y41" i="7"/>
  <c r="AA40" i="7"/>
  <c r="Z40" i="7"/>
  <c r="Y40" i="7"/>
  <c r="AA39" i="7"/>
  <c r="Z39" i="7"/>
  <c r="Y39" i="7"/>
  <c r="AA38" i="7"/>
  <c r="Z38" i="7"/>
  <c r="Y38" i="7"/>
  <c r="AA37" i="7"/>
  <c r="Z37" i="7"/>
  <c r="Y37" i="7"/>
  <c r="AA36" i="7"/>
  <c r="Z36" i="7"/>
  <c r="Y36" i="7"/>
  <c r="AA35" i="7"/>
  <c r="Z35" i="7"/>
  <c r="Y35" i="7"/>
  <c r="AA34" i="7"/>
  <c r="Z34" i="7"/>
  <c r="Y34" i="7"/>
  <c r="AA33" i="7"/>
  <c r="Z33" i="7"/>
  <c r="Y33" i="7"/>
  <c r="AA30" i="7"/>
  <c r="Z30" i="7"/>
  <c r="Y30" i="7"/>
  <c r="AA29" i="7"/>
  <c r="Z29" i="7"/>
  <c r="Y29" i="7"/>
  <c r="AA26" i="7"/>
  <c r="Z26" i="7"/>
  <c r="Y26" i="7"/>
  <c r="AA25" i="7"/>
  <c r="Z25" i="7"/>
  <c r="Y25" i="7"/>
  <c r="AA24" i="7"/>
  <c r="Z24" i="7"/>
  <c r="Y24" i="7"/>
  <c r="AA23" i="7"/>
  <c r="Z23" i="7"/>
  <c r="Y23" i="7"/>
  <c r="R45" i="7"/>
  <c r="Q45" i="7"/>
  <c r="P45" i="7"/>
  <c r="R44" i="7"/>
  <c r="Q44" i="7"/>
  <c r="P44" i="7"/>
  <c r="R42" i="7"/>
  <c r="Q42" i="7"/>
  <c r="P42" i="7"/>
  <c r="R41" i="7"/>
  <c r="Q41" i="7"/>
  <c r="P41" i="7"/>
  <c r="R40" i="7"/>
  <c r="Q40" i="7"/>
  <c r="P40" i="7"/>
  <c r="R39" i="7"/>
  <c r="Q39" i="7"/>
  <c r="P39" i="7"/>
  <c r="R38" i="7"/>
  <c r="Q38" i="7"/>
  <c r="P38" i="7"/>
  <c r="R37" i="7"/>
  <c r="Q37" i="7"/>
  <c r="P37" i="7"/>
  <c r="R36" i="7"/>
  <c r="Q36" i="7"/>
  <c r="P36" i="7"/>
  <c r="R35" i="7"/>
  <c r="Q35" i="7"/>
  <c r="P35" i="7"/>
  <c r="R34" i="7"/>
  <c r="Q34" i="7"/>
  <c r="P34" i="7"/>
  <c r="R33" i="7"/>
  <c r="Q33" i="7"/>
  <c r="P33" i="7"/>
  <c r="R30" i="7"/>
  <c r="Q30" i="7"/>
  <c r="P30" i="7"/>
  <c r="R29" i="7"/>
  <c r="Q29" i="7"/>
  <c r="P29" i="7"/>
  <c r="R26" i="7"/>
  <c r="Q26" i="7"/>
  <c r="P26" i="7"/>
  <c r="R25" i="7"/>
  <c r="Q25" i="7"/>
  <c r="P25" i="7"/>
  <c r="R24" i="7"/>
  <c r="Q24" i="7"/>
  <c r="P24" i="7"/>
  <c r="R23" i="7"/>
  <c r="Q23" i="7"/>
  <c r="P23" i="7"/>
  <c r="J31" i="7"/>
  <c r="I45" i="7"/>
  <c r="H45" i="7"/>
  <c r="G45" i="7"/>
  <c r="I44" i="7"/>
  <c r="H44" i="7"/>
  <c r="G44" i="7"/>
  <c r="I42" i="7"/>
  <c r="H42" i="7"/>
  <c r="G42" i="7"/>
  <c r="I41" i="7"/>
  <c r="H41" i="7"/>
  <c r="G41" i="7"/>
  <c r="I40" i="7"/>
  <c r="H40" i="7"/>
  <c r="G40" i="7"/>
  <c r="I39" i="7"/>
  <c r="H39" i="7"/>
  <c r="G39" i="7"/>
  <c r="I38" i="7"/>
  <c r="H38" i="7"/>
  <c r="G38" i="7"/>
  <c r="I37" i="7"/>
  <c r="H37" i="7"/>
  <c r="G37" i="7"/>
  <c r="I36" i="7"/>
  <c r="H36" i="7"/>
  <c r="G36" i="7"/>
  <c r="I35" i="7"/>
  <c r="H35" i="7"/>
  <c r="G35" i="7"/>
  <c r="I34" i="7"/>
  <c r="H34" i="7"/>
  <c r="G34" i="7"/>
  <c r="I33" i="7"/>
  <c r="H33" i="7"/>
  <c r="G33" i="7"/>
  <c r="I30" i="7"/>
  <c r="H30" i="7"/>
  <c r="G30" i="7"/>
  <c r="I29" i="7"/>
  <c r="H29" i="7"/>
  <c r="G29" i="7"/>
  <c r="I26" i="7"/>
  <c r="H26" i="7"/>
  <c r="G26" i="7"/>
  <c r="I25" i="7"/>
  <c r="H25" i="7"/>
  <c r="G25" i="7"/>
  <c r="I24" i="7"/>
  <c r="H24" i="7"/>
  <c r="G24" i="7"/>
  <c r="I23" i="7"/>
  <c r="H23" i="7"/>
  <c r="G23" i="7"/>
  <c r="BF16" i="7"/>
  <c r="BE16" i="7"/>
  <c r="BD16" i="7"/>
  <c r="BC16" i="7"/>
  <c r="AW16" i="7"/>
  <c r="AV16" i="7"/>
  <c r="AU16" i="7"/>
  <c r="AT16" i="7"/>
  <c r="AN16" i="7"/>
  <c r="AM16" i="7"/>
  <c r="AI16" i="7" s="1"/>
  <c r="AL16" i="7"/>
  <c r="AK16" i="7"/>
  <c r="AE16" i="7"/>
  <c r="AD16" i="7"/>
  <c r="AC16" i="7"/>
  <c r="AB16" i="7"/>
  <c r="V16" i="7"/>
  <c r="U16" i="7"/>
  <c r="T16" i="7"/>
  <c r="S16" i="7"/>
  <c r="M16" i="7"/>
  <c r="L16" i="7"/>
  <c r="K16" i="7"/>
  <c r="J16" i="7"/>
  <c r="BF15" i="7"/>
  <c r="BE15" i="7"/>
  <c r="BD15" i="7"/>
  <c r="BC15" i="7"/>
  <c r="BB15" i="7" s="1"/>
  <c r="AW15" i="7"/>
  <c r="AV15" i="7"/>
  <c r="AU15" i="7"/>
  <c r="AT15" i="7"/>
  <c r="AN15" i="7"/>
  <c r="AM15" i="7"/>
  <c r="AL15" i="7"/>
  <c r="AK15" i="7"/>
  <c r="AE15" i="7"/>
  <c r="AD15" i="7"/>
  <c r="AC15" i="7"/>
  <c r="AB15" i="7"/>
  <c r="AA15" i="7" s="1"/>
  <c r="V15" i="7"/>
  <c r="U15" i="7"/>
  <c r="T15" i="7"/>
  <c r="S15" i="7"/>
  <c r="M15" i="7"/>
  <c r="L15" i="7"/>
  <c r="K15" i="7"/>
  <c r="J15" i="7"/>
  <c r="BF14" i="7"/>
  <c r="BE14" i="7"/>
  <c r="BD14" i="7"/>
  <c r="BC14" i="7"/>
  <c r="AW14" i="7"/>
  <c r="AV14" i="7"/>
  <c r="AU14" i="7"/>
  <c r="AT14" i="7"/>
  <c r="AN14" i="7"/>
  <c r="AM14" i="7"/>
  <c r="AI14" i="7" s="1"/>
  <c r="AL14" i="7"/>
  <c r="AK14" i="7"/>
  <c r="AE14" i="7"/>
  <c r="AD14" i="7"/>
  <c r="AC14" i="7"/>
  <c r="AB14" i="7"/>
  <c r="V14" i="7"/>
  <c r="U14" i="7"/>
  <c r="T14" i="7"/>
  <c r="S14" i="7"/>
  <c r="M14" i="7"/>
  <c r="L14" i="7"/>
  <c r="K14" i="7"/>
  <c r="J14" i="7"/>
  <c r="BF13" i="7"/>
  <c r="BE13" i="7"/>
  <c r="BE6" i="7" s="1"/>
  <c r="BD13" i="7"/>
  <c r="BC13" i="7"/>
  <c r="BB13" i="7" s="1"/>
  <c r="AW13" i="7"/>
  <c r="AV13" i="7"/>
  <c r="AV6" i="7" s="1"/>
  <c r="AU13" i="7"/>
  <c r="AT13" i="7"/>
  <c r="AN13" i="7"/>
  <c r="AM13" i="7"/>
  <c r="AM6" i="7" s="1"/>
  <c r="AL13" i="7"/>
  <c r="AK13" i="7"/>
  <c r="AE13" i="7"/>
  <c r="AD13" i="7"/>
  <c r="AD6" i="7" s="1"/>
  <c r="AC13" i="7"/>
  <c r="AB13" i="7"/>
  <c r="AA13" i="7" s="1"/>
  <c r="V13" i="7"/>
  <c r="U13" i="7"/>
  <c r="U6" i="7" s="1"/>
  <c r="T13" i="7"/>
  <c r="S13" i="7"/>
  <c r="M13" i="7"/>
  <c r="L13" i="7"/>
  <c r="L6" i="7" s="1"/>
  <c r="K13" i="7"/>
  <c r="J13" i="7"/>
  <c r="BF31" i="7"/>
  <c r="BE31" i="7"/>
  <c r="BA31" i="7" s="1"/>
  <c r="BD31" i="7"/>
  <c r="BC31" i="7"/>
  <c r="BB31" i="7" s="1"/>
  <c r="AW31" i="7"/>
  <c r="AV31" i="7"/>
  <c r="AR31" i="7" s="1"/>
  <c r="AU31" i="7"/>
  <c r="AT31" i="7"/>
  <c r="AS31" i="7" s="1"/>
  <c r="AN31" i="7"/>
  <c r="AM31" i="7"/>
  <c r="AL31" i="7"/>
  <c r="AK31" i="7"/>
  <c r="AE31" i="7"/>
  <c r="AD31" i="7"/>
  <c r="Z31" i="7" s="1"/>
  <c r="AC31" i="7"/>
  <c r="AB31" i="7"/>
  <c r="AA31" i="7" s="1"/>
  <c r="V31" i="7"/>
  <c r="U31" i="7"/>
  <c r="T31" i="7"/>
  <c r="S31" i="7"/>
  <c r="M31" i="7"/>
  <c r="L31" i="7"/>
  <c r="K31" i="7"/>
  <c r="BF46" i="7"/>
  <c r="BE46" i="7"/>
  <c r="BD46" i="7"/>
  <c r="BC46" i="7"/>
  <c r="BB46" i="7" s="1"/>
  <c r="AW46" i="7"/>
  <c r="AV46" i="7"/>
  <c r="AR46" i="7" s="1"/>
  <c r="AU46" i="7"/>
  <c r="AT46" i="7"/>
  <c r="AN46" i="7"/>
  <c r="AM46" i="7"/>
  <c r="AL46" i="7"/>
  <c r="AK46" i="7"/>
  <c r="AJ46" i="7" s="1"/>
  <c r="AE46" i="7"/>
  <c r="AD46" i="7"/>
  <c r="Z46" i="7" s="1"/>
  <c r="AC46" i="7"/>
  <c r="AB46" i="7"/>
  <c r="V46" i="7"/>
  <c r="U46" i="7"/>
  <c r="Q46" i="7" s="1"/>
  <c r="T46" i="7"/>
  <c r="S46" i="7"/>
  <c r="R46" i="7" s="1"/>
  <c r="M46" i="7"/>
  <c r="L46" i="7"/>
  <c r="K46" i="7"/>
  <c r="J46" i="7"/>
  <c r="BI6" i="7" l="1"/>
  <c r="BJ6" i="7"/>
  <c r="AO7" i="7"/>
  <c r="H15" i="7"/>
  <c r="Q15" i="7"/>
  <c r="AI15" i="7"/>
  <c r="AZ16" i="7"/>
  <c r="I14" i="7"/>
  <c r="R14" i="7"/>
  <c r="AJ14" i="7"/>
  <c r="R16" i="7"/>
  <c r="AJ16" i="7"/>
  <c r="AG7" i="7"/>
  <c r="AX17" i="7"/>
  <c r="Y10" i="2"/>
  <c r="Y12" i="2"/>
  <c r="AS14" i="7"/>
  <c r="BB14" i="7"/>
  <c r="AS16" i="7"/>
  <c r="BB16" i="7"/>
  <c r="AX7" i="7"/>
  <c r="AY7" i="7"/>
  <c r="BA14" i="7"/>
  <c r="BA16" i="7"/>
  <c r="AR15" i="7"/>
  <c r="AZ13" i="7"/>
  <c r="BQ8" i="7"/>
  <c r="W7" i="7"/>
  <c r="AF7" i="7"/>
  <c r="AQ16" i="7"/>
  <c r="AS13" i="7"/>
  <c r="AS15" i="7"/>
  <c r="BO8" i="7"/>
  <c r="BP8" i="7"/>
  <c r="BG8" i="7"/>
  <c r="BK6" i="7"/>
  <c r="BI7" i="7"/>
  <c r="BK7" i="7"/>
  <c r="BI17" i="7"/>
  <c r="BM8" i="7"/>
  <c r="BN8" i="7" s="1"/>
  <c r="BH8" i="7"/>
  <c r="BK17" i="7"/>
  <c r="AR14" i="7"/>
  <c r="BA15" i="7"/>
  <c r="BJ17" i="7"/>
  <c r="AR16" i="7"/>
  <c r="AO6" i="7"/>
  <c r="AO8" i="7" s="1"/>
  <c r="BJ7" i="7"/>
  <c r="CN16" i="7"/>
  <c r="CN7" i="7" s="1"/>
  <c r="CN14" i="7"/>
  <c r="CN13" i="7"/>
  <c r="CS16" i="7"/>
  <c r="CS7" i="7" s="1"/>
  <c r="CO13" i="7"/>
  <c r="CP13" i="7" s="1"/>
  <c r="Y13" i="7"/>
  <c r="Y15" i="7"/>
  <c r="AP7" i="7"/>
  <c r="AQ7" i="7" s="1"/>
  <c r="CO14" i="7"/>
  <c r="CP14" i="7" s="1"/>
  <c r="I13" i="7"/>
  <c r="I15" i="7"/>
  <c r="W6" i="7"/>
  <c r="W8" i="7" s="1"/>
  <c r="CO15" i="7"/>
  <c r="CP15" i="7" s="1"/>
  <c r="AP17" i="7"/>
  <c r="AX6" i="7"/>
  <c r="AZ15" i="7"/>
  <c r="CO16" i="7"/>
  <c r="CP16" i="7" s="1"/>
  <c r="AY17" i="7"/>
  <c r="AZ17" i="7" s="1"/>
  <c r="Z14" i="7"/>
  <c r="Z16" i="7"/>
  <c r="AQ14" i="7"/>
  <c r="AY6" i="7"/>
  <c r="AO17" i="7"/>
  <c r="BA13" i="7"/>
  <c r="AZ14" i="7"/>
  <c r="AJ13" i="7"/>
  <c r="AA14" i="7"/>
  <c r="AJ15" i="7"/>
  <c r="AA16" i="7"/>
  <c r="AH16" i="7"/>
  <c r="AQ15" i="7"/>
  <c r="AH14" i="7"/>
  <c r="AP6" i="7"/>
  <c r="AQ13" i="7"/>
  <c r="H16" i="7"/>
  <c r="Q16" i="7"/>
  <c r="F7" i="7"/>
  <c r="O7" i="7"/>
  <c r="X7" i="7"/>
  <c r="Y16" i="7"/>
  <c r="AF17" i="7"/>
  <c r="AR13" i="7"/>
  <c r="CQ40" i="7"/>
  <c r="AF6" i="7"/>
  <c r="AG17" i="7"/>
  <c r="AH15" i="7"/>
  <c r="P14" i="7"/>
  <c r="Y14" i="7"/>
  <c r="AG6" i="7"/>
  <c r="AH13" i="7"/>
  <c r="Z15" i="7"/>
  <c r="N17" i="7"/>
  <c r="W17" i="7"/>
  <c r="AI13" i="7"/>
  <c r="X17" i="7"/>
  <c r="X6" i="7"/>
  <c r="Z13" i="7"/>
  <c r="G14" i="7"/>
  <c r="G16" i="7"/>
  <c r="R13" i="7"/>
  <c r="R15" i="7"/>
  <c r="E17" i="7"/>
  <c r="G15" i="7"/>
  <c r="N7" i="7"/>
  <c r="P16" i="7"/>
  <c r="I16" i="7"/>
  <c r="H14" i="7"/>
  <c r="Q14" i="7"/>
  <c r="CQ30" i="7"/>
  <c r="CQ36" i="7"/>
  <c r="CQ45" i="7"/>
  <c r="F6" i="7"/>
  <c r="O17" i="7"/>
  <c r="N6" i="7"/>
  <c r="P15" i="7"/>
  <c r="O6" i="7"/>
  <c r="P13" i="7"/>
  <c r="CR40" i="7"/>
  <c r="E7" i="7"/>
  <c r="G13" i="7"/>
  <c r="Q13" i="7"/>
  <c r="H13" i="7"/>
  <c r="F17" i="7"/>
  <c r="E6" i="7"/>
  <c r="CR24" i="7"/>
  <c r="CR30" i="7"/>
  <c r="CR36" i="7"/>
  <c r="CR45" i="7"/>
  <c r="CR34" i="7"/>
  <c r="CR42" i="7"/>
  <c r="CQ24" i="7"/>
  <c r="CQ34" i="7"/>
  <c r="CQ42" i="7"/>
  <c r="CT14" i="7"/>
  <c r="CT6" i="7" s="1"/>
  <c r="CR23" i="7"/>
  <c r="CR29" i="7"/>
  <c r="CR35" i="7"/>
  <c r="CR39" i="7"/>
  <c r="CR44" i="7"/>
  <c r="CQ29" i="7"/>
  <c r="CO31" i="7"/>
  <c r="CQ25" i="7"/>
  <c r="CR25" i="7"/>
  <c r="CR37" i="7"/>
  <c r="CR41" i="7"/>
  <c r="CQ35" i="7"/>
  <c r="CQ37" i="7"/>
  <c r="CQ39" i="7"/>
  <c r="CQ41" i="7"/>
  <c r="CQ44" i="7"/>
  <c r="CQ23" i="7"/>
  <c r="CR33" i="7"/>
  <c r="AQ46" i="7"/>
  <c r="AZ31" i="7"/>
  <c r="AZ46" i="7"/>
  <c r="CQ26" i="7"/>
  <c r="BA46" i="7"/>
  <c r="CR26" i="7"/>
  <c r="CQ38" i="7"/>
  <c r="CQ33" i="7"/>
  <c r="CR38" i="7"/>
  <c r="AZ62" i="7"/>
  <c r="Y31" i="7"/>
  <c r="AQ31" i="7"/>
  <c r="AS46" i="7"/>
  <c r="Q31" i="7"/>
  <c r="AI31" i="7"/>
  <c r="AJ31" i="7"/>
  <c r="AH31" i="7"/>
  <c r="AI46" i="7"/>
  <c r="AH46" i="7"/>
  <c r="AH62" i="7"/>
  <c r="AA46" i="7"/>
  <c r="Y46" i="7"/>
  <c r="CV46" i="7"/>
  <c r="CV62" i="7" s="1"/>
  <c r="CV16" i="7"/>
  <c r="CV7" i="7" s="1"/>
  <c r="R31" i="7"/>
  <c r="P31" i="7"/>
  <c r="CT46" i="7"/>
  <c r="T7" i="7"/>
  <c r="AC7" i="7"/>
  <c r="AL7" i="7"/>
  <c r="AU7" i="7"/>
  <c r="BD7" i="7"/>
  <c r="P46" i="7"/>
  <c r="CV13" i="7"/>
  <c r="CV6" i="7" s="1"/>
  <c r="K6" i="7"/>
  <c r="T6" i="7"/>
  <c r="AC6" i="7"/>
  <c r="AL6" i="7"/>
  <c r="S7" i="7"/>
  <c r="AB7" i="7"/>
  <c r="AK7" i="7"/>
  <c r="AT7" i="7"/>
  <c r="BC7" i="7"/>
  <c r="BB7" i="7" s="1"/>
  <c r="K7" i="7"/>
  <c r="T62" i="7"/>
  <c r="AC62" i="7"/>
  <c r="AL62" i="7"/>
  <c r="AU62" i="7"/>
  <c r="BD62" i="7"/>
  <c r="AC17" i="7"/>
  <c r="T17" i="7"/>
  <c r="M62" i="7"/>
  <c r="V62" i="7"/>
  <c r="AE62" i="7"/>
  <c r="AN62" i="7"/>
  <c r="AW62" i="7"/>
  <c r="BF62" i="7"/>
  <c r="J6" i="7"/>
  <c r="S17" i="7"/>
  <c r="AB6" i="7"/>
  <c r="AK17" i="7"/>
  <c r="AT17" i="7"/>
  <c r="BC17" i="7"/>
  <c r="M17" i="7"/>
  <c r="AE17" i="7"/>
  <c r="AN17" i="7"/>
  <c r="AW17" i="7"/>
  <c r="BF17" i="7"/>
  <c r="CT31" i="7"/>
  <c r="J7" i="7"/>
  <c r="CU15" i="7"/>
  <c r="F31" i="7"/>
  <c r="F46" i="7"/>
  <c r="AM17" i="7"/>
  <c r="AU6" i="7"/>
  <c r="AU8" i="7" s="1"/>
  <c r="BD6" i="7"/>
  <c r="M7" i="7"/>
  <c r="V7" i="7"/>
  <c r="AE7" i="7"/>
  <c r="AN7" i="7"/>
  <c r="AW7" i="7"/>
  <c r="BF7" i="7"/>
  <c r="E31" i="7"/>
  <c r="AD62" i="7"/>
  <c r="BE62" i="7"/>
  <c r="BA62" i="7" s="1"/>
  <c r="L62" i="7"/>
  <c r="U62" i="7"/>
  <c r="AM62" i="7"/>
  <c r="AV62" i="7"/>
  <c r="AR62" i="7" s="1"/>
  <c r="M6" i="7"/>
  <c r="V6" i="7"/>
  <c r="AE6" i="7"/>
  <c r="AN6" i="7"/>
  <c r="AW6" i="7"/>
  <c r="BF6" i="7"/>
  <c r="L7" i="7"/>
  <c r="U17" i="7"/>
  <c r="AD17" i="7"/>
  <c r="AM7" i="7"/>
  <c r="AV17" i="7"/>
  <c r="BE17" i="7"/>
  <c r="E46" i="7"/>
  <c r="CP46" i="7" s="1"/>
  <c r="AD7" i="7"/>
  <c r="J62" i="7"/>
  <c r="S62" i="7"/>
  <c r="AB62" i="7"/>
  <c r="AK62" i="7"/>
  <c r="AT62" i="7"/>
  <c r="BC62" i="7"/>
  <c r="BB62" i="7" s="1"/>
  <c r="CU31" i="7"/>
  <c r="K17" i="7"/>
  <c r="BD17" i="7"/>
  <c r="V17" i="7"/>
  <c r="L17" i="7"/>
  <c r="U7" i="7"/>
  <c r="AV7" i="7"/>
  <c r="BE7" i="7"/>
  <c r="AU17" i="7"/>
  <c r="AB17" i="7"/>
  <c r="S6" i="7"/>
  <c r="AK6" i="7"/>
  <c r="AT6" i="7"/>
  <c r="BC6" i="7"/>
  <c r="BB6" i="7" s="1"/>
  <c r="CS13" i="7"/>
  <c r="AL17" i="7"/>
  <c r="CT7" i="7"/>
  <c r="CS46" i="7"/>
  <c r="CU6" i="7"/>
  <c r="CS31" i="7"/>
  <c r="J17" i="7"/>
  <c r="K62" i="7"/>
  <c r="Y7" i="7" l="1"/>
  <c r="I7" i="7"/>
  <c r="AH7" i="7"/>
  <c r="F8" i="7"/>
  <c r="AJ7" i="7"/>
  <c r="AF8" i="7"/>
  <c r="AX8" i="7"/>
  <c r="AZ7" i="7"/>
  <c r="CP31" i="7"/>
  <c r="CO62" i="7"/>
  <c r="I6" i="7"/>
  <c r="G7" i="7"/>
  <c r="CT17" i="7"/>
  <c r="AR17" i="7"/>
  <c r="AA7" i="7"/>
  <c r="BI8" i="7"/>
  <c r="CN6" i="7"/>
  <c r="CN8" i="7" s="1"/>
  <c r="CN17" i="7"/>
  <c r="BJ8" i="7"/>
  <c r="R7" i="7"/>
  <c r="AH17" i="7"/>
  <c r="AS6" i="7"/>
  <c r="AI17" i="7"/>
  <c r="AS7" i="7"/>
  <c r="CR15" i="7"/>
  <c r="AJ17" i="7"/>
  <c r="CQ16" i="7"/>
  <c r="BK8" i="7"/>
  <c r="CS6" i="7"/>
  <c r="CR13" i="7"/>
  <c r="CU7" i="7"/>
  <c r="CU8" i="7" s="1"/>
  <c r="CQ15" i="7"/>
  <c r="BB17" i="7"/>
  <c r="CO7" i="7"/>
  <c r="CP7" i="7" s="1"/>
  <c r="CO6" i="7"/>
  <c r="CP6" i="7" s="1"/>
  <c r="CO17" i="7"/>
  <c r="CP17" i="7" s="1"/>
  <c r="CR14" i="7"/>
  <c r="AS17" i="7"/>
  <c r="P7" i="7"/>
  <c r="AQ17" i="7"/>
  <c r="CQ13" i="7"/>
  <c r="CQ14" i="7"/>
  <c r="AJ6" i="7"/>
  <c r="BA17" i="7"/>
  <c r="CR16" i="7"/>
  <c r="AY8" i="7"/>
  <c r="AZ6" i="7"/>
  <c r="BE8" i="7"/>
  <c r="BA7" i="7"/>
  <c r="Z17" i="7"/>
  <c r="BA6" i="7"/>
  <c r="AP8" i="7"/>
  <c r="AQ8" i="7" s="1"/>
  <c r="AQ6" i="7"/>
  <c r="AV8" i="7"/>
  <c r="AR7" i="7"/>
  <c r="G17" i="7"/>
  <c r="Y17" i="7"/>
  <c r="AR6" i="7"/>
  <c r="AA6" i="7"/>
  <c r="AA17" i="7"/>
  <c r="AM8" i="7"/>
  <c r="AI7" i="7"/>
  <c r="P17" i="7"/>
  <c r="AG8" i="7"/>
  <c r="AH6" i="7"/>
  <c r="AI6" i="7"/>
  <c r="AD8" i="7"/>
  <c r="Z7" i="7"/>
  <c r="X8" i="7"/>
  <c r="Y8" i="7" s="1"/>
  <c r="Y6" i="7"/>
  <c r="N8" i="7"/>
  <c r="Z6" i="7"/>
  <c r="Q17" i="7"/>
  <c r="R6" i="7"/>
  <c r="I17" i="7"/>
  <c r="R17" i="7"/>
  <c r="H6" i="7"/>
  <c r="H17" i="7"/>
  <c r="E8" i="7"/>
  <c r="G6" i="7"/>
  <c r="O8" i="7"/>
  <c r="P6" i="7"/>
  <c r="L8" i="7"/>
  <c r="H7" i="7"/>
  <c r="Q6" i="7"/>
  <c r="U8" i="7"/>
  <c r="Q7" i="7"/>
  <c r="CS62" i="7"/>
  <c r="CR31" i="7"/>
  <c r="CR46" i="7"/>
  <c r="CQ46" i="7"/>
  <c r="AQ62" i="7"/>
  <c r="CU62" i="7"/>
  <c r="CQ31" i="7"/>
  <c r="AA62" i="7"/>
  <c r="AI62" i="7"/>
  <c r="AS62" i="7"/>
  <c r="CV17" i="7"/>
  <c r="AJ62" i="7"/>
  <c r="P62" i="7"/>
  <c r="Y62" i="7"/>
  <c r="Z62" i="7"/>
  <c r="CT62" i="7"/>
  <c r="T8" i="7"/>
  <c r="AL8" i="7"/>
  <c r="R62" i="7"/>
  <c r="Q62" i="7"/>
  <c r="AC8" i="7"/>
  <c r="CV8" i="7"/>
  <c r="BC8" i="7"/>
  <c r="BD8" i="7"/>
  <c r="K8" i="7"/>
  <c r="S8" i="7"/>
  <c r="AB8" i="7"/>
  <c r="AK8" i="7"/>
  <c r="H46" i="7"/>
  <c r="G46" i="7"/>
  <c r="I46" i="7"/>
  <c r="G31" i="7"/>
  <c r="I31" i="7"/>
  <c r="AW8" i="7"/>
  <c r="M8" i="7"/>
  <c r="H31" i="7"/>
  <c r="J8" i="7"/>
  <c r="I8" i="7" s="1"/>
  <c r="AT8" i="7"/>
  <c r="AE8" i="7"/>
  <c r="CU17" i="7"/>
  <c r="E62" i="7"/>
  <c r="F62" i="7"/>
  <c r="BF8" i="7"/>
  <c r="V8" i="7"/>
  <c r="CS17" i="7"/>
  <c r="AN8" i="7"/>
  <c r="CT8" i="7"/>
  <c r="AZ8" i="7" l="1"/>
  <c r="H8" i="7"/>
  <c r="G8" i="7"/>
  <c r="CQ62" i="7"/>
  <c r="AH8" i="7"/>
  <c r="CP62" i="7"/>
  <c r="CQ17" i="7"/>
  <c r="AJ8" i="7"/>
  <c r="AI8" i="7"/>
  <c r="CR17" i="7"/>
  <c r="CQ6" i="7"/>
  <c r="AS8" i="7"/>
  <c r="CQ7" i="7"/>
  <c r="CR7" i="7"/>
  <c r="BB8" i="7"/>
  <c r="BA8" i="7"/>
  <c r="CO8" i="7"/>
  <c r="CP8" i="7" s="1"/>
  <c r="CS8" i="7"/>
  <c r="CR6" i="7"/>
  <c r="AR8" i="7"/>
  <c r="Q8" i="7"/>
  <c r="P8" i="7"/>
  <c r="AA8" i="7"/>
  <c r="R8" i="7"/>
  <c r="Z8" i="7"/>
  <c r="CR62" i="7"/>
  <c r="H62" i="7"/>
  <c r="G62" i="7"/>
  <c r="I62" i="7"/>
  <c r="CR8" i="7" l="1"/>
  <c r="CQ8" i="7"/>
  <c r="C44" i="2" l="1"/>
  <c r="C45" i="2" s="1"/>
  <c r="C43" i="2"/>
  <c r="C42" i="2"/>
  <c r="X45" i="2"/>
  <c r="W45" i="2"/>
  <c r="V45" i="2"/>
  <c r="U45" i="2"/>
  <c r="T45" i="2"/>
  <c r="S45" i="2"/>
  <c r="R45" i="2"/>
  <c r="Q45" i="2"/>
  <c r="P45" i="2"/>
  <c r="G48" i="2"/>
  <c r="H48" i="2"/>
  <c r="I48" i="2"/>
  <c r="J48" i="2"/>
  <c r="K48" i="2"/>
  <c r="L48" i="2"/>
  <c r="M48" i="2"/>
  <c r="N48" i="2"/>
  <c r="O48" i="2"/>
  <c r="P48" i="2"/>
  <c r="Q48" i="2"/>
  <c r="Q50" i="2" s="1"/>
  <c r="R48" i="2"/>
  <c r="R50" i="2" s="1"/>
  <c r="S48" i="2"/>
  <c r="S51" i="2" s="1"/>
  <c r="T48" i="2"/>
  <c r="U48" i="2"/>
  <c r="U50" i="2" s="1"/>
  <c r="V48" i="2"/>
  <c r="V50" i="2" s="1"/>
  <c r="W48" i="2"/>
  <c r="W51" i="2" s="1"/>
  <c r="X48" i="2"/>
  <c r="G46" i="2"/>
  <c r="H46" i="2"/>
  <c r="I46" i="2"/>
  <c r="J46" i="2"/>
  <c r="K46" i="2"/>
  <c r="L46" i="2"/>
  <c r="M46" i="2"/>
  <c r="N46" i="2"/>
  <c r="O46" i="2"/>
  <c r="P46" i="2"/>
  <c r="P47" i="2" s="1"/>
  <c r="Q46" i="2"/>
  <c r="Q47" i="2" s="1"/>
  <c r="R46" i="2"/>
  <c r="R47" i="2" s="1"/>
  <c r="S46" i="2"/>
  <c r="T46" i="2"/>
  <c r="T47" i="2" s="1"/>
  <c r="U46" i="2"/>
  <c r="U47" i="2" s="1"/>
  <c r="V46" i="2"/>
  <c r="V47" i="2" s="1"/>
  <c r="W46" i="2"/>
  <c r="W47" i="2" s="1"/>
  <c r="X46" i="2"/>
  <c r="X47" i="2" s="1"/>
  <c r="G44" i="2"/>
  <c r="H44" i="2"/>
  <c r="I44" i="2"/>
  <c r="I51" i="2" s="1"/>
  <c r="J44" i="2"/>
  <c r="K44" i="2"/>
  <c r="L44" i="2"/>
  <c r="M44" i="2"/>
  <c r="N44" i="2"/>
  <c r="O44" i="2"/>
  <c r="G43" i="2"/>
  <c r="H43" i="2"/>
  <c r="I43" i="2"/>
  <c r="J43" i="2"/>
  <c r="K43" i="2"/>
  <c r="L43" i="2"/>
  <c r="M43" i="2"/>
  <c r="D43" i="2" s="1"/>
  <c r="N43" i="2"/>
  <c r="O43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C30" i="2"/>
  <c r="C29" i="2"/>
  <c r="C17" i="2"/>
  <c r="C16" i="2"/>
  <c r="C4" i="2"/>
  <c r="C3" i="2"/>
  <c r="AE97" i="8"/>
  <c r="AE84" i="8"/>
  <c r="AE93" i="8" s="1"/>
  <c r="AE83" i="8"/>
  <c r="Z97" i="8"/>
  <c r="Z84" i="8"/>
  <c r="Z93" i="8" s="1"/>
  <c r="Z83" i="8"/>
  <c r="AE61" i="8"/>
  <c r="AE57" i="8"/>
  <c r="AE56" i="8"/>
  <c r="Z57" i="8"/>
  <c r="Z56" i="8"/>
  <c r="AE52" i="8"/>
  <c r="AJ33" i="12" s="1"/>
  <c r="AE48" i="8"/>
  <c r="AE47" i="8"/>
  <c r="Z48" i="8"/>
  <c r="Z47" i="8"/>
  <c r="AE34" i="8"/>
  <c r="AE30" i="8"/>
  <c r="AE29" i="8"/>
  <c r="Z30" i="8"/>
  <c r="Z29" i="8"/>
  <c r="Z124" i="8"/>
  <c r="Z19" i="8"/>
  <c r="Z18" i="8"/>
  <c r="AE23" i="8"/>
  <c r="AE19" i="8"/>
  <c r="AE120" i="8" s="1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G35" i="2"/>
  <c r="H35" i="2"/>
  <c r="I35" i="2"/>
  <c r="J35" i="2"/>
  <c r="K35" i="2"/>
  <c r="L35" i="2"/>
  <c r="M35" i="2"/>
  <c r="N35" i="2"/>
  <c r="O35" i="2"/>
  <c r="P35" i="2"/>
  <c r="Q35" i="2"/>
  <c r="Q37" i="2" s="1"/>
  <c r="R35" i="2"/>
  <c r="S35" i="2"/>
  <c r="T35" i="2"/>
  <c r="U35" i="2"/>
  <c r="V35" i="2"/>
  <c r="W35" i="2"/>
  <c r="X35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AE124" i="8" l="1"/>
  <c r="AJ35" i="12"/>
  <c r="AJ34" i="12"/>
  <c r="N45" i="2"/>
  <c r="O21" i="2"/>
  <c r="K21" i="2"/>
  <c r="S21" i="2"/>
  <c r="W21" i="2"/>
  <c r="G21" i="2"/>
  <c r="M24" i="2"/>
  <c r="D29" i="2"/>
  <c r="E29" i="2" s="1"/>
  <c r="W4" i="2"/>
  <c r="S4" i="2"/>
  <c r="Q5" i="2"/>
  <c r="M5" i="2"/>
  <c r="I5" i="2"/>
  <c r="W38" i="2"/>
  <c r="S32" i="2"/>
  <c r="O38" i="2"/>
  <c r="K38" i="2"/>
  <c r="U7" i="2"/>
  <c r="M23" i="2"/>
  <c r="I7" i="2"/>
  <c r="W36" i="2"/>
  <c r="S36" i="2"/>
  <c r="O36" i="2"/>
  <c r="W9" i="2"/>
  <c r="S23" i="2"/>
  <c r="G9" i="2"/>
  <c r="Z120" i="8"/>
  <c r="AJ19" i="8"/>
  <c r="AE92" i="8"/>
  <c r="AE89" i="8"/>
  <c r="J45" i="2"/>
  <c r="O4" i="2"/>
  <c r="K4" i="2"/>
  <c r="G4" i="2"/>
  <c r="G11" i="2" s="1"/>
  <c r="X32" i="2"/>
  <c r="T32" i="2"/>
  <c r="P32" i="2"/>
  <c r="L32" i="2"/>
  <c r="H32" i="2"/>
  <c r="X25" i="2"/>
  <c r="P23" i="2"/>
  <c r="L47" i="2"/>
  <c r="H47" i="2"/>
  <c r="O23" i="2"/>
  <c r="K23" i="2"/>
  <c r="D42" i="2"/>
  <c r="E42" i="2" s="1"/>
  <c r="AE119" i="8"/>
  <c r="D16" i="2"/>
  <c r="E16" i="2" s="1"/>
  <c r="X4" i="2"/>
  <c r="T4" i="2"/>
  <c r="P4" i="2"/>
  <c r="O45" i="2"/>
  <c r="K45" i="2"/>
  <c r="G45" i="2"/>
  <c r="X5" i="2"/>
  <c r="T5" i="2"/>
  <c r="P25" i="2"/>
  <c r="L5" i="2"/>
  <c r="H23" i="2"/>
  <c r="D33" i="2"/>
  <c r="M34" i="2"/>
  <c r="L21" i="2"/>
  <c r="M32" i="2"/>
  <c r="I32" i="2"/>
  <c r="O47" i="2"/>
  <c r="K47" i="2"/>
  <c r="G47" i="2"/>
  <c r="G50" i="2"/>
  <c r="W23" i="2"/>
  <c r="N32" i="2"/>
  <c r="J32" i="2"/>
  <c r="P7" i="2"/>
  <c r="M45" i="2"/>
  <c r="M50" i="2"/>
  <c r="K25" i="2"/>
  <c r="Q32" i="2"/>
  <c r="U34" i="2"/>
  <c r="Q34" i="2"/>
  <c r="I34" i="2"/>
  <c r="K36" i="2"/>
  <c r="O50" i="2"/>
  <c r="K50" i="2"/>
  <c r="T7" i="2"/>
  <c r="L7" i="2"/>
  <c r="I50" i="2"/>
  <c r="V4" i="2"/>
  <c r="R4" i="2"/>
  <c r="N4" i="2"/>
  <c r="J4" i="2"/>
  <c r="K19" i="2"/>
  <c r="Q21" i="2"/>
  <c r="U49" i="2"/>
  <c r="U51" i="2"/>
  <c r="Q19" i="2"/>
  <c r="G23" i="2"/>
  <c r="H19" i="2"/>
  <c r="X38" i="2"/>
  <c r="T36" i="2"/>
  <c r="L36" i="2"/>
  <c r="N47" i="2"/>
  <c r="J47" i="2"/>
  <c r="X3" i="2"/>
  <c r="T3" i="2"/>
  <c r="P3" i="2"/>
  <c r="L3" i="2"/>
  <c r="H3" i="2"/>
  <c r="L4" i="2"/>
  <c r="H4" i="2"/>
  <c r="S24" i="2"/>
  <c r="S25" i="2"/>
  <c r="O51" i="2"/>
  <c r="K51" i="2"/>
  <c r="G51" i="2"/>
  <c r="S50" i="2"/>
  <c r="W3" i="2"/>
  <c r="S3" i="2"/>
  <c r="O3" i="2"/>
  <c r="K3" i="2"/>
  <c r="G3" i="2"/>
  <c r="T21" i="2"/>
  <c r="G25" i="2"/>
  <c r="W25" i="2"/>
  <c r="X34" i="2"/>
  <c r="T34" i="2"/>
  <c r="P34" i="2"/>
  <c r="L34" i="2"/>
  <c r="H34" i="2"/>
  <c r="V36" i="2"/>
  <c r="N36" i="2"/>
  <c r="N50" i="2"/>
  <c r="J50" i="2"/>
  <c r="I45" i="2"/>
  <c r="I49" i="2"/>
  <c r="W50" i="2"/>
  <c r="G19" i="2"/>
  <c r="S19" i="2"/>
  <c r="T24" i="2"/>
  <c r="X7" i="2"/>
  <c r="X21" i="2"/>
  <c r="H7" i="2"/>
  <c r="H21" i="2"/>
  <c r="R34" i="2"/>
  <c r="J34" i="2"/>
  <c r="P37" i="2"/>
  <c r="P36" i="2"/>
  <c r="H37" i="2"/>
  <c r="H36" i="2"/>
  <c r="R24" i="2"/>
  <c r="R9" i="2"/>
  <c r="J24" i="2"/>
  <c r="J9" i="2"/>
  <c r="H38" i="2"/>
  <c r="D30" i="2"/>
  <c r="E30" i="2" s="1"/>
  <c r="V3" i="2"/>
  <c r="R3" i="2"/>
  <c r="N3" i="2"/>
  <c r="J3" i="2"/>
  <c r="M19" i="2"/>
  <c r="T19" i="2"/>
  <c r="I21" i="2"/>
  <c r="P21" i="2"/>
  <c r="U21" i="2"/>
  <c r="H24" i="2"/>
  <c r="O24" i="2"/>
  <c r="W24" i="2"/>
  <c r="L25" i="2"/>
  <c r="W5" i="2"/>
  <c r="S5" i="2"/>
  <c r="O5" i="2"/>
  <c r="K5" i="2"/>
  <c r="G5" i="2"/>
  <c r="G12" i="2" s="1"/>
  <c r="U32" i="2"/>
  <c r="W7" i="2"/>
  <c r="S7" i="2"/>
  <c r="O7" i="2"/>
  <c r="K7" i="2"/>
  <c r="D20" i="2"/>
  <c r="D35" i="2"/>
  <c r="D37" i="2" s="1"/>
  <c r="U9" i="2"/>
  <c r="U10" i="2" s="1"/>
  <c r="Q9" i="2"/>
  <c r="M9" i="2"/>
  <c r="I9" i="2"/>
  <c r="S38" i="2"/>
  <c r="D22" i="2"/>
  <c r="D24" i="2" s="1"/>
  <c r="C31" i="2"/>
  <c r="C32" i="2" s="1"/>
  <c r="C46" i="2"/>
  <c r="C47" i="2" s="1"/>
  <c r="D46" i="2"/>
  <c r="M49" i="2"/>
  <c r="L19" i="2"/>
  <c r="G24" i="2"/>
  <c r="Q25" i="2"/>
  <c r="P5" i="2"/>
  <c r="P19" i="2"/>
  <c r="H5" i="2"/>
  <c r="H25" i="2"/>
  <c r="V34" i="2"/>
  <c r="N34" i="2"/>
  <c r="X37" i="2"/>
  <c r="X36" i="2"/>
  <c r="V24" i="2"/>
  <c r="V9" i="2"/>
  <c r="N24" i="2"/>
  <c r="N9" i="2"/>
  <c r="L37" i="2"/>
  <c r="P38" i="2"/>
  <c r="C20" i="2"/>
  <c r="U3" i="2"/>
  <c r="Q3" i="2"/>
  <c r="M3" i="2"/>
  <c r="I3" i="2"/>
  <c r="U4" i="2"/>
  <c r="U24" i="2"/>
  <c r="Q4" i="2"/>
  <c r="M4" i="2"/>
  <c r="D17" i="2"/>
  <c r="E17" i="2" s="1"/>
  <c r="I4" i="2"/>
  <c r="I19" i="2"/>
  <c r="O19" i="2"/>
  <c r="W19" i="2"/>
  <c r="T23" i="2"/>
  <c r="I24" i="2"/>
  <c r="Q24" i="2"/>
  <c r="X24" i="2"/>
  <c r="M25" i="2"/>
  <c r="V5" i="2"/>
  <c r="R21" i="2"/>
  <c r="R5" i="2"/>
  <c r="N5" i="2"/>
  <c r="J21" i="2"/>
  <c r="J5" i="2"/>
  <c r="V7" i="2"/>
  <c r="R7" i="2"/>
  <c r="N7" i="2"/>
  <c r="J7" i="2"/>
  <c r="V38" i="2"/>
  <c r="R38" i="2"/>
  <c r="N38" i="2"/>
  <c r="J38" i="2"/>
  <c r="X9" i="2"/>
  <c r="X12" i="2" s="1"/>
  <c r="X23" i="2"/>
  <c r="T9" i="2"/>
  <c r="T25" i="2"/>
  <c r="P9" i="2"/>
  <c r="P11" i="2" s="1"/>
  <c r="P24" i="2"/>
  <c r="L9" i="2"/>
  <c r="H9" i="2"/>
  <c r="H12" i="2" s="1"/>
  <c r="G36" i="2"/>
  <c r="T37" i="2"/>
  <c r="L38" i="2"/>
  <c r="T38" i="2"/>
  <c r="L45" i="2"/>
  <c r="H45" i="2"/>
  <c r="X51" i="2"/>
  <c r="X49" i="2"/>
  <c r="X50" i="2"/>
  <c r="T51" i="2"/>
  <c r="T49" i="2"/>
  <c r="T50" i="2"/>
  <c r="C48" i="2"/>
  <c r="C51" i="2" s="1"/>
  <c r="P51" i="2"/>
  <c r="P49" i="2"/>
  <c r="P50" i="2"/>
  <c r="L51" i="2"/>
  <c r="L49" i="2"/>
  <c r="L50" i="2"/>
  <c r="H51" i="2"/>
  <c r="H49" i="2"/>
  <c r="H50" i="2"/>
  <c r="S47" i="2"/>
  <c r="Q49" i="2"/>
  <c r="M51" i="2"/>
  <c r="X19" i="2"/>
  <c r="L24" i="2"/>
  <c r="U19" i="2"/>
  <c r="U5" i="2"/>
  <c r="U6" i="2" s="1"/>
  <c r="D31" i="2"/>
  <c r="D32" i="2" s="1"/>
  <c r="Q7" i="2"/>
  <c r="Q23" i="2"/>
  <c r="M7" i="2"/>
  <c r="M21" i="2"/>
  <c r="W34" i="2"/>
  <c r="C33" i="2"/>
  <c r="S34" i="2"/>
  <c r="O34" i="2"/>
  <c r="K34" i="2"/>
  <c r="G34" i="2"/>
  <c r="U36" i="2"/>
  <c r="U38" i="2"/>
  <c r="U37" i="2"/>
  <c r="Q36" i="2"/>
  <c r="Q38" i="2"/>
  <c r="M36" i="2"/>
  <c r="M38" i="2"/>
  <c r="M37" i="2"/>
  <c r="I36" i="2"/>
  <c r="I38" i="2"/>
  <c r="S9" i="2"/>
  <c r="C22" i="2"/>
  <c r="O9" i="2"/>
  <c r="O25" i="2"/>
  <c r="K9" i="2"/>
  <c r="K11" i="2" s="1"/>
  <c r="K24" i="2"/>
  <c r="J36" i="2"/>
  <c r="R36" i="2"/>
  <c r="I37" i="2"/>
  <c r="G38" i="2"/>
  <c r="R32" i="2"/>
  <c r="D18" i="2"/>
  <c r="D19" i="2" s="1"/>
  <c r="C35" i="2"/>
  <c r="C38" i="2" s="1"/>
  <c r="M47" i="2"/>
  <c r="I47" i="2"/>
  <c r="Q51" i="2"/>
  <c r="G7" i="2"/>
  <c r="L23" i="2"/>
  <c r="U25" i="2"/>
  <c r="I25" i="2"/>
  <c r="J49" i="2"/>
  <c r="N49" i="2"/>
  <c r="R49" i="2"/>
  <c r="V49" i="2"/>
  <c r="J51" i="2"/>
  <c r="N51" i="2"/>
  <c r="R51" i="2"/>
  <c r="V51" i="2"/>
  <c r="D44" i="2"/>
  <c r="D45" i="2" s="1"/>
  <c r="E45" i="2" s="1"/>
  <c r="D48" i="2"/>
  <c r="D50" i="2" s="1"/>
  <c r="W37" i="2"/>
  <c r="S37" i="2"/>
  <c r="O37" i="2"/>
  <c r="K37" i="2"/>
  <c r="G37" i="2"/>
  <c r="C18" i="2"/>
  <c r="C19" i="2" s="1"/>
  <c r="G49" i="2"/>
  <c r="K49" i="2"/>
  <c r="O49" i="2"/>
  <c r="S49" i="2"/>
  <c r="W49" i="2"/>
  <c r="E43" i="2"/>
  <c r="G32" i="2"/>
  <c r="K32" i="2"/>
  <c r="O32" i="2"/>
  <c r="V32" i="2"/>
  <c r="J37" i="2"/>
  <c r="N37" i="2"/>
  <c r="R37" i="2"/>
  <c r="V37" i="2"/>
  <c r="W32" i="2"/>
  <c r="I23" i="2"/>
  <c r="V25" i="2"/>
  <c r="N25" i="2"/>
  <c r="V23" i="2"/>
  <c r="R23" i="2"/>
  <c r="N23" i="2"/>
  <c r="J23" i="2"/>
  <c r="U23" i="2"/>
  <c r="J19" i="2"/>
  <c r="R19" i="2"/>
  <c r="N21" i="2"/>
  <c r="V21" i="2"/>
  <c r="J25" i="2"/>
  <c r="R25" i="2"/>
  <c r="N19" i="2"/>
  <c r="V19" i="2"/>
  <c r="AI133" i="8"/>
  <c r="AH133" i="8"/>
  <c r="AG133" i="8"/>
  <c r="AF133" i="8"/>
  <c r="AE133" i="8"/>
  <c r="AJ29" i="12" s="1"/>
  <c r="C3" i="12" s="1"/>
  <c r="E3" i="12" s="1"/>
  <c r="AI129" i="8"/>
  <c r="AH129" i="8"/>
  <c r="AG129" i="8"/>
  <c r="AF129" i="8"/>
  <c r="AE129" i="8"/>
  <c r="AD129" i="8"/>
  <c r="AC129" i="8"/>
  <c r="AB129" i="8"/>
  <c r="AA129" i="8"/>
  <c r="Z129" i="8"/>
  <c r="AZ129" i="8" s="1"/>
  <c r="AI128" i="8"/>
  <c r="AH128" i="8"/>
  <c r="AG128" i="8"/>
  <c r="AF128" i="8"/>
  <c r="AE128" i="8"/>
  <c r="AD128" i="8"/>
  <c r="AC128" i="8"/>
  <c r="AB128" i="8"/>
  <c r="AA128" i="8"/>
  <c r="Z128" i="8"/>
  <c r="Y134" i="8"/>
  <c r="O23" i="6" s="1"/>
  <c r="AD21" i="6" s="1"/>
  <c r="X134" i="8"/>
  <c r="W134" i="8"/>
  <c r="V134" i="8"/>
  <c r="L23" i="6" s="1"/>
  <c r="AA21" i="6" s="1"/>
  <c r="U134" i="8"/>
  <c r="K23" i="6" s="1"/>
  <c r="Z21" i="6" s="1"/>
  <c r="T134" i="8"/>
  <c r="J23" i="6" s="1"/>
  <c r="Y21" i="6" s="1"/>
  <c r="S134" i="8"/>
  <c r="I23" i="6" s="1"/>
  <c r="X21" i="6" s="1"/>
  <c r="R134" i="8"/>
  <c r="H23" i="6" s="1"/>
  <c r="W21" i="6" s="1"/>
  <c r="Q134" i="8"/>
  <c r="G23" i="6" s="1"/>
  <c r="V21" i="6" s="1"/>
  <c r="P134" i="8"/>
  <c r="F23" i="6" s="1"/>
  <c r="U21" i="6" s="1"/>
  <c r="O134" i="8"/>
  <c r="E23" i="6" s="1"/>
  <c r="T21" i="6" s="1"/>
  <c r="N134" i="8"/>
  <c r="M134" i="8"/>
  <c r="O21" i="6" s="1"/>
  <c r="L134" i="8"/>
  <c r="N21" i="6" s="1"/>
  <c r="K134" i="8"/>
  <c r="M21" i="6" s="1"/>
  <c r="J134" i="8"/>
  <c r="L21" i="6" s="1"/>
  <c r="I134" i="8"/>
  <c r="K21" i="6" s="1"/>
  <c r="H134" i="8"/>
  <c r="J21" i="6" s="1"/>
  <c r="G134" i="8"/>
  <c r="I21" i="6" s="1"/>
  <c r="F134" i="8"/>
  <c r="H21" i="6" s="1"/>
  <c r="E134" i="8"/>
  <c r="G21" i="6" s="1"/>
  <c r="D134" i="8"/>
  <c r="F21" i="6" s="1"/>
  <c r="C134" i="8"/>
  <c r="E21" i="6" s="1"/>
  <c r="B134" i="8"/>
  <c r="D21" i="6" s="1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F17" i="5"/>
  <c r="F19" i="5" s="1"/>
  <c r="G17" i="5"/>
  <c r="G19" i="5" s="1"/>
  <c r="H17" i="5"/>
  <c r="H19" i="5" s="1"/>
  <c r="I17" i="5"/>
  <c r="I19" i="5" s="1"/>
  <c r="J17" i="5"/>
  <c r="J19" i="5" s="1"/>
  <c r="K17" i="5"/>
  <c r="L17" i="5"/>
  <c r="L19" i="5" s="1"/>
  <c r="M17" i="5"/>
  <c r="M19" i="5" s="1"/>
  <c r="N17" i="5"/>
  <c r="N19" i="5" s="1"/>
  <c r="O17" i="5"/>
  <c r="O19" i="5" s="1"/>
  <c r="P17" i="5"/>
  <c r="P19" i="5" s="1"/>
  <c r="Q17" i="5"/>
  <c r="Q19" i="5" s="1"/>
  <c r="R17" i="5"/>
  <c r="R19" i="5" s="1"/>
  <c r="S17" i="5"/>
  <c r="S19" i="5" s="1"/>
  <c r="T17" i="5"/>
  <c r="U17" i="5"/>
  <c r="U19" i="5" s="1"/>
  <c r="V17" i="5"/>
  <c r="V19" i="5" s="1"/>
  <c r="W17" i="5"/>
  <c r="W19" i="5" s="1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F13" i="5"/>
  <c r="F15" i="5" s="1"/>
  <c r="G13" i="5"/>
  <c r="H13" i="5"/>
  <c r="I13" i="5"/>
  <c r="I15" i="5" s="1"/>
  <c r="J13" i="5"/>
  <c r="K13" i="5"/>
  <c r="L13" i="5"/>
  <c r="M13" i="5"/>
  <c r="M15" i="5" s="1"/>
  <c r="N13" i="5"/>
  <c r="N15" i="5" s="1"/>
  <c r="O13" i="5"/>
  <c r="P13" i="5"/>
  <c r="Q13" i="5"/>
  <c r="Q15" i="5" s="1"/>
  <c r="R13" i="5"/>
  <c r="R15" i="5" s="1"/>
  <c r="S13" i="5"/>
  <c r="T13" i="5"/>
  <c r="U13" i="5"/>
  <c r="U15" i="5" s="1"/>
  <c r="V13" i="5"/>
  <c r="V15" i="5" s="1"/>
  <c r="W13" i="5"/>
  <c r="F23" i="5"/>
  <c r="G23" i="5"/>
  <c r="G25" i="5" s="1"/>
  <c r="H23" i="5"/>
  <c r="H25" i="5" s="1"/>
  <c r="I23" i="5"/>
  <c r="J23" i="5"/>
  <c r="K23" i="5"/>
  <c r="K25" i="5" s="1"/>
  <c r="L23" i="5"/>
  <c r="L25" i="5" s="1"/>
  <c r="M23" i="5"/>
  <c r="N23" i="5"/>
  <c r="O23" i="5"/>
  <c r="O25" i="5" s="1"/>
  <c r="P23" i="5"/>
  <c r="P25" i="5" s="1"/>
  <c r="Q23" i="5"/>
  <c r="R23" i="5"/>
  <c r="S23" i="5"/>
  <c r="S25" i="5" s="1"/>
  <c r="T23" i="5"/>
  <c r="T25" i="5" s="1"/>
  <c r="U23" i="5"/>
  <c r="V23" i="5"/>
  <c r="W23" i="5"/>
  <c r="W25" i="5" s="1"/>
  <c r="Y119" i="8"/>
  <c r="X119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AE110" i="8"/>
  <c r="Z110" i="8"/>
  <c r="Y110" i="8"/>
  <c r="X110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AE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Y92" i="8"/>
  <c r="X92" i="8"/>
  <c r="W92" i="8"/>
  <c r="V92" i="8"/>
  <c r="U92" i="8"/>
  <c r="T92" i="8"/>
  <c r="S92" i="8"/>
  <c r="R92" i="8"/>
  <c r="Q92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Y80" i="8"/>
  <c r="X80" i="8"/>
  <c r="W80" i="8"/>
  <c r="V80" i="8"/>
  <c r="U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I74" i="8"/>
  <c r="AH74" i="8"/>
  <c r="AG74" i="8"/>
  <c r="AF74" i="8"/>
  <c r="AE74" i="8"/>
  <c r="AD74" i="8"/>
  <c r="AC74" i="8"/>
  <c r="AB74" i="8"/>
  <c r="AA74" i="8"/>
  <c r="Z74" i="8"/>
  <c r="Y89" i="8"/>
  <c r="X89" i="8"/>
  <c r="W89" i="8"/>
  <c r="V89" i="8"/>
  <c r="U89" i="8"/>
  <c r="T89" i="8"/>
  <c r="S89" i="8"/>
  <c r="R89" i="8"/>
  <c r="Q89" i="8"/>
  <c r="P89" i="8"/>
  <c r="O89" i="8"/>
  <c r="N89" i="8"/>
  <c r="M89" i="8"/>
  <c r="L89" i="8"/>
  <c r="K89" i="8"/>
  <c r="J89" i="8"/>
  <c r="I89" i="8"/>
  <c r="H89" i="8"/>
  <c r="G89" i="8"/>
  <c r="F89" i="8"/>
  <c r="E89" i="8"/>
  <c r="E107" i="8" s="1"/>
  <c r="G26" i="6" s="1"/>
  <c r="D89" i="8"/>
  <c r="C89" i="8"/>
  <c r="C107" i="8" s="1"/>
  <c r="E26" i="6" s="1"/>
  <c r="B89" i="8"/>
  <c r="AI83" i="8"/>
  <c r="AH83" i="8"/>
  <c r="AG83" i="8"/>
  <c r="AF83" i="8"/>
  <c r="AF92" i="8" s="1"/>
  <c r="AD83" i="8"/>
  <c r="AC83" i="8"/>
  <c r="AB83" i="8"/>
  <c r="AA83" i="8"/>
  <c r="Z89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I56" i="8"/>
  <c r="AH56" i="8"/>
  <c r="AG56" i="8"/>
  <c r="AF56" i="8"/>
  <c r="AE65" i="8"/>
  <c r="AD56" i="8"/>
  <c r="AC56" i="8"/>
  <c r="AB56" i="8"/>
  <c r="AA56" i="8"/>
  <c r="Z65" i="8"/>
  <c r="Y53" i="8"/>
  <c r="X53" i="8"/>
  <c r="W53" i="8"/>
  <c r="V53" i="8"/>
  <c r="U53" i="8"/>
  <c r="T53" i="8"/>
  <c r="S53" i="8"/>
  <c r="R53" i="8"/>
  <c r="R107" i="8" s="1"/>
  <c r="H28" i="6" s="1"/>
  <c r="W26" i="6" s="1"/>
  <c r="Q53" i="8"/>
  <c r="P53" i="8"/>
  <c r="O53" i="8"/>
  <c r="N53" i="8"/>
  <c r="N107" i="8" s="1"/>
  <c r="D28" i="6" s="1"/>
  <c r="S26" i="6" s="1"/>
  <c r="M53" i="8"/>
  <c r="L53" i="8"/>
  <c r="K53" i="8"/>
  <c r="J53" i="8"/>
  <c r="J107" i="8" s="1"/>
  <c r="L26" i="6" s="1"/>
  <c r="I53" i="8"/>
  <c r="H53" i="8"/>
  <c r="G53" i="8"/>
  <c r="F53" i="8"/>
  <c r="F107" i="8" s="1"/>
  <c r="H26" i="6" s="1"/>
  <c r="E53" i="8"/>
  <c r="D53" i="8"/>
  <c r="C53" i="8"/>
  <c r="B53" i="8"/>
  <c r="B107" i="8" s="1"/>
  <c r="D26" i="6" s="1"/>
  <c r="AI47" i="8"/>
  <c r="AH47" i="8"/>
  <c r="AH101" i="8" s="1"/>
  <c r="AG47" i="8"/>
  <c r="AF47" i="8"/>
  <c r="AF101" i="8" s="1"/>
  <c r="AD47" i="8"/>
  <c r="AC47" i="8"/>
  <c r="AB47" i="8"/>
  <c r="AA47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Y35" i="8"/>
  <c r="X35" i="8"/>
  <c r="W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I29" i="8"/>
  <c r="AH29" i="8"/>
  <c r="AG29" i="8"/>
  <c r="AF29" i="8"/>
  <c r="AE38" i="8"/>
  <c r="AD29" i="8"/>
  <c r="AC29" i="8"/>
  <c r="AB29" i="8"/>
  <c r="AA29" i="8"/>
  <c r="Y24" i="8"/>
  <c r="X24" i="8"/>
  <c r="V24" i="8"/>
  <c r="L9" i="6" s="1"/>
  <c r="K11" i="6"/>
  <c r="T24" i="8"/>
  <c r="J9" i="6" s="1"/>
  <c r="S24" i="8"/>
  <c r="I9" i="6" s="1"/>
  <c r="R24" i="8"/>
  <c r="H9" i="6" s="1"/>
  <c r="Q24" i="8"/>
  <c r="G9" i="6" s="1"/>
  <c r="P24" i="8"/>
  <c r="F9" i="6" s="1"/>
  <c r="O24" i="8"/>
  <c r="N24" i="8"/>
  <c r="M24" i="8"/>
  <c r="O16" i="6" s="1"/>
  <c r="L24" i="8"/>
  <c r="K24" i="8"/>
  <c r="J24" i="8"/>
  <c r="I24" i="8"/>
  <c r="H24" i="8"/>
  <c r="G24" i="8"/>
  <c r="I16" i="6" s="1"/>
  <c r="F24" i="8"/>
  <c r="H16" i="6" s="1"/>
  <c r="E24" i="8"/>
  <c r="G16" i="6" s="1"/>
  <c r="D24" i="8"/>
  <c r="F16" i="6" s="1"/>
  <c r="C24" i="8"/>
  <c r="E16" i="6" s="1"/>
  <c r="B24" i="8"/>
  <c r="AI18" i="8"/>
  <c r="AI119" i="8" s="1"/>
  <c r="AH18" i="8"/>
  <c r="AH119" i="8" s="1"/>
  <c r="AG18" i="8"/>
  <c r="AG119" i="8" s="1"/>
  <c r="AF18" i="8"/>
  <c r="AF119" i="8" s="1"/>
  <c r="AD18" i="8"/>
  <c r="AD119" i="8" s="1"/>
  <c r="AC18" i="8"/>
  <c r="AB18" i="8"/>
  <c r="AB119" i="8" s="1"/>
  <c r="AA18" i="8"/>
  <c r="AA119" i="8" s="1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Y120" i="8"/>
  <c r="X120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D42" i="6"/>
  <c r="E42" i="6"/>
  <c r="F42" i="6"/>
  <c r="G42" i="6"/>
  <c r="H42" i="6"/>
  <c r="I42" i="6"/>
  <c r="J42" i="6"/>
  <c r="K42" i="6"/>
  <c r="L42" i="6"/>
  <c r="M42" i="6"/>
  <c r="N42" i="6"/>
  <c r="O42" i="6"/>
  <c r="D37" i="6"/>
  <c r="E37" i="6"/>
  <c r="F37" i="6"/>
  <c r="G37" i="6"/>
  <c r="H37" i="6"/>
  <c r="I37" i="6"/>
  <c r="J37" i="6"/>
  <c r="K37" i="6"/>
  <c r="L37" i="6"/>
  <c r="M37" i="6"/>
  <c r="N37" i="6"/>
  <c r="O37" i="6"/>
  <c r="D32" i="6"/>
  <c r="E32" i="6"/>
  <c r="F32" i="6"/>
  <c r="G32" i="6"/>
  <c r="H32" i="6"/>
  <c r="I32" i="6"/>
  <c r="J32" i="6"/>
  <c r="K32" i="6"/>
  <c r="L32" i="6"/>
  <c r="M32" i="6"/>
  <c r="N32" i="6"/>
  <c r="O32" i="6"/>
  <c r="Y115" i="8"/>
  <c r="X115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Y111" i="8"/>
  <c r="X111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D22" i="6"/>
  <c r="E22" i="6"/>
  <c r="F22" i="6"/>
  <c r="G22" i="6"/>
  <c r="H22" i="6"/>
  <c r="I22" i="6"/>
  <c r="J22" i="6"/>
  <c r="K22" i="6"/>
  <c r="L22" i="6"/>
  <c r="M22" i="6"/>
  <c r="N22" i="6"/>
  <c r="O22" i="6"/>
  <c r="D27" i="6"/>
  <c r="E27" i="6"/>
  <c r="F27" i="6"/>
  <c r="G27" i="6"/>
  <c r="H27" i="6"/>
  <c r="I27" i="6"/>
  <c r="J27" i="6"/>
  <c r="K27" i="6"/>
  <c r="L27" i="6"/>
  <c r="M27" i="6"/>
  <c r="N27" i="6"/>
  <c r="O27" i="6"/>
  <c r="G11" i="6"/>
  <c r="M7" i="6"/>
  <c r="D17" i="6"/>
  <c r="E17" i="6"/>
  <c r="F17" i="6"/>
  <c r="G17" i="6"/>
  <c r="H17" i="6"/>
  <c r="I17" i="6"/>
  <c r="J17" i="6"/>
  <c r="K17" i="6"/>
  <c r="K3" i="6" s="1"/>
  <c r="L17" i="6"/>
  <c r="M17" i="6"/>
  <c r="M3" i="6" s="1"/>
  <c r="N17" i="6"/>
  <c r="O17" i="6"/>
  <c r="Q6" i="8"/>
  <c r="G47" i="6" s="1"/>
  <c r="R6" i="8"/>
  <c r="H47" i="6" s="1"/>
  <c r="H49" i="6" s="1"/>
  <c r="S6" i="8"/>
  <c r="I47" i="6" s="1"/>
  <c r="I49" i="6" s="1"/>
  <c r="T6" i="8"/>
  <c r="J47" i="6" s="1"/>
  <c r="J49" i="6" s="1"/>
  <c r="U6" i="8"/>
  <c r="K47" i="6" s="1"/>
  <c r="K49" i="6" s="1"/>
  <c r="V6" i="8"/>
  <c r="L47" i="6" s="1"/>
  <c r="L49" i="6" s="1"/>
  <c r="W6" i="8"/>
  <c r="M47" i="6" s="1"/>
  <c r="M49" i="6" s="1"/>
  <c r="X6" i="8"/>
  <c r="N47" i="6" s="1"/>
  <c r="N49" i="6" s="1"/>
  <c r="Y6" i="8"/>
  <c r="O47" i="6" s="1"/>
  <c r="O49" i="6" s="1"/>
  <c r="Q7" i="8"/>
  <c r="R7" i="8"/>
  <c r="S7" i="8"/>
  <c r="T7" i="8"/>
  <c r="U7" i="8"/>
  <c r="V7" i="8"/>
  <c r="W7" i="8"/>
  <c r="X7" i="8"/>
  <c r="Y7" i="8"/>
  <c r="AI7" i="8"/>
  <c r="AH7" i="8"/>
  <c r="AG7" i="8"/>
  <c r="AF7" i="8"/>
  <c r="AE7" i="8"/>
  <c r="AI6" i="8"/>
  <c r="AH6" i="8"/>
  <c r="AG6" i="8"/>
  <c r="AF6" i="8"/>
  <c r="AE6" i="8"/>
  <c r="M107" i="8"/>
  <c r="O26" i="6" s="1"/>
  <c r="Y106" i="8"/>
  <c r="X106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Y102" i="8"/>
  <c r="X102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Y97" i="8"/>
  <c r="X97" i="8"/>
  <c r="W97" i="8"/>
  <c r="V97" i="8"/>
  <c r="U97" i="8"/>
  <c r="T97" i="8"/>
  <c r="S97" i="8"/>
  <c r="R97" i="8"/>
  <c r="Q97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Y93" i="8"/>
  <c r="X93" i="8"/>
  <c r="W93" i="8"/>
  <c r="V93" i="8"/>
  <c r="U93" i="8"/>
  <c r="T93" i="8"/>
  <c r="S93" i="8"/>
  <c r="R93" i="8"/>
  <c r="Q93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AI97" i="8"/>
  <c r="AH97" i="8"/>
  <c r="AG97" i="8"/>
  <c r="AA97" i="8"/>
  <c r="AI84" i="8"/>
  <c r="AI93" i="8" s="1"/>
  <c r="AH84" i="8"/>
  <c r="AH93" i="8" s="1"/>
  <c r="AG84" i="8"/>
  <c r="AG93" i="8" s="1"/>
  <c r="AF84" i="8"/>
  <c r="AF93" i="8" s="1"/>
  <c r="AD84" i="8"/>
  <c r="AC84" i="8"/>
  <c r="AB84" i="8"/>
  <c r="AB93" i="8" s="1"/>
  <c r="AA84" i="8"/>
  <c r="AA93" i="8" s="1"/>
  <c r="AE79" i="8"/>
  <c r="AE178" i="8" s="1"/>
  <c r="AE75" i="8"/>
  <c r="AE175" i="8" s="1"/>
  <c r="Z75" i="8"/>
  <c r="AD75" i="8"/>
  <c r="AD175" i="8" s="1"/>
  <c r="AC75" i="8"/>
  <c r="AB75" i="8"/>
  <c r="AA75" i="8"/>
  <c r="AI79" i="8"/>
  <c r="AH79" i="8"/>
  <c r="AG79" i="8"/>
  <c r="AF79" i="8"/>
  <c r="AI75" i="8"/>
  <c r="AH75" i="8"/>
  <c r="AG75" i="8"/>
  <c r="AF75" i="8"/>
  <c r="C7" i="12" l="1"/>
  <c r="N9" i="6"/>
  <c r="N10" i="6"/>
  <c r="O9" i="6"/>
  <c r="O10" i="6"/>
  <c r="M23" i="6"/>
  <c r="AB21" i="6" s="1"/>
  <c r="N23" i="6"/>
  <c r="AC21" i="6" s="1"/>
  <c r="D9" i="6"/>
  <c r="AO26" i="8"/>
  <c r="E9" i="6"/>
  <c r="AO25" i="8"/>
  <c r="AZ134" i="8"/>
  <c r="BA129" i="8"/>
  <c r="BA134" i="8" s="1"/>
  <c r="AJ38" i="12"/>
  <c r="C9" i="12"/>
  <c r="AJ36" i="12"/>
  <c r="AJ30" i="12"/>
  <c r="AJ37" i="12" s="1"/>
  <c r="E19" i="2"/>
  <c r="X50" i="6"/>
  <c r="U50" i="6"/>
  <c r="Z50" i="6"/>
  <c r="W50" i="6"/>
  <c r="V50" i="6"/>
  <c r="AA50" i="6"/>
  <c r="T50" i="6"/>
  <c r="AC50" i="6"/>
  <c r="AB50" i="6"/>
  <c r="AD50" i="6"/>
  <c r="Y50" i="6"/>
  <c r="K19" i="5"/>
  <c r="AN134" i="8"/>
  <c r="S23" i="6" s="1"/>
  <c r="M12" i="2"/>
  <c r="I8" i="2"/>
  <c r="W107" i="8"/>
  <c r="M28" i="6" s="1"/>
  <c r="AB26" i="6" s="1"/>
  <c r="M8" i="2"/>
  <c r="W11" i="2"/>
  <c r="W12" i="2"/>
  <c r="W10" i="2"/>
  <c r="G10" i="2"/>
  <c r="S11" i="2"/>
  <c r="Q6" i="2"/>
  <c r="I6" i="2"/>
  <c r="Q12" i="2"/>
  <c r="I6" i="6"/>
  <c r="S25" i="8"/>
  <c r="I8" i="6"/>
  <c r="AC119" i="8"/>
  <c r="F7" i="6"/>
  <c r="P25" i="8"/>
  <c r="F8" i="6"/>
  <c r="T25" i="8"/>
  <c r="J8" i="6"/>
  <c r="AD101" i="8"/>
  <c r="AI101" i="8"/>
  <c r="I107" i="8"/>
  <c r="K26" i="6" s="1"/>
  <c r="Q107" i="8"/>
  <c r="G28" i="6" s="1"/>
  <c r="V26" i="6" s="1"/>
  <c r="M16" i="6"/>
  <c r="W25" i="8"/>
  <c r="I11" i="6"/>
  <c r="K16" i="6"/>
  <c r="U25" i="8"/>
  <c r="G18" i="6"/>
  <c r="V16" i="6" s="1"/>
  <c r="Q25" i="8"/>
  <c r="G8" i="6"/>
  <c r="AA80" i="8"/>
  <c r="D7" i="11"/>
  <c r="G7" i="11"/>
  <c r="D23" i="6"/>
  <c r="S21" i="6" s="1"/>
  <c r="E6" i="6"/>
  <c r="O25" i="8"/>
  <c r="E8" i="6"/>
  <c r="AG38" i="8"/>
  <c r="AE13" i="8"/>
  <c r="AI13" i="8"/>
  <c r="I18" i="6"/>
  <c r="X16" i="6" s="1"/>
  <c r="B116" i="8"/>
  <c r="D31" i="6" s="1"/>
  <c r="J116" i="8"/>
  <c r="L31" i="6" s="1"/>
  <c r="D18" i="6"/>
  <c r="S16" i="6" s="1"/>
  <c r="AN25" i="8"/>
  <c r="AN26" i="8"/>
  <c r="AU26" i="8"/>
  <c r="AV26" i="8"/>
  <c r="AW26" i="8"/>
  <c r="W26" i="8"/>
  <c r="R26" i="8"/>
  <c r="Q26" i="8"/>
  <c r="O26" i="8"/>
  <c r="T26" i="8"/>
  <c r="P26" i="8"/>
  <c r="N26" i="8"/>
  <c r="S26" i="8"/>
  <c r="N25" i="8"/>
  <c r="D8" i="6"/>
  <c r="U26" i="8"/>
  <c r="R116" i="8"/>
  <c r="H33" i="6" s="1"/>
  <c r="W31" i="6" s="1"/>
  <c r="R25" i="8"/>
  <c r="H8" i="6"/>
  <c r="AV25" i="8"/>
  <c r="L18" i="6"/>
  <c r="AG101" i="8"/>
  <c r="K107" i="8"/>
  <c r="M26" i="6" s="1"/>
  <c r="S107" i="8"/>
  <c r="I28" i="6" s="1"/>
  <c r="X26" i="6" s="1"/>
  <c r="AX25" i="8"/>
  <c r="Y26" i="8"/>
  <c r="G6" i="11" s="1"/>
  <c r="AY26" i="8"/>
  <c r="AX26" i="8"/>
  <c r="AY25" i="8"/>
  <c r="O18" i="6"/>
  <c r="Y25" i="8"/>
  <c r="D6" i="11" s="1"/>
  <c r="Y107" i="8"/>
  <c r="O50" i="6"/>
  <c r="O11" i="6"/>
  <c r="O8" i="6"/>
  <c r="N50" i="6"/>
  <c r="M50" i="6"/>
  <c r="AL24" i="8"/>
  <c r="N18" i="6"/>
  <c r="X25" i="8"/>
  <c r="X26" i="8"/>
  <c r="N7" i="6"/>
  <c r="N8" i="6"/>
  <c r="L50" i="6"/>
  <c r="V107" i="8"/>
  <c r="L28" i="6" s="1"/>
  <c r="AA26" i="6" s="1"/>
  <c r="V25" i="8"/>
  <c r="V26" i="8"/>
  <c r="M6" i="6"/>
  <c r="M8" i="6"/>
  <c r="L11" i="6"/>
  <c r="L8" i="6"/>
  <c r="O11" i="2"/>
  <c r="G49" i="6"/>
  <c r="H50" i="6"/>
  <c r="J50" i="6"/>
  <c r="I50" i="6"/>
  <c r="G50" i="6"/>
  <c r="K50" i="6"/>
  <c r="O6" i="2"/>
  <c r="U107" i="8"/>
  <c r="E18" i="6"/>
  <c r="T16" i="6" s="1"/>
  <c r="M11" i="6"/>
  <c r="E7" i="6"/>
  <c r="F11" i="6"/>
  <c r="K116" i="8"/>
  <c r="M31" i="6" s="1"/>
  <c r="C116" i="8"/>
  <c r="E31" i="6" s="1"/>
  <c r="G116" i="8"/>
  <c r="I31" i="6" s="1"/>
  <c r="O116" i="8"/>
  <c r="E33" i="6" s="1"/>
  <c r="T31" i="6" s="1"/>
  <c r="W116" i="8"/>
  <c r="M33" i="6" s="1"/>
  <c r="AB31" i="6" s="1"/>
  <c r="E11" i="6"/>
  <c r="I7" i="6"/>
  <c r="O107" i="8"/>
  <c r="E28" i="6" s="1"/>
  <c r="T26" i="6" s="1"/>
  <c r="AH13" i="8"/>
  <c r="AD89" i="8"/>
  <c r="AD110" i="8"/>
  <c r="G107" i="8"/>
  <c r="I26" i="6" s="1"/>
  <c r="L7" i="6"/>
  <c r="F116" i="8"/>
  <c r="H31" i="6" s="1"/>
  <c r="S116" i="8"/>
  <c r="I33" i="6" s="1"/>
  <c r="X31" i="6" s="1"/>
  <c r="AD38" i="8"/>
  <c r="AG65" i="8"/>
  <c r="AA89" i="8"/>
  <c r="AA98" i="8" s="1"/>
  <c r="AA92" i="8"/>
  <c r="AC134" i="8"/>
  <c r="AG134" i="8"/>
  <c r="AF13" i="8"/>
  <c r="D7" i="6"/>
  <c r="AH38" i="8"/>
  <c r="AB101" i="8"/>
  <c r="P6" i="2"/>
  <c r="AC38" i="8"/>
  <c r="AC110" i="8"/>
  <c r="AH89" i="8"/>
  <c r="AH98" i="8" s="1"/>
  <c r="AH92" i="8"/>
  <c r="AB174" i="8"/>
  <c r="AB169" i="8"/>
  <c r="AH110" i="8"/>
  <c r="AC93" i="8"/>
  <c r="N11" i="6"/>
  <c r="AE98" i="8"/>
  <c r="AI89" i="8"/>
  <c r="AI98" i="8" s="1"/>
  <c r="AI92" i="8"/>
  <c r="AC169" i="8"/>
  <c r="AC174" i="8"/>
  <c r="AG174" i="8"/>
  <c r="AG169" i="8"/>
  <c r="AB80" i="8"/>
  <c r="AG80" i="8"/>
  <c r="AB92" i="8"/>
  <c r="AA101" i="8"/>
  <c r="AI110" i="8"/>
  <c r="O7" i="6"/>
  <c r="AA38" i="8"/>
  <c r="AH65" i="8"/>
  <c r="AH169" i="8"/>
  <c r="AH174" i="8"/>
  <c r="AC80" i="8"/>
  <c r="AC179" i="8" s="1"/>
  <c r="AA110" i="8"/>
  <c r="AH134" i="8"/>
  <c r="K10" i="2"/>
  <c r="T12" i="2"/>
  <c r="AB89" i="8"/>
  <c r="AB98" i="8" s="1"/>
  <c r="AB97" i="8"/>
  <c r="AF174" i="8"/>
  <c r="AF169" i="8"/>
  <c r="AF80" i="8"/>
  <c r="AC97" i="8"/>
  <c r="AD93" i="8"/>
  <c r="AD97" i="8"/>
  <c r="AI38" i="8"/>
  <c r="AF65" i="8"/>
  <c r="AD65" i="8"/>
  <c r="AD169" i="8"/>
  <c r="AD174" i="8"/>
  <c r="AH80" i="8"/>
  <c r="AC92" i="8"/>
  <c r="AF110" i="8"/>
  <c r="AD134" i="8"/>
  <c r="AD180" i="8" s="1"/>
  <c r="AF89" i="8"/>
  <c r="AF98" i="8" s="1"/>
  <c r="AF97" i="8"/>
  <c r="AG13" i="8"/>
  <c r="K7" i="6"/>
  <c r="AB38" i="8"/>
  <c r="AF38" i="8"/>
  <c r="AB65" i="8"/>
  <c r="AA65" i="8"/>
  <c r="AI65" i="8"/>
  <c r="AG89" i="8"/>
  <c r="AG98" i="8" s="1"/>
  <c r="AG92" i="8"/>
  <c r="AA174" i="8"/>
  <c r="AA169" i="8"/>
  <c r="AI169" i="8"/>
  <c r="AI174" i="8"/>
  <c r="AD80" i="8"/>
  <c r="AI80" i="8"/>
  <c r="AD92" i="8"/>
  <c r="AB110" i="8"/>
  <c r="AG110" i="8"/>
  <c r="B24" i="5"/>
  <c r="X6" i="2"/>
  <c r="D4" i="2"/>
  <c r="E4" i="2" s="1"/>
  <c r="D3" i="2"/>
  <c r="E3" i="2" s="1"/>
  <c r="J7" i="6"/>
  <c r="J11" i="6"/>
  <c r="J18" i="6"/>
  <c r="T125" i="8"/>
  <c r="N8" i="5"/>
  <c r="T6" i="2"/>
  <c r="Q10" i="2"/>
  <c r="N11" i="2"/>
  <c r="Z92" i="8"/>
  <c r="Z174" i="8"/>
  <c r="Z169" i="8"/>
  <c r="W8" i="5"/>
  <c r="S8" i="5"/>
  <c r="O8" i="5"/>
  <c r="K8" i="5"/>
  <c r="G8" i="5"/>
  <c r="AE174" i="8"/>
  <c r="AE169" i="8"/>
  <c r="V29" i="5"/>
  <c r="R29" i="5"/>
  <c r="N29" i="5"/>
  <c r="J29" i="5"/>
  <c r="F29" i="5"/>
  <c r="X11" i="2"/>
  <c r="W7" i="5"/>
  <c r="V8" i="5"/>
  <c r="R8" i="5"/>
  <c r="J8" i="5"/>
  <c r="F8" i="5"/>
  <c r="W6" i="2"/>
  <c r="X8" i="2"/>
  <c r="S12" i="2"/>
  <c r="P10" i="2"/>
  <c r="W4" i="5"/>
  <c r="S4" i="5"/>
  <c r="O4" i="5"/>
  <c r="K4" i="5"/>
  <c r="G4" i="5"/>
  <c r="S6" i="2"/>
  <c r="P12" i="2"/>
  <c r="T8" i="2"/>
  <c r="E22" i="2"/>
  <c r="E33" i="2"/>
  <c r="H6" i="2"/>
  <c r="S8" i="2"/>
  <c r="L8" i="5"/>
  <c r="J3" i="5"/>
  <c r="P13" i="8"/>
  <c r="P14" i="8" s="1"/>
  <c r="L7" i="5"/>
  <c r="N3" i="5"/>
  <c r="U13" i="8"/>
  <c r="W13" i="8"/>
  <c r="W14" i="8" s="1"/>
  <c r="S13" i="8"/>
  <c r="S14" i="8" s="1"/>
  <c r="O13" i="8"/>
  <c r="O14" i="8" s="1"/>
  <c r="J15" i="5"/>
  <c r="T7" i="5"/>
  <c r="T8" i="5"/>
  <c r="P8" i="5"/>
  <c r="H8" i="5"/>
  <c r="Y13" i="8"/>
  <c r="Y14" i="8" s="1"/>
  <c r="E6" i="11" s="1"/>
  <c r="Q13" i="8"/>
  <c r="Q14" i="8" s="1"/>
  <c r="X13" i="8"/>
  <c r="AM24" i="8" s="1"/>
  <c r="V13" i="8"/>
  <c r="V14" i="8" s="1"/>
  <c r="R13" i="8"/>
  <c r="N13" i="8"/>
  <c r="T4" i="5"/>
  <c r="P4" i="5"/>
  <c r="L4" i="5"/>
  <c r="H4" i="5"/>
  <c r="U29" i="5"/>
  <c r="Q29" i="5"/>
  <c r="M29" i="5"/>
  <c r="I29" i="5"/>
  <c r="T13" i="8"/>
  <c r="T14" i="8" s="1"/>
  <c r="R3" i="5"/>
  <c r="M25" i="5"/>
  <c r="F3" i="5"/>
  <c r="V3" i="5"/>
  <c r="V4" i="5"/>
  <c r="N4" i="5"/>
  <c r="J4" i="5"/>
  <c r="T29" i="5"/>
  <c r="P29" i="5"/>
  <c r="L29" i="5"/>
  <c r="H29" i="5"/>
  <c r="H10" i="2"/>
  <c r="Q11" i="2"/>
  <c r="L8" i="2"/>
  <c r="U25" i="5"/>
  <c r="Q25" i="5"/>
  <c r="I25" i="5"/>
  <c r="V11" i="2"/>
  <c r="V25" i="5"/>
  <c r="N25" i="5"/>
  <c r="J25" i="5"/>
  <c r="T15" i="5"/>
  <c r="P15" i="5"/>
  <c r="L15" i="5"/>
  <c r="H15" i="5"/>
  <c r="W29" i="5"/>
  <c r="S7" i="5"/>
  <c r="S9" i="5" s="1"/>
  <c r="O29" i="5"/>
  <c r="K7" i="5"/>
  <c r="K9" i="5" s="1"/>
  <c r="G7" i="5"/>
  <c r="G9" i="5" s="1"/>
  <c r="J11" i="2"/>
  <c r="L6" i="2"/>
  <c r="B23" i="5"/>
  <c r="C23" i="5"/>
  <c r="G3" i="5"/>
  <c r="K3" i="5"/>
  <c r="O3" i="5"/>
  <c r="S3" i="5"/>
  <c r="W3" i="5"/>
  <c r="B14" i="5"/>
  <c r="C14" i="5"/>
  <c r="I4" i="5"/>
  <c r="M4" i="5"/>
  <c r="Q4" i="5"/>
  <c r="U4" i="5"/>
  <c r="G15" i="5"/>
  <c r="K15" i="5"/>
  <c r="O15" i="5"/>
  <c r="S15" i="5"/>
  <c r="W15" i="5"/>
  <c r="O7" i="5"/>
  <c r="B27" i="5"/>
  <c r="C27" i="5"/>
  <c r="G29" i="5"/>
  <c r="K29" i="5"/>
  <c r="S29" i="5"/>
  <c r="T10" i="2"/>
  <c r="D21" i="2"/>
  <c r="H3" i="5"/>
  <c r="L3" i="5"/>
  <c r="P3" i="5"/>
  <c r="P5" i="5" s="1"/>
  <c r="T3" i="5"/>
  <c r="F4" i="5"/>
  <c r="R4" i="5"/>
  <c r="F25" i="5"/>
  <c r="R25" i="5"/>
  <c r="T19" i="5"/>
  <c r="S10" i="2"/>
  <c r="B13" i="5"/>
  <c r="C13" i="5"/>
  <c r="I3" i="5"/>
  <c r="M3" i="5"/>
  <c r="Q3" i="5"/>
  <c r="U3" i="5"/>
  <c r="C24" i="5"/>
  <c r="V7" i="5"/>
  <c r="R7" i="5"/>
  <c r="R9" i="5" s="1"/>
  <c r="B17" i="5"/>
  <c r="N7" i="5"/>
  <c r="N9" i="5" s="1"/>
  <c r="J7" i="5"/>
  <c r="F7" i="5"/>
  <c r="C17" i="5"/>
  <c r="P7" i="5"/>
  <c r="H7" i="5"/>
  <c r="B18" i="5"/>
  <c r="C18" i="5"/>
  <c r="B28" i="5"/>
  <c r="C28" i="5"/>
  <c r="C7" i="2"/>
  <c r="C37" i="2"/>
  <c r="E37" i="2" s="1"/>
  <c r="D49" i="2"/>
  <c r="D23" i="2"/>
  <c r="B22" i="2"/>
  <c r="E35" i="2"/>
  <c r="G8" i="2"/>
  <c r="G6" i="2"/>
  <c r="U8" i="2"/>
  <c r="U11" i="2"/>
  <c r="C24" i="2"/>
  <c r="E24" i="2" s="1"/>
  <c r="C50" i="2"/>
  <c r="E50" i="2" s="1"/>
  <c r="C36" i="2"/>
  <c r="D7" i="2"/>
  <c r="C25" i="2"/>
  <c r="E48" i="2"/>
  <c r="L10" i="2"/>
  <c r="E32" i="2"/>
  <c r="M10" i="2"/>
  <c r="U12" i="2"/>
  <c r="E44" i="2"/>
  <c r="P8" i="2"/>
  <c r="L12" i="2"/>
  <c r="D25" i="2"/>
  <c r="D51" i="2"/>
  <c r="E51" i="2" s="1"/>
  <c r="D47" i="2"/>
  <c r="E47" i="2" s="1"/>
  <c r="T11" i="2"/>
  <c r="C34" i="2"/>
  <c r="O8" i="2"/>
  <c r="W8" i="2"/>
  <c r="L11" i="2"/>
  <c r="E18" i="2"/>
  <c r="E31" i="2"/>
  <c r="E20" i="2"/>
  <c r="C49" i="2"/>
  <c r="I11" i="2"/>
  <c r="K8" i="2"/>
  <c r="K6" i="2"/>
  <c r="H8" i="2"/>
  <c r="O10" i="2"/>
  <c r="H11" i="2"/>
  <c r="C21" i="2"/>
  <c r="C23" i="2"/>
  <c r="E46" i="2"/>
  <c r="M6" i="2"/>
  <c r="K12" i="2"/>
  <c r="D38" i="2"/>
  <c r="E38" i="2" s="1"/>
  <c r="D36" i="2"/>
  <c r="D5" i="2"/>
  <c r="D6" i="2" s="1"/>
  <c r="C5" i="2"/>
  <c r="D9" i="2"/>
  <c r="I12" i="2"/>
  <c r="O12" i="2"/>
  <c r="I10" i="2"/>
  <c r="M11" i="2"/>
  <c r="D34" i="2"/>
  <c r="X10" i="2"/>
  <c r="C9" i="2"/>
  <c r="AC89" i="8"/>
  <c r="Z98" i="8"/>
  <c r="AC101" i="8"/>
  <c r="AC65" i="8"/>
  <c r="R11" i="2"/>
  <c r="N10" i="2"/>
  <c r="R10" i="2"/>
  <c r="J10" i="2"/>
  <c r="V10" i="2"/>
  <c r="Q8" i="2"/>
  <c r="V12" i="2"/>
  <c r="V6" i="2"/>
  <c r="V8" i="2"/>
  <c r="R12" i="2"/>
  <c r="D11" i="11" s="1"/>
  <c r="R6" i="2"/>
  <c r="R8" i="2"/>
  <c r="J12" i="2"/>
  <c r="J6" i="2"/>
  <c r="J8" i="2"/>
  <c r="N12" i="2"/>
  <c r="N6" i="2"/>
  <c r="N8" i="2"/>
  <c r="Z134" i="8"/>
  <c r="AA134" i="8"/>
  <c r="AE134" i="8"/>
  <c r="AI134" i="8"/>
  <c r="AB134" i="8"/>
  <c r="AF134" i="8"/>
  <c r="U8" i="5"/>
  <c r="Q8" i="5"/>
  <c r="M8" i="5"/>
  <c r="I8" i="5"/>
  <c r="U7" i="5"/>
  <c r="Q7" i="5"/>
  <c r="M7" i="5"/>
  <c r="I7" i="5"/>
  <c r="Z119" i="8"/>
  <c r="AE80" i="8"/>
  <c r="Z80" i="8"/>
  <c r="Z183" i="8" s="1"/>
  <c r="H18" i="6"/>
  <c r="W16" i="6" s="1"/>
  <c r="D6" i="6"/>
  <c r="V116" i="8"/>
  <c r="L33" i="6" s="1"/>
  <c r="AA31" i="6" s="1"/>
  <c r="F6" i="6"/>
  <c r="J6" i="6"/>
  <c r="N6" i="6"/>
  <c r="H6" i="6"/>
  <c r="L6" i="6"/>
  <c r="L16" i="6"/>
  <c r="D16" i="6"/>
  <c r="D11" i="6"/>
  <c r="H11" i="6"/>
  <c r="N116" i="8"/>
  <c r="D33" i="6" s="1"/>
  <c r="S31" i="6" s="1"/>
  <c r="G6" i="6"/>
  <c r="K6" i="6"/>
  <c r="O6" i="6"/>
  <c r="D107" i="8"/>
  <c r="F26" i="6" s="1"/>
  <c r="H107" i="8"/>
  <c r="J26" i="6" s="1"/>
  <c r="L107" i="8"/>
  <c r="N26" i="6" s="1"/>
  <c r="P107" i="8"/>
  <c r="F28" i="6" s="1"/>
  <c r="U26" i="6" s="1"/>
  <c r="T107" i="8"/>
  <c r="J28" i="6" s="1"/>
  <c r="Y26" i="6" s="1"/>
  <c r="X107" i="8"/>
  <c r="N28" i="6" s="1"/>
  <c r="AC26" i="6" s="1"/>
  <c r="AA7" i="8"/>
  <c r="AA6" i="8"/>
  <c r="Z6" i="8"/>
  <c r="AC7" i="8"/>
  <c r="AB7" i="8"/>
  <c r="J16" i="6"/>
  <c r="N16" i="6"/>
  <c r="G7" i="6"/>
  <c r="H7" i="6"/>
  <c r="D116" i="8"/>
  <c r="F31" i="6" s="1"/>
  <c r="H116" i="8"/>
  <c r="J31" i="6" s="1"/>
  <c r="L116" i="8"/>
  <c r="N31" i="6" s="1"/>
  <c r="P116" i="8"/>
  <c r="F33" i="6" s="1"/>
  <c r="U31" i="6" s="1"/>
  <c r="T116" i="8"/>
  <c r="J33" i="6" s="1"/>
  <c r="Y31" i="6" s="1"/>
  <c r="X116" i="8"/>
  <c r="N33" i="6" s="1"/>
  <c r="AC31" i="6" s="1"/>
  <c r="F18" i="6"/>
  <c r="U16" i="6" s="1"/>
  <c r="E116" i="8"/>
  <c r="G31" i="6" s="1"/>
  <c r="I116" i="8"/>
  <c r="K31" i="6" s="1"/>
  <c r="M116" i="8"/>
  <c r="O31" i="6" s="1"/>
  <c r="Q116" i="8"/>
  <c r="G33" i="6" s="1"/>
  <c r="V31" i="6" s="1"/>
  <c r="U116" i="8"/>
  <c r="Y116" i="8"/>
  <c r="Z7" i="8"/>
  <c r="AD7" i="8"/>
  <c r="AC6" i="8"/>
  <c r="AD6" i="8"/>
  <c r="AB6" i="8"/>
  <c r="E9" i="12" l="1"/>
  <c r="C12" i="12"/>
  <c r="E12" i="12" s="1"/>
  <c r="C10" i="12"/>
  <c r="E10" i="12" s="1"/>
  <c r="F9" i="12"/>
  <c r="E7" i="12"/>
  <c r="C8" i="12"/>
  <c r="E8" i="12" s="1"/>
  <c r="AF183" i="8"/>
  <c r="AF179" i="8"/>
  <c r="AA183" i="8"/>
  <c r="AA179" i="8"/>
  <c r="AI183" i="8"/>
  <c r="AI179" i="8"/>
  <c r="AH183" i="8"/>
  <c r="AH179" i="8"/>
  <c r="AB183" i="8"/>
  <c r="AB179" i="8"/>
  <c r="AG183" i="8"/>
  <c r="AG179" i="8"/>
  <c r="AD183" i="8"/>
  <c r="AD179" i="8"/>
  <c r="AE183" i="8"/>
  <c r="AE179" i="8"/>
  <c r="AC183" i="8"/>
  <c r="J3" i="6"/>
  <c r="Y16" i="6"/>
  <c r="N3" i="6"/>
  <c r="AC16" i="6"/>
  <c r="C11" i="12"/>
  <c r="E11" i="12" s="1"/>
  <c r="AJ32" i="12"/>
  <c r="AJ10" i="12"/>
  <c r="AJ12" i="12"/>
  <c r="L3" i="6"/>
  <c r="AA16" i="6"/>
  <c r="O3" i="6"/>
  <c r="AD16" i="6"/>
  <c r="D10" i="11"/>
  <c r="O33" i="6"/>
  <c r="AD31" i="6" s="1"/>
  <c r="O28" i="6"/>
  <c r="AD26" i="6" s="1"/>
  <c r="D9" i="11"/>
  <c r="P3" i="6"/>
  <c r="Y15" i="8"/>
  <c r="H6" i="11" s="1"/>
  <c r="X15" i="8"/>
  <c r="X14" i="8"/>
  <c r="W15" i="8"/>
  <c r="R14" i="8"/>
  <c r="V15" i="8"/>
  <c r="G8" i="11"/>
  <c r="K33" i="6"/>
  <c r="Z31" i="6" s="1"/>
  <c r="K28" i="6"/>
  <c r="Z26" i="6" s="1"/>
  <c r="U14" i="8"/>
  <c r="T15" i="8"/>
  <c r="P15" i="8"/>
  <c r="O15" i="8"/>
  <c r="R15" i="8"/>
  <c r="N15" i="8"/>
  <c r="U15" i="8"/>
  <c r="Q15" i="8"/>
  <c r="S15" i="8"/>
  <c r="N14" i="8"/>
  <c r="F6" i="11"/>
  <c r="F9" i="2"/>
  <c r="P9" i="5"/>
  <c r="H9" i="5"/>
  <c r="S5" i="5"/>
  <c r="O9" i="5"/>
  <c r="R5" i="5"/>
  <c r="J5" i="5"/>
  <c r="J9" i="5"/>
  <c r="O5" i="5"/>
  <c r="V9" i="5"/>
  <c r="C8" i="5"/>
  <c r="W9" i="5"/>
  <c r="F9" i="5"/>
  <c r="W5" i="5"/>
  <c r="G5" i="5"/>
  <c r="T9" i="5"/>
  <c r="L9" i="5"/>
  <c r="T5" i="5"/>
  <c r="N5" i="5"/>
  <c r="AB13" i="8"/>
  <c r="Q5" i="5"/>
  <c r="I9" i="5"/>
  <c r="AD13" i="8"/>
  <c r="AC13" i="8"/>
  <c r="C3" i="5"/>
  <c r="AA13" i="8"/>
  <c r="M5" i="5"/>
  <c r="K5" i="5"/>
  <c r="L5" i="5"/>
  <c r="Q9" i="5"/>
  <c r="B8" i="5"/>
  <c r="I5" i="5"/>
  <c r="C4" i="5"/>
  <c r="H5" i="5"/>
  <c r="V5" i="5"/>
  <c r="Z13" i="8"/>
  <c r="C8" i="2"/>
  <c r="E21" i="2"/>
  <c r="E7" i="2"/>
  <c r="D24" i="5"/>
  <c r="D28" i="5"/>
  <c r="D18" i="5"/>
  <c r="U5" i="5"/>
  <c r="C15" i="5"/>
  <c r="D14" i="5"/>
  <c r="B4" i="5"/>
  <c r="D13" i="5"/>
  <c r="B15" i="5"/>
  <c r="C19" i="5"/>
  <c r="B19" i="5"/>
  <c r="D17" i="5"/>
  <c r="B3" i="5"/>
  <c r="C7" i="5"/>
  <c r="B7" i="5"/>
  <c r="C29" i="5"/>
  <c r="C25" i="5"/>
  <c r="U9" i="5"/>
  <c r="D27" i="5"/>
  <c r="B29" i="5"/>
  <c r="B25" i="5"/>
  <c r="D23" i="5"/>
  <c r="F5" i="5"/>
  <c r="E23" i="2"/>
  <c r="E49" i="2"/>
  <c r="E36" i="2"/>
  <c r="B23" i="2"/>
  <c r="B24" i="2"/>
  <c r="B25" i="2"/>
  <c r="E25" i="2"/>
  <c r="E34" i="2"/>
  <c r="D8" i="2"/>
  <c r="E5" i="2"/>
  <c r="C6" i="2"/>
  <c r="C11" i="2"/>
  <c r="C10" i="2"/>
  <c r="C12" i="2"/>
  <c r="E9" i="2"/>
  <c r="D11" i="2"/>
  <c r="D12" i="2"/>
  <c r="D10" i="2"/>
  <c r="M9" i="5"/>
  <c r="C4" i="12" l="1"/>
  <c r="E4" i="12" s="1"/>
  <c r="C6" i="12"/>
  <c r="E6" i="12" s="1"/>
  <c r="AJ11" i="12"/>
  <c r="C5" i="5"/>
  <c r="D8" i="5"/>
  <c r="G11" i="11"/>
  <c r="F10" i="11"/>
  <c r="H10" i="11" s="1"/>
  <c r="E6" i="2"/>
  <c r="F8" i="11"/>
  <c r="H8" i="11" s="1"/>
  <c r="F11" i="11"/>
  <c r="H11" i="11" s="1"/>
  <c r="F9" i="11"/>
  <c r="H9" i="11" s="1"/>
  <c r="D15" i="5"/>
  <c r="C9" i="5"/>
  <c r="D25" i="5"/>
  <c r="D4" i="5"/>
  <c r="E8" i="2"/>
  <c r="D19" i="5"/>
  <c r="B5" i="5"/>
  <c r="D5" i="5" s="1"/>
  <c r="D3" i="5"/>
  <c r="D29" i="5"/>
  <c r="D7" i="5"/>
  <c r="B9" i="5"/>
  <c r="E12" i="2"/>
  <c r="E10" i="2"/>
  <c r="E11" i="2"/>
  <c r="AD98" i="8"/>
  <c r="D9" i="5" l="1"/>
  <c r="B98" i="8"/>
  <c r="D36" i="6" s="1"/>
  <c r="B125" i="8"/>
  <c r="D41" i="6" s="1"/>
  <c r="J98" i="8"/>
  <c r="L36" i="6" s="1"/>
  <c r="J125" i="8"/>
  <c r="L41" i="6" s="1"/>
  <c r="N98" i="8"/>
  <c r="D38" i="6" s="1"/>
  <c r="S36" i="6" s="1"/>
  <c r="N125" i="8"/>
  <c r="D43" i="6" s="1"/>
  <c r="S41" i="6" s="1"/>
  <c r="R98" i="8"/>
  <c r="H38" i="6" s="1"/>
  <c r="W36" i="6" s="1"/>
  <c r="R125" i="8"/>
  <c r="H43" i="6" s="1"/>
  <c r="W41" i="6" s="1"/>
  <c r="V98" i="8"/>
  <c r="L38" i="6" s="1"/>
  <c r="AA36" i="6" s="1"/>
  <c r="V125" i="8"/>
  <c r="L43" i="6" s="1"/>
  <c r="AA41" i="6" s="1"/>
  <c r="C125" i="8"/>
  <c r="E41" i="6" s="1"/>
  <c r="C98" i="8"/>
  <c r="E36" i="6" s="1"/>
  <c r="G98" i="8"/>
  <c r="I36" i="6" s="1"/>
  <c r="G125" i="8"/>
  <c r="I41" i="6" s="1"/>
  <c r="K98" i="8"/>
  <c r="M36" i="6" s="1"/>
  <c r="K125" i="8"/>
  <c r="M41" i="6" s="1"/>
  <c r="O125" i="8"/>
  <c r="E43" i="6" s="1"/>
  <c r="T41" i="6" s="1"/>
  <c r="O98" i="8"/>
  <c r="E38" i="6" s="1"/>
  <c r="T36" i="6" s="1"/>
  <c r="S125" i="8"/>
  <c r="I43" i="6" s="1"/>
  <c r="X41" i="6" s="1"/>
  <c r="S98" i="8"/>
  <c r="I38" i="6" s="1"/>
  <c r="X36" i="6" s="1"/>
  <c r="W125" i="8"/>
  <c r="M43" i="6" s="1"/>
  <c r="AB41" i="6" s="1"/>
  <c r="W98" i="8"/>
  <c r="M38" i="6" s="1"/>
  <c r="AB36" i="6" s="1"/>
  <c r="D125" i="8"/>
  <c r="F41" i="6" s="1"/>
  <c r="D98" i="8"/>
  <c r="F36" i="6" s="1"/>
  <c r="H98" i="8"/>
  <c r="J36" i="6" s="1"/>
  <c r="H125" i="8"/>
  <c r="J41" i="6" s="1"/>
  <c r="L125" i="8"/>
  <c r="N41" i="6" s="1"/>
  <c r="L98" i="8"/>
  <c r="N36" i="6" s="1"/>
  <c r="P98" i="8"/>
  <c r="F38" i="6" s="1"/>
  <c r="U36" i="6" s="1"/>
  <c r="P125" i="8"/>
  <c r="F43" i="6" s="1"/>
  <c r="U41" i="6" s="1"/>
  <c r="T98" i="8"/>
  <c r="J38" i="6" s="1"/>
  <c r="Y36" i="6" s="1"/>
  <c r="J43" i="6"/>
  <c r="Y41" i="6" s="1"/>
  <c r="X98" i="8"/>
  <c r="N38" i="6" s="1"/>
  <c r="AC36" i="6" s="1"/>
  <c r="X125" i="8"/>
  <c r="N43" i="6" s="1"/>
  <c r="AC41" i="6" s="1"/>
  <c r="F98" i="8"/>
  <c r="H36" i="6" s="1"/>
  <c r="F125" i="8"/>
  <c r="H41" i="6" s="1"/>
  <c r="E98" i="8"/>
  <c r="G36" i="6" s="1"/>
  <c r="E125" i="8"/>
  <c r="G41" i="6" s="1"/>
  <c r="I98" i="8"/>
  <c r="K36" i="6" s="1"/>
  <c r="I125" i="8"/>
  <c r="K41" i="6" s="1"/>
  <c r="M98" i="8"/>
  <c r="M125" i="8"/>
  <c r="O41" i="6" s="1"/>
  <c r="Q98" i="8"/>
  <c r="G38" i="6" s="1"/>
  <c r="V36" i="6" s="1"/>
  <c r="Q125" i="8"/>
  <c r="G43" i="6" s="1"/>
  <c r="V41" i="6" s="1"/>
  <c r="U98" i="8"/>
  <c r="K38" i="6" s="1"/>
  <c r="Z36" i="6" s="1"/>
  <c r="U125" i="8"/>
  <c r="Y98" i="8"/>
  <c r="O38" i="6" s="1"/>
  <c r="AD36" i="6" s="1"/>
  <c r="Y125" i="8"/>
  <c r="O43" i="6" s="1"/>
  <c r="AD41" i="6" s="1"/>
  <c r="AC98" i="8"/>
  <c r="Y71" i="8"/>
  <c r="X71" i="8"/>
  <c r="W71" i="8"/>
  <c r="V71" i="8"/>
  <c r="U71" i="8"/>
  <c r="T71" i="8"/>
  <c r="S71" i="8"/>
  <c r="R71" i="8"/>
  <c r="O71" i="8"/>
  <c r="N71" i="8"/>
  <c r="L71" i="8"/>
  <c r="K71" i="8"/>
  <c r="J71" i="8"/>
  <c r="I71" i="8"/>
  <c r="G71" i="8"/>
  <c r="F71" i="8"/>
  <c r="D71" i="8"/>
  <c r="C71" i="8"/>
  <c r="B71" i="8"/>
  <c r="Q71" i="8"/>
  <c r="P71" i="8"/>
  <c r="M71" i="8"/>
  <c r="H71" i="8"/>
  <c r="E71" i="8"/>
  <c r="L70" i="8"/>
  <c r="K70" i="8"/>
  <c r="J70" i="8"/>
  <c r="I70" i="8"/>
  <c r="H70" i="8"/>
  <c r="G70" i="8"/>
  <c r="F70" i="8"/>
  <c r="E70" i="8"/>
  <c r="D70" i="8"/>
  <c r="C70" i="8"/>
  <c r="B70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I34" i="8"/>
  <c r="AH34" i="8"/>
  <c r="AG34" i="8"/>
  <c r="AF34" i="8"/>
  <c r="AI30" i="8"/>
  <c r="AH30" i="8"/>
  <c r="AG30" i="8"/>
  <c r="AF30" i="8"/>
  <c r="AD30" i="8"/>
  <c r="AC30" i="8"/>
  <c r="AB30" i="8"/>
  <c r="AA30" i="8"/>
  <c r="AI61" i="8"/>
  <c r="AH61" i="8"/>
  <c r="AG61" i="8"/>
  <c r="AF61" i="8"/>
  <c r="AI57" i="8"/>
  <c r="AH57" i="8"/>
  <c r="AH62" i="8" s="1"/>
  <c r="AG57" i="8"/>
  <c r="AG62" i="8" s="1"/>
  <c r="AF57" i="8"/>
  <c r="AD57" i="8"/>
  <c r="AC57" i="8"/>
  <c r="AB57" i="8"/>
  <c r="AA57" i="8"/>
  <c r="Z62" i="8"/>
  <c r="AI52" i="8"/>
  <c r="AH52" i="8"/>
  <c r="AG52" i="8"/>
  <c r="AF52" i="8"/>
  <c r="AI48" i="8"/>
  <c r="AH48" i="8"/>
  <c r="AG48" i="8"/>
  <c r="AF48" i="8"/>
  <c r="AD48" i="8"/>
  <c r="AC48" i="8"/>
  <c r="AB48" i="8"/>
  <c r="AA48" i="8"/>
  <c r="AI23" i="8"/>
  <c r="AI124" i="8" s="1"/>
  <c r="AH23" i="8"/>
  <c r="AH124" i="8" s="1"/>
  <c r="AG23" i="8"/>
  <c r="AG124" i="8" s="1"/>
  <c r="AF23" i="8"/>
  <c r="AF124" i="8" s="1"/>
  <c r="AD124" i="8"/>
  <c r="AC124" i="8"/>
  <c r="AB124" i="8"/>
  <c r="AA124" i="8"/>
  <c r="AD19" i="8"/>
  <c r="AC19" i="8"/>
  <c r="AB19" i="8"/>
  <c r="AB120" i="8" s="1"/>
  <c r="AA19" i="8"/>
  <c r="AA120" i="8" s="1"/>
  <c r="AI19" i="8"/>
  <c r="AI120" i="8" s="1"/>
  <c r="AH19" i="8"/>
  <c r="AH120" i="8" s="1"/>
  <c r="AG19" i="8"/>
  <c r="AG120" i="8" s="1"/>
  <c r="AF19" i="8"/>
  <c r="AF120" i="8" s="1"/>
  <c r="O36" i="6" l="1"/>
  <c r="D8" i="11"/>
  <c r="K43" i="6"/>
  <c r="Z41" i="6" s="1"/>
  <c r="AD62" i="8"/>
  <c r="AC62" i="8"/>
  <c r="AA62" i="8"/>
  <c r="AE62" i="8"/>
  <c r="AI62" i="8"/>
  <c r="AA35" i="8"/>
  <c r="AE35" i="8"/>
  <c r="AI35" i="8"/>
  <c r="AE24" i="8"/>
  <c r="AE125" i="8" s="1"/>
  <c r="AI24" i="8"/>
  <c r="AI125" i="8" s="1"/>
  <c r="AD120" i="8"/>
  <c r="AD24" i="8"/>
  <c r="AD125" i="8" s="1"/>
  <c r="Z24" i="8"/>
  <c r="AC120" i="8"/>
  <c r="AC24" i="8"/>
  <c r="AC125" i="8" s="1"/>
  <c r="AF24" i="8"/>
  <c r="AF125" i="8" s="1"/>
  <c r="AA24" i="8"/>
  <c r="AA125" i="8" s="1"/>
  <c r="AH24" i="8"/>
  <c r="AH125" i="8" s="1"/>
  <c r="AG24" i="8"/>
  <c r="AG125" i="8" s="1"/>
  <c r="AB24" i="8"/>
  <c r="AB125" i="8" s="1"/>
  <c r="AB62" i="8"/>
  <c r="AF62" i="8"/>
  <c r="AB35" i="8"/>
  <c r="AF35" i="8"/>
  <c r="AE111" i="8"/>
  <c r="AE53" i="8"/>
  <c r="AE102" i="8"/>
  <c r="AG106" i="8"/>
  <c r="AG115" i="8"/>
  <c r="AB111" i="8"/>
  <c r="AB53" i="8"/>
  <c r="AB102" i="8"/>
  <c r="AF111" i="8"/>
  <c r="AF53" i="8"/>
  <c r="AF102" i="8"/>
  <c r="Z115" i="8"/>
  <c r="Z106" i="8"/>
  <c r="AD115" i="8"/>
  <c r="AD106" i="8"/>
  <c r="AH115" i="8"/>
  <c r="AH106" i="8"/>
  <c r="AA111" i="8"/>
  <c r="AA102" i="8"/>
  <c r="AA53" i="8"/>
  <c r="AC115" i="8"/>
  <c r="AC106" i="8"/>
  <c r="AC53" i="8"/>
  <c r="AC102" i="8"/>
  <c r="AC111" i="8"/>
  <c r="AG53" i="8"/>
  <c r="AG71" i="8" s="1"/>
  <c r="AG170" i="8" s="1"/>
  <c r="AG111" i="8"/>
  <c r="AG102" i="8"/>
  <c r="AA106" i="8"/>
  <c r="AA115" i="8"/>
  <c r="AE106" i="8"/>
  <c r="AE115" i="8"/>
  <c r="AI115" i="8"/>
  <c r="AI106" i="8"/>
  <c r="AI111" i="8"/>
  <c r="AI53" i="8"/>
  <c r="AI102" i="8"/>
  <c r="Z102" i="8"/>
  <c r="Z111" i="8"/>
  <c r="Z53" i="8"/>
  <c r="AD102" i="8"/>
  <c r="AD111" i="8"/>
  <c r="AD53" i="8"/>
  <c r="AH102" i="8"/>
  <c r="AH111" i="8"/>
  <c r="AH53" i="8"/>
  <c r="AB106" i="8"/>
  <c r="AB115" i="8"/>
  <c r="AF106" i="8"/>
  <c r="AF115" i="8"/>
  <c r="Z35" i="8"/>
  <c r="AD35" i="8"/>
  <c r="AH35" i="8"/>
  <c r="AC35" i="8"/>
  <c r="AG35" i="8"/>
  <c r="C44" i="8"/>
  <c r="G44" i="8"/>
  <c r="K44" i="8"/>
  <c r="O44" i="8"/>
  <c r="S44" i="8"/>
  <c r="W44" i="8"/>
  <c r="AB39" i="8"/>
  <c r="D44" i="8"/>
  <c r="H44" i="8"/>
  <c r="L44" i="8"/>
  <c r="P44" i="8"/>
  <c r="T44" i="8"/>
  <c r="X44" i="8"/>
  <c r="E44" i="8"/>
  <c r="I44" i="8"/>
  <c r="M44" i="8"/>
  <c r="Q44" i="8"/>
  <c r="U44" i="8"/>
  <c r="Y44" i="8"/>
  <c r="B44" i="8"/>
  <c r="F44" i="8"/>
  <c r="J44" i="8"/>
  <c r="N44" i="8"/>
  <c r="R44" i="8"/>
  <c r="V44" i="8"/>
  <c r="AC39" i="8"/>
  <c r="AG39" i="8"/>
  <c r="AA43" i="8"/>
  <c r="AE43" i="8"/>
  <c r="AI43" i="8"/>
  <c r="Z43" i="8"/>
  <c r="AH43" i="8"/>
  <c r="Z39" i="8"/>
  <c r="AF39" i="8"/>
  <c r="AD43" i="8"/>
  <c r="AC43" i="8"/>
  <c r="AG43" i="8"/>
  <c r="AF66" i="8"/>
  <c r="AC66" i="8"/>
  <c r="AG66" i="8"/>
  <c r="AB66" i="8"/>
  <c r="AD66" i="8"/>
  <c r="AH39" i="8"/>
  <c r="AF43" i="8"/>
  <c r="AH66" i="8"/>
  <c r="AA39" i="8"/>
  <c r="AE39" i="8"/>
  <c r="AI39" i="8"/>
  <c r="AA66" i="8"/>
  <c r="AE66" i="8"/>
  <c r="AI66" i="8"/>
  <c r="AC71" i="8"/>
  <c r="AD39" i="8"/>
  <c r="AB43" i="8"/>
  <c r="Z66" i="8"/>
  <c r="P9" i="6" l="1"/>
  <c r="P10" i="6"/>
  <c r="AF44" i="8"/>
  <c r="AA44" i="8"/>
  <c r="AK24" i="8"/>
  <c r="AD44" i="8"/>
  <c r="AE71" i="8"/>
  <c r="AE170" i="8" s="1"/>
  <c r="P8" i="6"/>
  <c r="AH44" i="8"/>
  <c r="AF71" i="8"/>
  <c r="AF170" i="8" s="1"/>
  <c r="AB44" i="8"/>
  <c r="AC170" i="8"/>
  <c r="P7" i="6"/>
  <c r="AJ24" i="8"/>
  <c r="AT15" i="8" s="1"/>
  <c r="AC44" i="8"/>
  <c r="P6" i="6"/>
  <c r="Z125" i="8"/>
  <c r="P11" i="6"/>
  <c r="Z44" i="8"/>
  <c r="AE44" i="8"/>
  <c r="AB71" i="8"/>
  <c r="AB170" i="8" s="1"/>
  <c r="AG44" i="8"/>
  <c r="AI44" i="8"/>
  <c r="AI107" i="8"/>
  <c r="AI116" i="8"/>
  <c r="AD116" i="8"/>
  <c r="AD107" i="8"/>
  <c r="AC107" i="8"/>
  <c r="AC116" i="8"/>
  <c r="AB107" i="8"/>
  <c r="AB116" i="8"/>
  <c r="AA107" i="8"/>
  <c r="AA116" i="8"/>
  <c r="AH107" i="8"/>
  <c r="AH116" i="8"/>
  <c r="AG107" i="8"/>
  <c r="AG116" i="8"/>
  <c r="AF107" i="8"/>
  <c r="AF116" i="8"/>
  <c r="AE107" i="8"/>
  <c r="AE116" i="8"/>
  <c r="Z107" i="8"/>
  <c r="Z116" i="8"/>
  <c r="AI71" i="8"/>
  <c r="AI170" i="8" s="1"/>
  <c r="AA71" i="8"/>
  <c r="AA170" i="8" s="1"/>
  <c r="Z71" i="8"/>
  <c r="Z170" i="8" s="1"/>
  <c r="AD71" i="8"/>
  <c r="AD170" i="8" s="1"/>
  <c r="AH71" i="8"/>
  <c r="AH170" i="8" s="1"/>
  <c r="AP15" i="8" l="1"/>
  <c r="AO15" i="8"/>
  <c r="AR15" i="8"/>
  <c r="AQ15" i="8"/>
  <c r="AY15" i="8"/>
  <c r="AU15" i="8"/>
  <c r="AX15" i="8"/>
  <c r="AW15" i="8"/>
  <c r="AS15" i="8"/>
  <c r="AV15" i="8"/>
  <c r="G9" i="11"/>
  <c r="G10" i="11"/>
  <c r="E3" i="6"/>
  <c r="F3" i="6"/>
  <c r="G3" i="6"/>
  <c r="H3" i="6"/>
  <c r="I3" i="6"/>
  <c r="D3" i="6"/>
  <c r="V172" i="8" l="1"/>
  <c r="V171" i="8"/>
  <c r="V166" i="8"/>
  <c r="V183" i="8" s="1"/>
  <c r="AC157" i="8"/>
  <c r="AC156" i="8"/>
  <c r="AC166" i="8" l="1"/>
  <c r="AZ119" i="8" l="1"/>
  <c r="AZ110" i="8"/>
  <c r="AZ38" i="8"/>
  <c r="AZ43" i="8"/>
  <c r="AZ115" i="8"/>
  <c r="AZ124" i="8"/>
  <c r="AZ112" i="8"/>
  <c r="AZ40" i="8"/>
  <c r="AZ121" i="8"/>
  <c r="AZ39" i="8"/>
  <c r="AZ111" i="8"/>
  <c r="AZ120" i="8"/>
  <c r="AZ24" i="8"/>
  <c r="AE10" i="6" s="1"/>
  <c r="AZ125" i="8" l="1"/>
  <c r="AE8" i="6"/>
  <c r="AE11" i="6"/>
  <c r="AE7" i="6"/>
  <c r="AE6" i="6"/>
  <c r="AE9" i="6"/>
  <c r="AZ44" i="8"/>
  <c r="AZ116" i="8"/>
</calcChain>
</file>

<file path=xl/comments1.xml><?xml version="1.0" encoding="utf-8"?>
<comments xmlns="http://schemas.openxmlformats.org/spreadsheetml/2006/main">
  <authors>
    <author>Hung Le (DOM)</author>
  </authors>
  <commentList>
    <comment ref="BX30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Dung
</t>
        </r>
      </text>
    </comment>
    <comment ref="CI30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Dung
</t>
        </r>
      </text>
    </comment>
  </commentList>
</comments>
</file>

<file path=xl/comments2.xml><?xml version="1.0" encoding="utf-8"?>
<comments xmlns="http://schemas.openxmlformats.org/spreadsheetml/2006/main">
  <authors>
    <author>Hung Le (DOM)</author>
    <author>Tung Nguyen</author>
  </authors>
  <commentList>
    <comment ref="AR18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CEN Group
</t>
        </r>
      </text>
    </comment>
    <comment ref="U21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incl Non-Bank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incl Non-Bank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incl Non-Bank</t>
        </r>
      </text>
    </comment>
    <comment ref="A73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IO, IS
</t>
        </r>
      </text>
    </comment>
    <comment ref="T74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EIB</t>
        </r>
      </text>
    </comment>
    <comment ref="A82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IO, IS
</t>
        </r>
      </text>
    </comment>
    <comment ref="AT128" authorId="1" shapeId="0">
      <text>
        <r>
          <rPr>
            <b/>
            <sz val="9"/>
            <color indexed="81"/>
            <rFont val="Tahoma"/>
            <family val="2"/>
          </rPr>
          <t>Tung Nguyen:</t>
        </r>
        <r>
          <rPr>
            <sz val="9"/>
            <color indexed="81"/>
            <rFont val="Tahoma"/>
            <family val="2"/>
          </rPr>
          <t xml:space="preserve">
LAY TU MAIL CUA HÁ CẢO
</t>
        </r>
      </text>
    </comment>
    <comment ref="T129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banc rpt</t>
        </r>
      </text>
    </comment>
    <comment ref="Y129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Pls input Banc numbers
</t>
        </r>
      </text>
    </comment>
    <comment ref="T130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banc rpt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IO, IS based on system
</t>
        </r>
      </text>
    </comment>
    <comment ref="V156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split  IO/IS
</t>
        </r>
      </text>
    </comment>
    <comment ref="U235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incl Non-Bank</t>
        </r>
      </text>
    </comment>
    <comment ref="U236" authorId="0" shapeId="0">
      <text>
        <r>
          <rPr>
            <b/>
            <sz val="9"/>
            <color indexed="81"/>
            <rFont val="Tahoma"/>
            <family val="2"/>
          </rPr>
          <t>Hung Le (DOM):</t>
        </r>
        <r>
          <rPr>
            <sz val="9"/>
            <color indexed="81"/>
            <rFont val="Tahoma"/>
            <family val="2"/>
          </rPr>
          <t xml:space="preserve">
incl Non-Bank</t>
        </r>
      </text>
    </comment>
  </commentList>
</comments>
</file>

<file path=xl/sharedStrings.xml><?xml version="1.0" encoding="utf-8"?>
<sst xmlns="http://schemas.openxmlformats.org/spreadsheetml/2006/main" count="1663" uniqueCount="214">
  <si>
    <t># FA/SFA</t>
  </si>
  <si>
    <t># Branch</t>
  </si>
  <si>
    <t># Active</t>
  </si>
  <si>
    <t>Activity Ratio</t>
  </si>
  <si>
    <t># Case</t>
  </si>
  <si>
    <t>Case/Active</t>
  </si>
  <si>
    <t>APE</t>
  </si>
  <si>
    <t>CaseSize</t>
  </si>
  <si>
    <t>APE/Manpower</t>
  </si>
  <si>
    <t>APE/Active</t>
  </si>
  <si>
    <t>YTD'16</t>
  </si>
  <si>
    <t>YTD'15</t>
  </si>
  <si>
    <t>YoY Growth</t>
  </si>
  <si>
    <t>TOTAL BANCA</t>
  </si>
  <si>
    <t>APE Rider</t>
  </si>
  <si>
    <t>Total APE</t>
  </si>
  <si>
    <t>APE Rider Mix</t>
  </si>
  <si>
    <t># Rider</t>
  </si>
  <si>
    <t># Rider/Case</t>
  </si>
  <si>
    <t>Overral Banca</t>
  </si>
  <si>
    <t>Plan 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</si>
  <si>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</si>
  <si>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</si>
  <si>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</si>
  <si>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</si>
  <si>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</si>
  <si>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</si>
  <si>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</si>
  <si>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</si>
  <si>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</si>
  <si>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</si>
  <si>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</si>
  <si>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</si>
  <si>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 2015</t>
  </si>
  <si>
    <t>Actual 2016</t>
  </si>
  <si>
    <t>No. Branch</t>
  </si>
  <si>
    <t>Case/active</t>
  </si>
  <si>
    <t>Case Size</t>
  </si>
  <si>
    <t>APE Achievement</t>
  </si>
  <si>
    <t>YTD</t>
  </si>
  <si>
    <t>Bank Contribution</t>
  </si>
  <si>
    <t>APE Contribution by Bank</t>
  </si>
  <si>
    <t>Bank</t>
  </si>
  <si>
    <t>Area</t>
  </si>
  <si>
    <t>Account Manager</t>
  </si>
  <si>
    <t>Area Manager</t>
  </si>
  <si>
    <t>Relationship Manager</t>
  </si>
  <si>
    <t>TCB</t>
  </si>
  <si>
    <t>BAB</t>
  </si>
  <si>
    <t>Case</t>
  </si>
  <si>
    <t>Rider</t>
  </si>
  <si>
    <t>Rider APE</t>
  </si>
  <si>
    <t>YTD '16</t>
  </si>
  <si>
    <t>YTD 2015</t>
  </si>
  <si>
    <t>Rider APE mix</t>
  </si>
  <si>
    <t>Rider mix</t>
  </si>
  <si>
    <t>Q1 '16</t>
  </si>
  <si>
    <t>Q2 '16</t>
  </si>
  <si>
    <t>Q3 '16</t>
  </si>
  <si>
    <t>Q4 '16</t>
  </si>
  <si>
    <t>Q1 '15</t>
  </si>
  <si>
    <t>Q2 '15</t>
  </si>
  <si>
    <t>Q3 '15</t>
  </si>
  <si>
    <t>Q4 '15</t>
  </si>
  <si>
    <t>MP</t>
  </si>
  <si>
    <t>Active</t>
  </si>
  <si>
    <t>Active ratio</t>
  </si>
  <si>
    <t>Case/ Active</t>
  </si>
  <si>
    <t>Projection</t>
  </si>
  <si>
    <t>Case size</t>
  </si>
  <si>
    <t>APE/ MP</t>
  </si>
  <si>
    <t>SCB</t>
  </si>
  <si>
    <t>Branch</t>
  </si>
  <si>
    <t>ĐẶNG NGỌC HÀ</t>
  </si>
  <si>
    <t>LÊ THỊ DƯƠNG</t>
  </si>
  <si>
    <t>NGUYỄN HỮU ĐĂNG HẢI</t>
  </si>
  <si>
    <t>MAI THỊ THẢO</t>
  </si>
  <si>
    <t>NGUYỄN HƯƠNG TRÀ MY</t>
  </si>
  <si>
    <t>NGUYỄN THỊ KIM VÂN</t>
  </si>
  <si>
    <t>NGUYỄN THỊ THU TRANG</t>
  </si>
  <si>
    <t>LÂM MINH NHIÊN</t>
  </si>
  <si>
    <t>VŨ HẢI YẾN</t>
  </si>
  <si>
    <t>PHẠM TRẦN TIẾN</t>
  </si>
  <si>
    <t>NGUYỄN ĐÌNH BIÊN</t>
  </si>
  <si>
    <t>HOÀNG THỊ HỒNG MINH</t>
  </si>
  <si>
    <t>LÊ THỊ HỒNG</t>
  </si>
  <si>
    <t>LÊ VĂN HOÀNG</t>
  </si>
  <si>
    <t>PHẠM THU TRANG</t>
  </si>
  <si>
    <t>TRẦN HỒNG THÁI</t>
  </si>
  <si>
    <t>TRẦN THỊ THU HOÀI</t>
  </si>
  <si>
    <t>NGUYỄN VŨ HÙNG</t>
  </si>
  <si>
    <t>Jan '16</t>
  </si>
  <si>
    <t>Feb '16</t>
  </si>
  <si>
    <t>Mar '16</t>
  </si>
  <si>
    <t>Apr '16</t>
  </si>
  <si>
    <t>May '16</t>
  </si>
  <si>
    <t>Jun '16</t>
  </si>
  <si>
    <t>BAB HCM</t>
  </si>
  <si>
    <t xml:space="preserve">ĐẶNG THỊ NGỌC TRINH </t>
  </si>
  <si>
    <t>BAB HN</t>
  </si>
  <si>
    <t xml:space="preserve">TRƯƠNG MAI HỒNG </t>
  </si>
  <si>
    <t>TCB HCM</t>
  </si>
  <si>
    <t xml:space="preserve">NGUYỄN VĂN HIÊN </t>
  </si>
  <si>
    <t>TCB HN</t>
  </si>
  <si>
    <t xml:space="preserve">NGUYỄN XUÂN KIÊN </t>
  </si>
  <si>
    <t>Total</t>
  </si>
  <si>
    <t>Sum</t>
  </si>
  <si>
    <t>Actv</t>
  </si>
  <si>
    <t>% Actv</t>
  </si>
  <si>
    <t>Case/ Actv</t>
  </si>
  <si>
    <t>APE/Actv</t>
  </si>
  <si>
    <t>Jul '16</t>
  </si>
  <si>
    <t>YTD Target '16</t>
  </si>
  <si>
    <t>APE target</t>
  </si>
  <si>
    <t>% Target</t>
  </si>
  <si>
    <t>% Plan</t>
  </si>
  <si>
    <t>EIB</t>
  </si>
  <si>
    <t>SCB IO</t>
  </si>
  <si>
    <t>SCB IS</t>
  </si>
  <si>
    <t>TCB IO</t>
  </si>
  <si>
    <t>TCB IS</t>
  </si>
  <si>
    <t>BAB IO</t>
  </si>
  <si>
    <t>BAB IS</t>
  </si>
  <si>
    <t>EIB IO</t>
  </si>
  <si>
    <t>EIB IS</t>
  </si>
  <si>
    <t>IO</t>
  </si>
  <si>
    <t>IS</t>
  </si>
  <si>
    <t xml:space="preserve">Jan </t>
  </si>
  <si>
    <t>SEA</t>
  </si>
  <si>
    <t>BAN</t>
  </si>
  <si>
    <t xml:space="preserve">NH </t>
  </si>
  <si>
    <t>1. &lt; 6M</t>
  </si>
  <si>
    <t>2. 6M - 12M</t>
  </si>
  <si>
    <t>3. 12M+</t>
  </si>
  <si>
    <t>TT APE</t>
  </si>
  <si>
    <t>Aug '16</t>
  </si>
  <si>
    <t>Sep '16</t>
  </si>
  <si>
    <t>Oct '16</t>
  </si>
  <si>
    <t>Nov '16</t>
  </si>
  <si>
    <t>Dec '16</t>
  </si>
  <si>
    <t>% &lt; 6M</t>
  </si>
  <si>
    <t>% 6M - 12M</t>
  </si>
  <si>
    <t>% 12M+</t>
  </si>
  <si>
    <t>EB</t>
  </si>
  <si>
    <t>LÝ THỊ OANH</t>
  </si>
  <si>
    <t>NGUYEN THI TAM</t>
  </si>
  <si>
    <t>DANG THI NGOC TRINH</t>
  </si>
  <si>
    <t>DO HONG PHU</t>
  </si>
  <si>
    <t>DANG THI BICH LIEN</t>
  </si>
  <si>
    <t>NGUYEN THI KIM NGOC</t>
  </si>
  <si>
    <t>NGUYEN THI THANH</t>
  </si>
  <si>
    <t>NGUYEN VU TAN</t>
  </si>
  <si>
    <t>DAO THI BE NGOAN</t>
  </si>
  <si>
    <t>PHAM MINH LUYEN</t>
  </si>
  <si>
    <t>TRAN THI MY HANH</t>
  </si>
  <si>
    <t>TRAN THI THANH DUNG</t>
  </si>
  <si>
    <t>North</t>
  </si>
  <si>
    <t>South</t>
  </si>
  <si>
    <t>KPIs</t>
  </si>
  <si>
    <t>Actual</t>
  </si>
  <si>
    <t>% Last year</t>
  </si>
  <si>
    <t>FA/SFA Productivity</t>
  </si>
  <si>
    <t>Actuarial Persistency</t>
  </si>
  <si>
    <t xml:space="preserve">&gt;= 100% </t>
  </si>
  <si>
    <t>&gt;= 90%</t>
  </si>
  <si>
    <t>&lt; 90%</t>
  </si>
  <si>
    <t>Curr Mth</t>
  </si>
  <si>
    <t>vs LY</t>
  </si>
  <si>
    <t>vs Target</t>
  </si>
  <si>
    <t>vs LY - YTD</t>
  </si>
  <si>
    <t>vs LY - Mth</t>
  </si>
  <si>
    <t>vs Target - Mth</t>
  </si>
  <si>
    <t>vs Target - Year</t>
  </si>
  <si>
    <t>Plan</t>
  </si>
  <si>
    <t>%</t>
  </si>
  <si>
    <t>APE Performance</t>
  </si>
  <si>
    <t>% YTD</t>
  </si>
  <si>
    <t>NGO THI THUY HANG</t>
  </si>
  <si>
    <t>VU LINH HAU</t>
  </si>
  <si>
    <t>% Achv</t>
  </si>
  <si>
    <t>CHU QUOC THO</t>
  </si>
  <si>
    <t>NGUYEN CHIEN THANG</t>
  </si>
  <si>
    <t>PHAM LINH CHI</t>
  </si>
  <si>
    <t>`</t>
  </si>
  <si>
    <t>YTD '17</t>
  </si>
  <si>
    <t>Q1 '17</t>
  </si>
  <si>
    <t>Q2 '17</t>
  </si>
  <si>
    <t>Q3 '17</t>
  </si>
  <si>
    <t>Q4 '17</t>
  </si>
  <si>
    <t>Jan '17</t>
  </si>
  <si>
    <t>Feb '17</t>
  </si>
  <si>
    <t>Mar '17</t>
  </si>
  <si>
    <t>Apr '17</t>
  </si>
  <si>
    <t>May '17</t>
  </si>
  <si>
    <t>Jun '17</t>
  </si>
  <si>
    <t>Jul '17</t>
  </si>
  <si>
    <t>Aug '17</t>
  </si>
  <si>
    <t>Sep '17</t>
  </si>
  <si>
    <t>Oct '17</t>
  </si>
  <si>
    <t>Nov '17</t>
  </si>
  <si>
    <t>Dec '17</t>
  </si>
  <si>
    <t>CMG</t>
  </si>
  <si>
    <t>CMG IO</t>
  </si>
  <si>
    <t>CMG IS</t>
  </si>
  <si>
    <t>Plan 2017</t>
  </si>
  <si>
    <t>Actual 2017</t>
  </si>
  <si>
    <t>YTD'17</t>
  </si>
  <si>
    <t>YTD Target '17</t>
  </si>
  <si>
    <t>OCB</t>
  </si>
  <si>
    <t>Others</t>
  </si>
  <si>
    <t>FYP</t>
  </si>
  <si>
    <t>OCB IO</t>
  </si>
  <si>
    <t>OCB IS</t>
  </si>
  <si>
    <t>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</si>
</sst>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3" formatCode="_(* #,##0.00_);_(* \(#,##0.00\);_(* &quot;-&quot;??_);_(@_)"/>
    <numFmt numFmtId="164" formatCode="[$-409]mmm\-yy;@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0.0%"/>
    <numFmt numFmtId="169" formatCode="#,##0;;&quot;&quot;"/>
    <numFmt numFmtId="170" formatCode="0%;;&quot;&quot;"/>
    <numFmt numFmtId="171" formatCode="#,##0.000"/>
    <numFmt numFmtId="172" formatCode="#,##0.0;;&quot;&quot;"/>
    <numFmt numFmtId="173" formatCode="#,###;\-#,###;&quot;&quot;"/>
    <numFmt numFmtId="174" formatCode="#;\-#;&quot;&quot;"/>
    <numFmt numFmtId="175" formatCode="0.0"/>
    <numFmt numFmtId="176" formatCode="#.0;;&quot;-&quot;"/>
    <numFmt numFmtId="177" formatCode="#;\-#;&quot;-&quot;"/>
    <numFmt numFmtId="178" formatCode="#,##0;\-#,##0;&quot;&quot;"/>
    <numFmt numFmtId="179" formatCode="0%;\-0%;&quot;&quot;"/>
    <numFmt numFmtId="180" formatCode="#,##0;\-0;&quot;&quot;"/>
    <numFmt numFmtId="181" formatCode="#,##0.0000;\-0.#;&quot;&quot;"/>
    <numFmt numFmtId="182" formatCode="#,##0;\-0.#;&quot;&quot;"/>
    <numFmt numFmtId="183" formatCode="#,###;\-#,###;\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5"/>
      <color rgb="FFFFFFFF"/>
      <name val="Calibri"/>
      <family val="2"/>
    </font>
    <font>
      <sz val="18"/>
      <color rgb="FFFFFFFF"/>
      <name val="Calibri"/>
      <family val="2"/>
    </font>
    <font>
      <sz val="15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9"/>
      <color theme="1"/>
      <name val="Times New Roman"/>
      <family val="1"/>
    </font>
    <font>
      <sz val="11"/>
      <name val="Calibri"/>
      <family val="2"/>
      <scheme val="minor"/>
    </font>
    <font>
      <sz val="9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6">
    <xf numFmtId="0" fontId="0" fillId="0" borderId="0" xfId="0"/>
    <xf numFmtId="164" fontId="4" fillId="0" borderId="1" xfId="0" applyNumberFormat="1" applyFont="1" applyBorder="1"/>
    <xf numFmtId="0" fontId="0" fillId="0" borderId="0" xfId="0" applyAlignment="1">
      <alignment horizontal="right"/>
    </xf>
    <xf numFmtId="165" fontId="0" fillId="0" borderId="0" xfId="1" applyNumberFormat="1" applyFont="1"/>
    <xf numFmtId="0" fontId="0" fillId="2" borderId="0" xfId="0" applyFill="1"/>
    <xf numFmtId="0" fontId="0" fillId="2" borderId="0" xfId="0" applyFill="1" applyAlignment="1">
      <alignment horizontal="right"/>
    </xf>
    <xf numFmtId="166" fontId="0" fillId="0" borderId="0" xfId="1" applyNumberFormat="1" applyFont="1"/>
    <xf numFmtId="9" fontId="0" fillId="2" borderId="0" xfId="0" applyNumberFormat="1" applyFill="1"/>
    <xf numFmtId="167" fontId="0" fillId="0" borderId="0" xfId="0" applyNumberFormat="1"/>
    <xf numFmtId="0" fontId="5" fillId="0" borderId="0" xfId="0" applyFont="1"/>
    <xf numFmtId="0" fontId="5" fillId="3" borderId="0" xfId="0" applyFont="1" applyFill="1"/>
    <xf numFmtId="3" fontId="0" fillId="0" borderId="0" xfId="0" applyNumberFormat="1"/>
    <xf numFmtId="167" fontId="5" fillId="0" borderId="0" xfId="0" applyNumberFormat="1" applyFont="1"/>
    <xf numFmtId="3" fontId="5" fillId="0" borderId="0" xfId="0" applyNumberFormat="1" applyFont="1"/>
    <xf numFmtId="9" fontId="0" fillId="0" borderId="0" xfId="0" applyNumberFormat="1"/>
    <xf numFmtId="168" fontId="0" fillId="0" borderId="0" xfId="0" applyNumberFormat="1"/>
    <xf numFmtId="168" fontId="5" fillId="0" borderId="0" xfId="0" applyNumberFormat="1" applyFont="1"/>
    <xf numFmtId="0" fontId="0" fillId="0" borderId="0" xfId="0" applyAlignment="1">
      <alignment horizontal="left" indent="1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9" fontId="0" fillId="0" borderId="0" xfId="0" applyNumberFormat="1"/>
    <xf numFmtId="169" fontId="5" fillId="0" borderId="0" xfId="0" applyNumberFormat="1" applyFont="1"/>
    <xf numFmtId="170" fontId="0" fillId="0" borderId="0" xfId="0" applyNumberFormat="1"/>
    <xf numFmtId="170" fontId="5" fillId="0" borderId="0" xfId="0" applyNumberFormat="1" applyFont="1"/>
    <xf numFmtId="0" fontId="0" fillId="0" borderId="0" xfId="0" applyNumberFormat="1"/>
    <xf numFmtId="171" fontId="0" fillId="0" borderId="0" xfId="0" applyNumberFormat="1"/>
    <xf numFmtId="165" fontId="9" fillId="2" borderId="0" xfId="1" applyNumberFormat="1" applyFont="1" applyFill="1"/>
    <xf numFmtId="9" fontId="9" fillId="0" borderId="0" xfId="2" applyFont="1"/>
    <xf numFmtId="170" fontId="9" fillId="2" borderId="0" xfId="0" applyNumberFormat="1" applyFont="1" applyFill="1"/>
    <xf numFmtId="166" fontId="9" fillId="2" borderId="0" xfId="1" applyNumberFormat="1" applyFont="1" applyFill="1"/>
    <xf numFmtId="166" fontId="9" fillId="2" borderId="0" xfId="0" applyNumberFormat="1" applyFont="1" applyFill="1"/>
    <xf numFmtId="165" fontId="9" fillId="2" borderId="0" xfId="1" applyNumberFormat="1" applyFont="1" applyFill="1" applyAlignment="1">
      <alignment horizontal="left" indent="1"/>
    </xf>
    <xf numFmtId="172" fontId="0" fillId="0" borderId="0" xfId="0" applyNumberFormat="1"/>
    <xf numFmtId="172" fontId="5" fillId="0" borderId="0" xfId="0" applyNumberFormat="1" applyFont="1"/>
    <xf numFmtId="9" fontId="9" fillId="2" borderId="0" xfId="2" applyFont="1" applyFill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170" fontId="0" fillId="2" borderId="0" xfId="0" applyNumberFormat="1" applyFill="1"/>
    <xf numFmtId="175" fontId="0" fillId="2" borderId="0" xfId="0" applyNumberFormat="1" applyFill="1"/>
    <xf numFmtId="165" fontId="0" fillId="2" borderId="0" xfId="1" applyNumberFormat="1" applyFont="1" applyFill="1"/>
    <xf numFmtId="166" fontId="0" fillId="2" borderId="0" xfId="1" applyNumberFormat="1" applyFont="1" applyFill="1"/>
    <xf numFmtId="174" fontId="0" fillId="2" borderId="0" xfId="0" applyNumberFormat="1" applyFill="1"/>
    <xf numFmtId="177" fontId="0" fillId="2" borderId="0" xfId="0" applyNumberFormat="1" applyFill="1"/>
    <xf numFmtId="176" fontId="0" fillId="2" borderId="0" xfId="0" applyNumberFormat="1" applyFill="1"/>
    <xf numFmtId="9" fontId="0" fillId="0" borderId="0" xfId="0" applyNumberFormat="1" applyAlignment="1">
      <alignment horizontal="right"/>
    </xf>
    <xf numFmtId="175" fontId="0" fillId="0" borderId="0" xfId="0" applyNumberFormat="1" applyAlignment="1">
      <alignment horizontal="right"/>
    </xf>
    <xf numFmtId="3" fontId="0" fillId="2" borderId="0" xfId="0" applyNumberFormat="1" applyFill="1"/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Font="1" applyAlignment="1">
      <alignment horizontal="left" indent="1"/>
    </xf>
    <xf numFmtId="0" fontId="2" fillId="0" borderId="0" xfId="0" applyFont="1" applyBorder="1" applyAlignment="1">
      <alignment horizontal="left" indent="1"/>
    </xf>
    <xf numFmtId="3" fontId="0" fillId="0" borderId="0" xfId="0" applyNumberFormat="1" applyAlignment="1">
      <alignment horizontal="left" indent="1"/>
    </xf>
    <xf numFmtId="0" fontId="10" fillId="0" borderId="2" xfId="0" applyFont="1" applyBorder="1" applyAlignment="1">
      <alignment horizontal="left" indent="1"/>
    </xf>
    <xf numFmtId="0" fontId="0" fillId="0" borderId="2" xfId="0" applyBorder="1"/>
    <xf numFmtId="0" fontId="0" fillId="0" borderId="2" xfId="0" applyBorder="1" applyAlignment="1">
      <alignment horizontal="right"/>
    </xf>
    <xf numFmtId="3" fontId="5" fillId="0" borderId="2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 indent="1"/>
    </xf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0" fillId="0" borderId="6" xfId="0" applyNumberFormat="1" applyBorder="1"/>
    <xf numFmtId="3" fontId="0" fillId="0" borderId="0" xfId="0" applyNumberFormat="1" applyBorder="1"/>
    <xf numFmtId="0" fontId="0" fillId="0" borderId="0" xfId="0" applyNumberFormat="1" applyBorder="1"/>
    <xf numFmtId="3" fontId="0" fillId="0" borderId="7" xfId="0" applyNumberFormat="1" applyBorder="1"/>
    <xf numFmtId="3" fontId="5" fillId="0" borderId="4" xfId="0" applyNumberFormat="1" applyFont="1" applyBorder="1" applyAlignment="1">
      <alignment horizontal="right"/>
    </xf>
    <xf numFmtId="3" fontId="5" fillId="0" borderId="5" xfId="0" applyNumberFormat="1" applyFont="1" applyBorder="1" applyAlignment="1">
      <alignment horizontal="right"/>
    </xf>
    <xf numFmtId="3" fontId="5" fillId="0" borderId="8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left" indent="1"/>
    </xf>
    <xf numFmtId="0" fontId="0" fillId="0" borderId="7" xfId="0" applyFont="1" applyBorder="1" applyAlignment="1">
      <alignment horizontal="left" indent="1"/>
    </xf>
    <xf numFmtId="0" fontId="10" fillId="0" borderId="4" xfId="0" applyFont="1" applyBorder="1" applyAlignment="1">
      <alignment horizontal="left" indent="1"/>
    </xf>
    <xf numFmtId="165" fontId="0" fillId="0" borderId="0" xfId="1" applyNumberFormat="1" applyFont="1" applyBorder="1"/>
    <xf numFmtId="165" fontId="0" fillId="0" borderId="7" xfId="1" applyNumberFormat="1" applyFont="1" applyBorder="1"/>
    <xf numFmtId="0" fontId="2" fillId="0" borderId="7" xfId="0" applyFont="1" applyBorder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0" fillId="2" borderId="0" xfId="0" applyFont="1" applyFill="1" applyAlignment="1">
      <alignment horizontal="left" indent="1"/>
    </xf>
    <xf numFmtId="3" fontId="0" fillId="2" borderId="0" xfId="0" applyNumberFormat="1" applyFill="1" applyAlignment="1">
      <alignment horizontal="left" indent="1"/>
    </xf>
    <xf numFmtId="3" fontId="0" fillId="2" borderId="6" xfId="0" applyNumberFormat="1" applyFill="1" applyBorder="1"/>
    <xf numFmtId="3" fontId="0" fillId="2" borderId="0" xfId="0" applyNumberFormat="1" applyFill="1" applyBorder="1"/>
    <xf numFmtId="0" fontId="0" fillId="2" borderId="0" xfId="0" applyNumberFormat="1" applyFill="1" applyBorder="1"/>
    <xf numFmtId="3" fontId="0" fillId="2" borderId="7" xfId="0" applyNumberFormat="1" applyFill="1" applyBorder="1"/>
    <xf numFmtId="0" fontId="0" fillId="2" borderId="0" xfId="0" applyNumberFormat="1" applyFill="1"/>
    <xf numFmtId="0" fontId="0" fillId="2" borderId="7" xfId="0" applyFill="1" applyBorder="1"/>
    <xf numFmtId="0" fontId="2" fillId="2" borderId="0" xfId="0" applyFont="1" applyFill="1" applyBorder="1" applyAlignment="1">
      <alignment horizontal="left" indent="1"/>
    </xf>
    <xf numFmtId="9" fontId="0" fillId="2" borderId="0" xfId="0" applyNumberFormat="1" applyFill="1" applyBorder="1"/>
    <xf numFmtId="167" fontId="0" fillId="2" borderId="0" xfId="0" applyNumberFormat="1" applyFill="1" applyBorder="1"/>
    <xf numFmtId="9" fontId="0" fillId="6" borderId="0" xfId="0" applyNumberFormat="1" applyFill="1" applyBorder="1"/>
    <xf numFmtId="167" fontId="0" fillId="6" borderId="0" xfId="0" applyNumberFormat="1" applyFill="1" applyBorder="1"/>
    <xf numFmtId="9" fontId="0" fillId="6" borderId="2" xfId="0" applyNumberFormat="1" applyFill="1" applyBorder="1"/>
    <xf numFmtId="167" fontId="0" fillId="6" borderId="2" xfId="0" applyNumberFormat="1" applyFill="1" applyBorder="1"/>
    <xf numFmtId="9" fontId="0" fillId="6" borderId="10" xfId="0" applyNumberFormat="1" applyFill="1" applyBorder="1"/>
    <xf numFmtId="167" fontId="0" fillId="6" borderId="10" xfId="0" applyNumberFormat="1" applyFill="1" applyBorder="1"/>
    <xf numFmtId="9" fontId="0" fillId="0" borderId="0" xfId="0" applyNumberFormat="1" applyFont="1" applyBorder="1" applyAlignment="1"/>
    <xf numFmtId="9" fontId="0" fillId="0" borderId="2" xfId="0" applyNumberFormat="1" applyBorder="1" applyAlignment="1"/>
    <xf numFmtId="167" fontId="0" fillId="0" borderId="2" xfId="0" applyNumberFormat="1" applyBorder="1" applyAlignment="1"/>
    <xf numFmtId="167" fontId="0" fillId="0" borderId="0" xfId="0" applyNumberFormat="1" applyAlignment="1"/>
    <xf numFmtId="167" fontId="0" fillId="0" borderId="0" xfId="0" applyNumberFormat="1" applyFont="1" applyBorder="1" applyAlignment="1"/>
    <xf numFmtId="0" fontId="2" fillId="0" borderId="0" xfId="0" applyFont="1" applyBorder="1" applyAlignment="1"/>
    <xf numFmtId="0" fontId="0" fillId="0" borderId="0" xfId="0" applyFont="1" applyBorder="1" applyAlignment="1"/>
    <xf numFmtId="0" fontId="0" fillId="0" borderId="8" xfId="0" applyBorder="1"/>
    <xf numFmtId="0" fontId="0" fillId="0" borderId="9" xfId="0" applyBorder="1"/>
    <xf numFmtId="0" fontId="5" fillId="0" borderId="8" xfId="0" applyFont="1" applyBorder="1" applyAlignment="1">
      <alignment horizontal="center"/>
    </xf>
    <xf numFmtId="0" fontId="0" fillId="0" borderId="3" xfId="0" applyBorder="1"/>
    <xf numFmtId="0" fontId="5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9" xfId="0" applyFont="1" applyFill="1" applyBorder="1" applyAlignment="1">
      <alignment horizontal="center"/>
    </xf>
    <xf numFmtId="167" fontId="0" fillId="0" borderId="3" xfId="0" applyNumberFormat="1" applyBorder="1" applyAlignment="1"/>
    <xf numFmtId="167" fontId="10" fillId="7" borderId="3" xfId="0" applyNumberFormat="1" applyFont="1" applyFill="1" applyBorder="1" applyAlignment="1"/>
    <xf numFmtId="167" fontId="10" fillId="8" borderId="3" xfId="0" applyNumberFormat="1" applyFont="1" applyFill="1" applyBorder="1" applyAlignment="1"/>
    <xf numFmtId="0" fontId="2" fillId="0" borderId="6" xfId="0" applyFont="1" applyBorder="1" applyAlignment="1"/>
    <xf numFmtId="9" fontId="0" fillId="6" borderId="3" xfId="0" applyNumberFormat="1" applyFill="1" applyBorder="1"/>
    <xf numFmtId="167" fontId="0" fillId="6" borderId="3" xfId="0" applyNumberFormat="1" applyFill="1" applyBorder="1"/>
    <xf numFmtId="178" fontId="0" fillId="0" borderId="0" xfId="0" applyNumberFormat="1" applyFont="1"/>
    <xf numFmtId="179" fontId="9" fillId="2" borderId="0" xfId="0" applyNumberFormat="1" applyFont="1" applyFill="1"/>
    <xf numFmtId="0" fontId="0" fillId="6" borderId="0" xfId="0" applyFill="1"/>
    <xf numFmtId="164" fontId="4" fillId="6" borderId="1" xfId="0" applyNumberFormat="1" applyFont="1" applyFill="1" applyBorder="1"/>
    <xf numFmtId="170" fontId="0" fillId="6" borderId="0" xfId="0" applyNumberFormat="1" applyFill="1"/>
    <xf numFmtId="175" fontId="0" fillId="6" borderId="0" xfId="0" applyNumberFormat="1" applyFill="1"/>
    <xf numFmtId="3" fontId="0" fillId="6" borderId="0" xfId="0" applyNumberFormat="1" applyFill="1"/>
    <xf numFmtId="166" fontId="0" fillId="6" borderId="0" xfId="1" applyNumberFormat="1" applyFont="1" applyFill="1"/>
    <xf numFmtId="165" fontId="0" fillId="6" borderId="0" xfId="1" applyNumberFormat="1" applyFont="1" applyFill="1"/>
    <xf numFmtId="174" fontId="0" fillId="6" borderId="0" xfId="0" applyNumberFormat="1" applyFill="1"/>
    <xf numFmtId="177" fontId="0" fillId="6" borderId="0" xfId="0" applyNumberFormat="1" applyFill="1"/>
    <xf numFmtId="176" fontId="0" fillId="6" borderId="0" xfId="0" applyNumberFormat="1" applyFill="1"/>
    <xf numFmtId="3" fontId="0" fillId="0" borderId="0" xfId="0" applyNumberFormat="1" applyAlignment="1"/>
    <xf numFmtId="9" fontId="0" fillId="0" borderId="0" xfId="0" applyNumberFormat="1" applyBorder="1"/>
    <xf numFmtId="9" fontId="0" fillId="0" borderId="0" xfId="1" applyNumberFormat="1" applyFont="1" applyBorder="1"/>
    <xf numFmtId="3" fontId="5" fillId="8" borderId="2" xfId="0" applyNumberFormat="1" applyFont="1" applyFill="1" applyBorder="1" applyAlignment="1">
      <alignment horizontal="right"/>
    </xf>
    <xf numFmtId="9" fontId="5" fillId="8" borderId="2" xfId="0" applyNumberFormat="1" applyFont="1" applyFill="1" applyBorder="1" applyAlignment="1">
      <alignment horizontal="right"/>
    </xf>
    <xf numFmtId="3" fontId="5" fillId="8" borderId="3" xfId="0" applyNumberFormat="1" applyFont="1" applyFill="1" applyBorder="1" applyAlignment="1">
      <alignment horizontal="right"/>
    </xf>
    <xf numFmtId="9" fontId="5" fillId="8" borderId="3" xfId="0" applyNumberFormat="1" applyFont="1" applyFill="1" applyBorder="1" applyAlignment="1">
      <alignment horizontal="right"/>
    </xf>
    <xf numFmtId="175" fontId="0" fillId="0" borderId="0" xfId="0" applyNumberFormat="1" applyAlignment="1"/>
    <xf numFmtId="1" fontId="0" fillId="0" borderId="0" xfId="0" applyNumberFormat="1" applyAlignment="1"/>
    <xf numFmtId="9" fontId="0" fillId="0" borderId="0" xfId="2" applyFont="1" applyAlignment="1"/>
    <xf numFmtId="9" fontId="5" fillId="0" borderId="0" xfId="0" applyNumberFormat="1" applyFont="1"/>
    <xf numFmtId="0" fontId="0" fillId="10" borderId="0" xfId="0" applyFill="1" applyAlignment="1">
      <alignment horizontal="left" indent="1"/>
    </xf>
    <xf numFmtId="0" fontId="5" fillId="9" borderId="0" xfId="0" applyFont="1" applyFill="1" applyAlignment="1">
      <alignment horizontal="center"/>
    </xf>
    <xf numFmtId="0" fontId="0" fillId="0" borderId="0" xfId="0" applyAlignment="1"/>
    <xf numFmtId="9" fontId="0" fillId="0" borderId="0" xfId="0" applyNumberFormat="1" applyAlignment="1"/>
    <xf numFmtId="166" fontId="0" fillId="0" borderId="0" xfId="1" applyNumberFormat="1" applyFont="1" applyAlignment="1"/>
    <xf numFmtId="166" fontId="0" fillId="0" borderId="0" xfId="1" applyNumberFormat="1" applyFont="1" applyAlignment="1">
      <alignment horizontal="left" indent="1"/>
    </xf>
    <xf numFmtId="0" fontId="10" fillId="0" borderId="11" xfId="0" applyFont="1" applyBorder="1" applyAlignment="1">
      <alignment horizontal="left"/>
    </xf>
    <xf numFmtId="3" fontId="10" fillId="0" borderId="11" xfId="0" applyNumberFormat="1" applyFont="1" applyBorder="1"/>
    <xf numFmtId="0" fontId="5" fillId="0" borderId="0" xfId="0" applyFont="1" applyAlignment="1">
      <alignment horizontal="left" indent="1"/>
    </xf>
    <xf numFmtId="178" fontId="0" fillId="0" borderId="0" xfId="0" applyNumberFormat="1"/>
    <xf numFmtId="3" fontId="1" fillId="0" borderId="11" xfId="0" applyNumberFormat="1" applyFont="1" applyBorder="1"/>
    <xf numFmtId="1" fontId="0" fillId="0" borderId="0" xfId="0" applyNumberFormat="1"/>
    <xf numFmtId="3" fontId="5" fillId="0" borderId="10" xfId="0" applyNumberFormat="1" applyFont="1" applyBorder="1" applyAlignment="1">
      <alignment horizontal="right"/>
    </xf>
    <xf numFmtId="0" fontId="10" fillId="0" borderId="0" xfId="0" applyFont="1" applyBorder="1" applyAlignment="1">
      <alignment horizontal="left" indent="1"/>
    </xf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3" fontId="5" fillId="0" borderId="6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0" fontId="1" fillId="2" borderId="0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3" fontId="1" fillId="2" borderId="0" xfId="0" applyNumberFormat="1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3" fontId="1" fillId="0" borderId="0" xfId="0" applyNumberFormat="1" applyFont="1" applyAlignment="1">
      <alignment horizontal="left" indent="1"/>
    </xf>
    <xf numFmtId="0" fontId="14" fillId="0" borderId="17" xfId="0" applyFont="1" applyFill="1" applyBorder="1" applyAlignment="1">
      <alignment horizontal="left" wrapText="1" indent="1" readingOrder="1"/>
    </xf>
    <xf numFmtId="3" fontId="14" fillId="0" borderId="17" xfId="0" applyNumberFormat="1" applyFont="1" applyFill="1" applyBorder="1" applyAlignment="1">
      <alignment horizontal="right" wrapText="1" indent="1" readingOrder="1"/>
    </xf>
    <xf numFmtId="9" fontId="14" fillId="0" borderId="17" xfId="0" applyNumberFormat="1" applyFont="1" applyFill="1" applyBorder="1" applyAlignment="1">
      <alignment horizontal="right" wrapText="1" indent="1" readingOrder="1"/>
    </xf>
    <xf numFmtId="0" fontId="14" fillId="0" borderId="17" xfId="0" applyFont="1" applyFill="1" applyBorder="1" applyAlignment="1">
      <alignment horizontal="right" wrapText="1" indent="1" readingOrder="1"/>
    </xf>
    <xf numFmtId="167" fontId="14" fillId="0" borderId="17" xfId="0" applyNumberFormat="1" applyFont="1" applyFill="1" applyBorder="1" applyAlignment="1">
      <alignment horizontal="right" wrapText="1" indent="1" readingOrder="1"/>
    </xf>
    <xf numFmtId="0" fontId="15" fillId="0" borderId="0" xfId="0" applyFont="1" applyFill="1" applyBorder="1"/>
    <xf numFmtId="0" fontId="15" fillId="12" borderId="0" xfId="0" applyFont="1" applyFill="1" applyBorder="1"/>
    <xf numFmtId="0" fontId="15" fillId="0" borderId="0" xfId="0" quotePrefix="1" applyFont="1" applyFill="1" applyBorder="1"/>
    <xf numFmtId="0" fontId="15" fillId="13" borderId="0" xfId="0" applyFont="1" applyFill="1" applyBorder="1"/>
    <xf numFmtId="0" fontId="15" fillId="14" borderId="0" xfId="0" applyFont="1" applyFill="1" applyBorder="1"/>
    <xf numFmtId="0" fontId="0" fillId="9" borderId="0" xfId="0" applyFill="1"/>
    <xf numFmtId="0" fontId="0" fillId="0" borderId="0" xfId="0" applyAlignment="1">
      <alignment horizontal="centerContinuous"/>
    </xf>
    <xf numFmtId="0" fontId="0" fillId="0" borderId="0" xfId="0" applyAlignment="1">
      <alignment horizontal="right" indent="1"/>
    </xf>
    <xf numFmtId="180" fontId="0" fillId="0" borderId="0" xfId="0" applyNumberFormat="1"/>
    <xf numFmtId="3" fontId="0" fillId="5" borderId="0" xfId="0" applyNumberFormat="1" applyFill="1"/>
    <xf numFmtId="169" fontId="0" fillId="5" borderId="0" xfId="0" applyNumberFormat="1" applyFill="1"/>
    <xf numFmtId="169" fontId="0" fillId="15" borderId="0" xfId="0" applyNumberFormat="1" applyFill="1"/>
    <xf numFmtId="168" fontId="14" fillId="0" borderId="17" xfId="0" applyNumberFormat="1" applyFont="1" applyFill="1" applyBorder="1" applyAlignment="1">
      <alignment horizontal="right" wrapText="1" indent="1" readingOrder="1"/>
    </xf>
    <xf numFmtId="9" fontId="5" fillId="0" borderId="3" xfId="0" applyNumberFormat="1" applyFont="1" applyBorder="1" applyAlignment="1">
      <alignment horizontal="right"/>
    </xf>
    <xf numFmtId="0" fontId="12" fillId="11" borderId="17" xfId="0" applyFont="1" applyFill="1" applyBorder="1" applyAlignment="1">
      <alignment horizontal="center" vertical="center" wrapText="1" readingOrder="1"/>
    </xf>
    <xf numFmtId="9" fontId="16" fillId="0" borderId="0" xfId="0" applyNumberFormat="1" applyFont="1"/>
    <xf numFmtId="0" fontId="5" fillId="16" borderId="0" xfId="0" applyFont="1" applyFill="1" applyAlignment="1">
      <alignment horizontal="center"/>
    </xf>
    <xf numFmtId="169" fontId="0" fillId="0" borderId="0" xfId="0" applyNumberFormat="1" applyFill="1"/>
    <xf numFmtId="169" fontId="5" fillId="0" borderId="0" xfId="0" applyNumberFormat="1" applyFont="1" applyFill="1"/>
    <xf numFmtId="0" fontId="5" fillId="15" borderId="0" xfId="0" applyFont="1" applyFill="1"/>
    <xf numFmtId="0" fontId="8" fillId="0" borderId="0" xfId="0" applyFont="1"/>
    <xf numFmtId="164" fontId="4" fillId="5" borderId="1" xfId="0" applyNumberFormat="1" applyFont="1" applyFill="1" applyBorder="1"/>
    <xf numFmtId="164" fontId="4" fillId="10" borderId="1" xfId="0" applyNumberFormat="1" applyFont="1" applyFill="1" applyBorder="1"/>
    <xf numFmtId="0" fontId="8" fillId="6" borderId="0" xfId="0" applyFont="1" applyFill="1"/>
    <xf numFmtId="170" fontId="8" fillId="0" borderId="0" xfId="0" applyNumberFormat="1" applyFont="1"/>
    <xf numFmtId="170" fontId="8" fillId="6" borderId="0" xfId="0" applyNumberFormat="1" applyFont="1" applyFill="1"/>
    <xf numFmtId="175" fontId="8" fillId="0" borderId="0" xfId="0" applyNumberFormat="1" applyFont="1"/>
    <xf numFmtId="175" fontId="8" fillId="6" borderId="0" xfId="0" applyNumberFormat="1" applyFont="1" applyFill="1"/>
    <xf numFmtId="165" fontId="8" fillId="6" borderId="0" xfId="1" applyNumberFormat="1" applyFont="1" applyFill="1"/>
    <xf numFmtId="166" fontId="8" fillId="0" borderId="0" xfId="1" applyNumberFormat="1" applyFont="1"/>
    <xf numFmtId="166" fontId="8" fillId="6" borderId="0" xfId="1" applyNumberFormat="1" applyFont="1" applyFill="1"/>
    <xf numFmtId="174" fontId="8" fillId="6" borderId="0" xfId="0" applyNumberFormat="1" applyFont="1" applyFill="1"/>
    <xf numFmtId="177" fontId="8" fillId="6" borderId="0" xfId="0" applyNumberFormat="1" applyFont="1" applyFill="1"/>
    <xf numFmtId="3" fontId="8" fillId="6" borderId="0" xfId="0" applyNumberFormat="1" applyFont="1" applyFill="1"/>
    <xf numFmtId="3" fontId="8" fillId="0" borderId="0" xfId="0" applyNumberFormat="1" applyFont="1"/>
    <xf numFmtId="169" fontId="0" fillId="2" borderId="0" xfId="0" applyNumberFormat="1" applyFill="1"/>
    <xf numFmtId="181" fontId="0" fillId="0" borderId="0" xfId="0" applyNumberFormat="1"/>
    <xf numFmtId="182" fontId="0" fillId="0" borderId="0" xfId="0" applyNumberFormat="1"/>
    <xf numFmtId="183" fontId="17" fillId="0" borderId="18" xfId="0" applyNumberFormat="1" applyFont="1" applyBorder="1" applyAlignment="1" applyProtection="1">
      <alignment horizontal="right" indent="1"/>
      <protection locked="0"/>
    </xf>
    <xf numFmtId="9" fontId="8" fillId="0" borderId="0" xfId="0" applyNumberFormat="1" applyFont="1"/>
    <xf numFmtId="0" fontId="18" fillId="6" borderId="0" xfId="0" applyFont="1" applyFill="1"/>
    <xf numFmtId="170" fontId="18" fillId="6" borderId="0" xfId="0" applyNumberFormat="1" applyFont="1" applyFill="1"/>
    <xf numFmtId="175" fontId="18" fillId="6" borderId="0" xfId="0" applyNumberFormat="1" applyFont="1" applyFill="1"/>
    <xf numFmtId="165" fontId="18" fillId="6" borderId="0" xfId="1" applyNumberFormat="1" applyFont="1" applyFill="1"/>
    <xf numFmtId="166" fontId="18" fillId="6" borderId="0" xfId="1" applyNumberFormat="1" applyFont="1" applyFill="1"/>
    <xf numFmtId="3" fontId="18" fillId="0" borderId="0" xfId="0" applyNumberFormat="1" applyFont="1"/>
    <xf numFmtId="9" fontId="18" fillId="0" borderId="0" xfId="0" applyNumberFormat="1" applyFont="1"/>
    <xf numFmtId="167" fontId="18" fillId="0" borderId="0" xfId="0" applyNumberFormat="1" applyFont="1"/>
    <xf numFmtId="0" fontId="19" fillId="15" borderId="0" xfId="0" applyFont="1" applyFill="1"/>
    <xf numFmtId="0" fontId="12" fillId="11" borderId="12" xfId="0" applyFont="1" applyFill="1" applyBorder="1" applyAlignment="1">
      <alignment horizontal="center" vertical="center" wrapText="1" readingOrder="1"/>
    </xf>
    <xf numFmtId="0" fontId="12" fillId="11" borderId="16" xfId="0" applyFont="1" applyFill="1" applyBorder="1" applyAlignment="1">
      <alignment horizontal="center" vertical="center" wrapText="1" readingOrder="1"/>
    </xf>
    <xf numFmtId="0" fontId="13" fillId="11" borderId="13" xfId="0" applyFont="1" applyFill="1" applyBorder="1" applyAlignment="1">
      <alignment horizontal="center" wrapText="1"/>
    </xf>
    <xf numFmtId="0" fontId="13" fillId="11" borderId="14" xfId="0" applyFont="1" applyFill="1" applyBorder="1" applyAlignment="1">
      <alignment horizontal="center" wrapText="1"/>
    </xf>
    <xf numFmtId="0" fontId="13" fillId="11" borderId="15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170" fontId="18" fillId="0" borderId="0" xfId="0" applyNumberFormat="1" applyFont="1"/>
    <xf numFmtId="175" fontId="18" fillId="0" borderId="0" xfId="0" applyNumberFormat="1" applyFont="1"/>
    <xf numFmtId="166" fontId="18" fillId="0" borderId="0" xfId="1" applyNumberFormat="1" applyFont="1"/>
    <xf numFmtId="174" fontId="18" fillId="6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325"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rgb="FFC6E0B4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C6E0B4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C6E0B4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C6E0B4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C6E0B4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2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externalLink" Target="externalLinks/externalLink3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46" Type="http://schemas.openxmlformats.org/officeDocument/2006/relationships/externalLink" Target="externalLinks/externalLink3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3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4" Type="http://schemas.openxmlformats.org/officeDocument/2006/relationships/externalLink" Target="externalLinks/externalLink3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3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[1]Sheet1!$A$2:$A$6</c:f>
              <c:numCache>
                <c:formatCode>General</c:formatCode>
                <c:ptCount val="5"/>
              </c:numCache>
            </c:numRef>
          </c:cat>
          <c:val>
            <c:numRef>
              <c:f>[1]Sheet1!$B$2:$B$6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[1]Sheet1!$C$1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[1]Sheet1!$A$2:$A$6</c:f>
              <c:numCache>
                <c:formatCode>General</c:formatCode>
                <c:ptCount val="5"/>
              </c:numCache>
            </c:numRef>
          </c:cat>
          <c:val>
            <c:numRef>
              <c:f>[1]Sheet1!$C$2:$C$6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strRef>
              <c:f>[1]Sheet1!$D$1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[1]Sheet1!$A$2:$A$6</c:f>
              <c:numCache>
                <c:formatCode>General</c:formatCode>
                <c:ptCount val="5"/>
              </c:numCache>
            </c:numRef>
          </c:cat>
          <c:val>
            <c:numRef>
              <c:f>[1]Sheet1!$D$2:$D$6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16968"/>
        <c:axId val="201817752"/>
      </c:areaChart>
      <c:catAx>
        <c:axId val="201816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817752"/>
        <c:crosses val="autoZero"/>
        <c:auto val="1"/>
        <c:lblAlgn val="ctr"/>
        <c:lblOffset val="100"/>
        <c:noMultiLvlLbl val="0"/>
      </c:catAx>
      <c:valAx>
        <c:axId val="201817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81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Data_Chart!$R$38</c:f>
              <c:strCache>
                <c:ptCount val="1"/>
                <c:pt idx="0">
                  <c:v>Actual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Data_Chart!$D$35:$O$35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Data_Chart!$S$38:$AD$38</c:f>
              <c:numCache>
                <c:formatCode>0%</c:formatCode>
                <c:ptCount val="12"/>
                <c:pt idx="0">
                  <c:v>0.61538461538461542</c:v>
                </c:pt>
                <c:pt idx="1">
                  <c:v>0.67532467532467533</c:v>
                </c:pt>
                <c:pt idx="2">
                  <c:v>0.67816091954022983</c:v>
                </c:pt>
                <c:pt idx="3">
                  <c:v>0.72115384615384615</c:v>
                </c:pt>
                <c:pt idx="4">
                  <c:v>0.58627858627858631</c:v>
                </c:pt>
                <c:pt idx="5">
                  <c:v>0.5252525252525253</c:v>
                </c:pt>
                <c:pt idx="6">
                  <c:v>1.1554404145077721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6216792"/>
        <c:axId val="246210128"/>
      </c:barChart>
      <c:lineChart>
        <c:grouping val="stacked"/>
        <c:varyColors val="0"/>
        <c:ser>
          <c:idx val="0"/>
          <c:order val="0"/>
          <c:tx>
            <c:strRef>
              <c:f>Data_Chart!$R$36</c:f>
              <c:strCache>
                <c:ptCount val="1"/>
                <c:pt idx="0">
                  <c:v>Actual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A5A5A5">
                  <a:lumMod val="75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Data_Chart!$S$35:$AD$35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Data_Chart!$S$36:$AD$36</c:f>
              <c:numCache>
                <c:formatCode>0%</c:formatCode>
                <c:ptCount val="12"/>
                <c:pt idx="0">
                  <c:v>0.71084337349397586</c:v>
                </c:pt>
                <c:pt idx="1">
                  <c:v>0.68724279835390945</c:v>
                </c:pt>
                <c:pt idx="2">
                  <c:v>0.76694915254237284</c:v>
                </c:pt>
                <c:pt idx="3">
                  <c:v>0.73029045643153523</c:v>
                </c:pt>
                <c:pt idx="4">
                  <c:v>0.72103004291845496</c:v>
                </c:pt>
                <c:pt idx="5">
                  <c:v>0.6791666666666667</c:v>
                </c:pt>
                <c:pt idx="6">
                  <c:v>0.79234972677595628</c:v>
                </c:pt>
                <c:pt idx="7">
                  <c:v>0.75634517766497467</c:v>
                </c:pt>
                <c:pt idx="8">
                  <c:v>0.69620253164556967</c:v>
                </c:pt>
                <c:pt idx="9">
                  <c:v>0.65277777777777779</c:v>
                </c:pt>
                <c:pt idx="10">
                  <c:v>0.66050808314087761</c:v>
                </c:pt>
                <c:pt idx="11">
                  <c:v>0.8044554455445545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16792"/>
        <c:axId val="246210128"/>
      </c:lineChart>
      <c:scatterChart>
        <c:scatterStyle val="lineMarker"/>
        <c:varyColors val="0"/>
        <c:ser>
          <c:idx val="1"/>
          <c:order val="1"/>
          <c:tx>
            <c:strRef>
              <c:f>Data_Chart!$R$37</c:f>
              <c:strCache>
                <c:ptCount val="1"/>
                <c:pt idx="0">
                  <c:v>Plan 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strRef>
              <c:f>Data_Chart!$S$35:$AD$35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Data_Chart!$S$37:$AD$37</c:f>
              <c:numCache>
                <c:formatCode>0%</c:formatCode>
                <c:ptCount val="12"/>
                <c:pt idx="0">
                  <c:v>0.77794085670798008</c:v>
                </c:pt>
                <c:pt idx="1">
                  <c:v>0.58958469232441835</c:v>
                </c:pt>
                <c:pt idx="2">
                  <c:v>0.84170367628916842</c:v>
                </c:pt>
                <c:pt idx="3">
                  <c:v>0.75471491228070176</c:v>
                </c:pt>
                <c:pt idx="4">
                  <c:v>0.79516129032258065</c:v>
                </c:pt>
                <c:pt idx="5">
                  <c:v>0.8617943548387097</c:v>
                </c:pt>
                <c:pt idx="6">
                  <c:v>0.73171390013495285</c:v>
                </c:pt>
                <c:pt idx="7">
                  <c:v>0.7836707152496627</c:v>
                </c:pt>
                <c:pt idx="8">
                  <c:v>0.82510121457489871</c:v>
                </c:pt>
                <c:pt idx="9">
                  <c:v>0.76939040207522702</c:v>
                </c:pt>
                <c:pt idx="10">
                  <c:v>0.82068741893644614</c:v>
                </c:pt>
                <c:pt idx="11">
                  <c:v>0.86044098573281447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16792"/>
        <c:axId val="246210128"/>
      </c:scatterChart>
      <c:catAx>
        <c:axId val="24621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0128"/>
        <c:crosses val="autoZero"/>
        <c:auto val="1"/>
        <c:lblAlgn val="ctr"/>
        <c:lblOffset val="100"/>
        <c:noMultiLvlLbl val="0"/>
      </c:catAx>
      <c:valAx>
        <c:axId val="246210128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</a:t>
            </a:r>
            <a:r>
              <a:rPr lang="en-US" baseline="0"/>
              <a:t> (APE/Manpower)</a:t>
            </a:r>
            <a:endParaRPr lang="en-US"/>
          </a:p>
        </c:rich>
      </c:tx>
      <c:layout>
        <c:manualLayout>
          <c:xMode val="edge"/>
          <c:yMode val="edge"/>
          <c:x val="0.28993997278118011"/>
          <c:y val="3.0126859142607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63068216286837"/>
          <c:y val="7.6090579918386109E-2"/>
          <c:w val="0.85685103794013873"/>
          <c:h val="0.71060673985094924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Data_Chart!$R$43</c:f>
              <c:strCache>
                <c:ptCount val="1"/>
                <c:pt idx="0">
                  <c:v>Actual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Data_Chart!$D$40:$O$40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Data_Chart!$S$43:$AD$43</c:f>
              <c:numCache>
                <c:formatCode>_(* #,##0.0_);_(* \(#,##0.0\);_(* "-"??_);_(@_)</c:formatCode>
                <c:ptCount val="12"/>
                <c:pt idx="0">
                  <c:v>31.270899204244035</c:v>
                </c:pt>
                <c:pt idx="1">
                  <c:v>56.526516883116884</c:v>
                </c:pt>
                <c:pt idx="2">
                  <c:v>69.272206896551751</c:v>
                </c:pt>
                <c:pt idx="3">
                  <c:v>55.505024038461549</c:v>
                </c:pt>
                <c:pt idx="4">
                  <c:v>41.522037422037414</c:v>
                </c:pt>
                <c:pt idx="5">
                  <c:v>33.402969696969699</c:v>
                </c:pt>
                <c:pt idx="6">
                  <c:v>96.678108808290162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6215224"/>
        <c:axId val="246210520"/>
      </c:barChart>
      <c:lineChart>
        <c:grouping val="stacked"/>
        <c:varyColors val="0"/>
        <c:ser>
          <c:idx val="0"/>
          <c:order val="0"/>
          <c:tx>
            <c:strRef>
              <c:f>Data_Chart!$R$41</c:f>
              <c:strCache>
                <c:ptCount val="1"/>
                <c:pt idx="0">
                  <c:v>Actual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Data_Chart!$S$40:$AD$40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Data_Chart!$S$41:$AD$41</c:f>
              <c:numCache>
                <c:formatCode>_(* #,##0.0_);_(* \(#,##0.0\);_(* "-"??_);_(@_)</c:formatCode>
                <c:ptCount val="12"/>
                <c:pt idx="0">
                  <c:v>30.543546184738958</c:v>
                </c:pt>
                <c:pt idx="1">
                  <c:v>41.306526748971237</c:v>
                </c:pt>
                <c:pt idx="2">
                  <c:v>65.351203389830502</c:v>
                </c:pt>
                <c:pt idx="3">
                  <c:v>52.524116182572612</c:v>
                </c:pt>
                <c:pt idx="4">
                  <c:v>69.367042918454928</c:v>
                </c:pt>
                <c:pt idx="5">
                  <c:v>68.311141666666657</c:v>
                </c:pt>
                <c:pt idx="6">
                  <c:v>70.257513661202182</c:v>
                </c:pt>
                <c:pt idx="7">
                  <c:v>51.183855329949246</c:v>
                </c:pt>
                <c:pt idx="8">
                  <c:v>53.757982278480959</c:v>
                </c:pt>
                <c:pt idx="9">
                  <c:v>43.133869047619051</c:v>
                </c:pt>
                <c:pt idx="10">
                  <c:v>37.998191685912239</c:v>
                </c:pt>
                <c:pt idx="11">
                  <c:v>74.465150990099019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15224"/>
        <c:axId val="246210520"/>
      </c:lineChart>
      <c:scatterChart>
        <c:scatterStyle val="lineMarker"/>
        <c:varyColors val="0"/>
        <c:ser>
          <c:idx val="1"/>
          <c:order val="1"/>
          <c:tx>
            <c:strRef>
              <c:f>Data_Chart!$R$42</c:f>
              <c:strCache>
                <c:ptCount val="1"/>
                <c:pt idx="0">
                  <c:v>Plan 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strRef>
              <c:f>Data_Chart!$S$40:$AD$40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Data_Chart!$S$42:$AD$42</c:f>
              <c:numCache>
                <c:formatCode>_(* #,##0.0_);_(* \(#,##0.0\);_(* "-"??_);_(@_)</c:formatCode>
                <c:ptCount val="12"/>
                <c:pt idx="0">
                  <c:v>41.561428571428571</c:v>
                </c:pt>
                <c:pt idx="1">
                  <c:v>20.935006653620352</c:v>
                </c:pt>
                <c:pt idx="2">
                  <c:v>55.798667653589931</c:v>
                </c:pt>
                <c:pt idx="3">
                  <c:v>49.023410087719299</c:v>
                </c:pt>
                <c:pt idx="4">
                  <c:v>55.137353830645161</c:v>
                </c:pt>
                <c:pt idx="5">
                  <c:v>63.435242540322584</c:v>
                </c:pt>
                <c:pt idx="6">
                  <c:v>28.798846153846153</c:v>
                </c:pt>
                <c:pt idx="7">
                  <c:v>33.378340080971661</c:v>
                </c:pt>
                <c:pt idx="8">
                  <c:v>36.907490842490844</c:v>
                </c:pt>
                <c:pt idx="9">
                  <c:v>31.096400778210114</c:v>
                </c:pt>
                <c:pt idx="10">
                  <c:v>35.479961089494161</c:v>
                </c:pt>
                <c:pt idx="11">
                  <c:v>38.703599221789879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15224"/>
        <c:axId val="246210520"/>
      </c:scatterChart>
      <c:catAx>
        <c:axId val="24621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0520"/>
        <c:crosses val="autoZero"/>
        <c:auto val="1"/>
        <c:lblAlgn val="ctr"/>
        <c:lblOffset val="100"/>
        <c:noMultiLvlLbl val="0"/>
      </c:catAx>
      <c:valAx>
        <c:axId val="246210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Billion VND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Data_Chart!$R$18</c:f>
              <c:strCache>
                <c:ptCount val="1"/>
                <c:pt idx="0">
                  <c:v>Actual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Data_Chart!$D$15:$O$15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Data_Chart!$S$18:$AD$18</c:f>
              <c:numCache>
                <c:formatCode>_(* #,##0_);_(* \(#,##0\);_(* "-"??_);_(@_)</c:formatCode>
                <c:ptCount val="12"/>
                <c:pt idx="0">
                  <c:v>11789.129000000001</c:v>
                </c:pt>
                <c:pt idx="1">
                  <c:v>21762.708999999999</c:v>
                </c:pt>
                <c:pt idx="2">
                  <c:v>30133.410000000011</c:v>
                </c:pt>
                <c:pt idx="3">
                  <c:v>23090.090000000004</c:v>
                </c:pt>
                <c:pt idx="4">
                  <c:v>19972.099999999995</c:v>
                </c:pt>
                <c:pt idx="5">
                  <c:v>16534.47</c:v>
                </c:pt>
                <c:pt idx="6">
                  <c:v>18658.875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6217184"/>
        <c:axId val="246212480"/>
      </c:barChart>
      <c:lineChart>
        <c:grouping val="stacked"/>
        <c:varyColors val="0"/>
        <c:ser>
          <c:idx val="0"/>
          <c:order val="0"/>
          <c:tx>
            <c:strRef>
              <c:f>Data_Chart!$R$16</c:f>
              <c:strCache>
                <c:ptCount val="1"/>
                <c:pt idx="0">
                  <c:v>Actual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A5A5A5">
                  <a:lumMod val="75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Data_Chart!$S$15:$AD$15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Data_Chart!$S$16:$AD$16</c:f>
              <c:numCache>
                <c:formatCode>_(* #,##0_);_(* \(#,##0\);_(* "-"??_);_(@_)</c:formatCode>
                <c:ptCount val="12"/>
                <c:pt idx="0">
                  <c:v>7605.3430000000008</c:v>
                </c:pt>
                <c:pt idx="1">
                  <c:v>10037.48600000001</c:v>
                </c:pt>
                <c:pt idx="2">
                  <c:v>15422.884</c:v>
                </c:pt>
                <c:pt idx="3">
                  <c:v>12658.312</c:v>
                </c:pt>
                <c:pt idx="4">
                  <c:v>16162.520999999999</c:v>
                </c:pt>
                <c:pt idx="5">
                  <c:v>16394.673999999999</c:v>
                </c:pt>
                <c:pt idx="6">
                  <c:v>12857.125</c:v>
                </c:pt>
                <c:pt idx="7">
                  <c:v>20166.439000000002</c:v>
                </c:pt>
                <c:pt idx="8">
                  <c:v>21234.40299999998</c:v>
                </c:pt>
                <c:pt idx="9">
                  <c:v>21739.47</c:v>
                </c:pt>
                <c:pt idx="10">
                  <c:v>16453.217000000001</c:v>
                </c:pt>
                <c:pt idx="11">
                  <c:v>30083.921000000002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17184"/>
        <c:axId val="246212480"/>
      </c:lineChart>
      <c:scatterChart>
        <c:scatterStyle val="lineMarker"/>
        <c:varyColors val="0"/>
        <c:ser>
          <c:idx val="1"/>
          <c:order val="1"/>
          <c:tx>
            <c:strRef>
              <c:f>Data_Chart!$R$17</c:f>
              <c:strCache>
                <c:ptCount val="1"/>
                <c:pt idx="0">
                  <c:v>Plan 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strRef>
              <c:f>Data_Chart!$S$15:$AD$15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Data_Chart!$S$17:$AD$17</c:f>
              <c:numCache>
                <c:formatCode>_(* #,##0_);_(* \(#,##0\);_(* "-"??_);_(@_)</c:formatCode>
                <c:ptCount val="12"/>
                <c:pt idx="0">
                  <c:v>15169.92142857143</c:v>
                </c:pt>
                <c:pt idx="1">
                  <c:v>7641.2774285714286</c:v>
                </c:pt>
                <c:pt idx="2">
                  <c:v>21538.285714285714</c:v>
                </c:pt>
                <c:pt idx="3">
                  <c:v>22354.674999999999</c:v>
                </c:pt>
                <c:pt idx="4">
                  <c:v>27348.127499999999</c:v>
                </c:pt>
                <c:pt idx="5">
                  <c:v>31463.880300000001</c:v>
                </c:pt>
                <c:pt idx="6">
                  <c:v>42135.912777060003</c:v>
                </c:pt>
                <c:pt idx="7">
                  <c:v>24733.35</c:v>
                </c:pt>
                <c:pt idx="8">
                  <c:v>27348.450714285715</c:v>
                </c:pt>
                <c:pt idx="9">
                  <c:v>23975.325000000001</c:v>
                </c:pt>
                <c:pt idx="10">
                  <c:v>27355.049999999996</c:v>
                </c:pt>
                <c:pt idx="11">
                  <c:v>29840.474999999999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17184"/>
        <c:axId val="246212480"/>
      </c:scatterChart>
      <c:catAx>
        <c:axId val="2462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2480"/>
        <c:crosses val="autoZero"/>
        <c:auto val="1"/>
        <c:lblAlgn val="ctr"/>
        <c:lblOffset val="100"/>
        <c:noMultiLvlLbl val="0"/>
      </c:catAx>
      <c:valAx>
        <c:axId val="246212480"/>
        <c:scaling>
          <c:orientation val="minMax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Data_Chart!$R$3</c:f>
              <c:strCache>
                <c:ptCount val="1"/>
                <c:pt idx="0">
                  <c:v>APE Achievement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Data_Chart!$S$2:$AD$2</c15:sqref>
                  </c15:fullRef>
                </c:ext>
              </c:extLst>
              <c:f>Data_Chart!$S$2:$Y$2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Data_Chart!$S$3:$AD$3</c15:sqref>
                  </c15:fullRef>
                </c:ext>
              </c:extLst>
              <c:f>Data_Chart!$S$3:$Y$3</c:f>
              <c:numCache>
                <c:formatCode>0%</c:formatCode>
                <c:ptCount val="7"/>
                <c:pt idx="0">
                  <c:v>0.77713843512703007</c:v>
                </c:pt>
                <c:pt idx="1">
                  <c:v>2.8480459194724772</c:v>
                </c:pt>
                <c:pt idx="2">
                  <c:v>1.3990625994906085</c:v>
                </c:pt>
                <c:pt idx="3">
                  <c:v>1.0328975930090687</c:v>
                </c:pt>
                <c:pt idx="4">
                  <c:v>0.73029131519150614</c:v>
                </c:pt>
                <c:pt idx="5">
                  <c:v>0.52550638517398629</c:v>
                </c:pt>
                <c:pt idx="6">
                  <c:v>0.44282593565075029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246210912"/>
        <c:axId val="246212088"/>
      </c:barChart>
      <c:catAx>
        <c:axId val="24621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2088"/>
        <c:crosses val="autoZero"/>
        <c:auto val="1"/>
        <c:lblAlgn val="ctr"/>
        <c:lblOffset val="100"/>
        <c:noMultiLvlLbl val="0"/>
      </c:catAx>
      <c:valAx>
        <c:axId val="24621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 Contribution by Bank</a:t>
            </a:r>
            <a:endParaRPr lang="vi-V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Data_Chart!$R$7</c:f>
              <c:strCache>
                <c:ptCount val="1"/>
                <c:pt idx="0">
                  <c:v>TCB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Data_Chart!$S$5:$AE$5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YTD</c:v>
                </c:pt>
              </c:strCache>
            </c:strRef>
          </c:cat>
          <c:val>
            <c:numRef>
              <c:f>Data_Chart!$S$7:$AE$7</c:f>
              <c:numCache>
                <c:formatCode>0%;;""</c:formatCode>
                <c:ptCount val="13"/>
                <c:pt idx="0">
                  <c:v>0.80686037110968922</c:v>
                </c:pt>
                <c:pt idx="1">
                  <c:v>0.85348207339444737</c:v>
                </c:pt>
                <c:pt idx="2">
                  <c:v>0.75481135390916598</c:v>
                </c:pt>
                <c:pt idx="3">
                  <c:v>0.76932268345424382</c:v>
                </c:pt>
                <c:pt idx="4">
                  <c:v>0.75018851297560107</c:v>
                </c:pt>
                <c:pt idx="5">
                  <c:v>0.81903139320462037</c:v>
                </c:pt>
                <c:pt idx="6">
                  <c:v>0.82392094914618375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0.7925386814302694</c:v>
                </c:pt>
              </c:numCache>
            </c:numRef>
          </c:val>
        </c:ser>
        <c:ser>
          <c:idx val="3"/>
          <c:order val="1"/>
          <c:tx>
            <c:strRef>
              <c:f>Data_Chart!$R$8</c:f>
              <c:strCache>
                <c:ptCount val="1"/>
                <c:pt idx="0">
                  <c:v>EIB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Data_Chart!$S$5:$AE$5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YTD</c:v>
                </c:pt>
              </c:strCache>
            </c:strRef>
          </c:cat>
          <c:val>
            <c:numRef>
              <c:f>Data_Chart!$S$8:$AE$8</c:f>
              <c:numCache>
                <c:formatCode>0%;;""</c:formatCode>
                <c:ptCount val="13"/>
                <c:pt idx="0">
                  <c:v>0.19623612567137061</c:v>
                </c:pt>
                <c:pt idx="1">
                  <c:v>0.13677810055724224</c:v>
                </c:pt>
                <c:pt idx="2">
                  <c:v>0.21012689901342058</c:v>
                </c:pt>
                <c:pt idx="3">
                  <c:v>0.18098716808812784</c:v>
                </c:pt>
                <c:pt idx="4">
                  <c:v>0.18379289108306093</c:v>
                </c:pt>
                <c:pt idx="5">
                  <c:v>8.5546739629392396E-2</c:v>
                </c:pt>
                <c:pt idx="6">
                  <c:v>0.12559406716642885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0.16365704421963068</c:v>
                </c:pt>
              </c:numCache>
            </c:numRef>
          </c:val>
        </c:ser>
        <c:ser>
          <c:idx val="2"/>
          <c:order val="2"/>
          <c:tx>
            <c:strRef>
              <c:f>Data_Chart!$R$10</c:f>
              <c:strCache>
                <c:ptCount val="1"/>
                <c:pt idx="0">
                  <c:v>OCB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Data_Chart!$S$10:$AE$10</c:f>
              <c:numCache>
                <c:formatCode>0%;;""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2.4135668681373922E-2</c:v>
                </c:pt>
                <c:pt idx="3">
                  <c:v>3.6594487072159516E-2</c:v>
                </c:pt>
                <c:pt idx="4">
                  <c:v>4.5150985624946814E-2</c:v>
                </c:pt>
                <c:pt idx="5">
                  <c:v>8.2822128559306707E-2</c:v>
                </c:pt>
                <c:pt idx="6">
                  <c:v>3.2667028424811249E-2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3.1372026459794852E-2</c:v>
                </c:pt>
              </c:numCache>
            </c:numRef>
          </c:val>
        </c:ser>
        <c:ser>
          <c:idx val="1"/>
          <c:order val="3"/>
          <c:tx>
            <c:strRef>
              <c:f>Data_Chart!$R$11</c:f>
              <c:strCache>
                <c:ptCount val="1"/>
                <c:pt idx="0">
                  <c:v>CMG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Data_Chart!$S$5:$AE$5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YTD</c:v>
                </c:pt>
              </c:strCache>
            </c:strRef>
          </c:cat>
          <c:val>
            <c:numRef>
              <c:f>Data_Chart!$S$11:$AE$11</c:f>
              <c:numCache>
                <c:formatCode>0%;;""</c:formatCode>
                <c:ptCount val="13"/>
                <c:pt idx="0">
                  <c:v>2.8794323991195615E-3</c:v>
                </c:pt>
                <c:pt idx="1">
                  <c:v>9.7398260483104373E-3</c:v>
                </c:pt>
                <c:pt idx="2">
                  <c:v>1.0926078396039476E-2</c:v>
                </c:pt>
                <c:pt idx="3">
                  <c:v>1.3841435871406304E-2</c:v>
                </c:pt>
                <c:pt idx="4">
                  <c:v>1.7067308895909798E-2</c:v>
                </c:pt>
                <c:pt idx="5">
                  <c:v>5.5121210416783839E-3</c:v>
                </c:pt>
                <c:pt idx="6">
                  <c:v>9.10896289299328E-3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1.0544707224843195E-2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213656"/>
        <c:axId val="246212872"/>
      </c:barChart>
      <c:catAx>
        <c:axId val="24621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2872"/>
        <c:crosses val="autoZero"/>
        <c:auto val="1"/>
        <c:lblAlgn val="ctr"/>
        <c:lblOffset val="100"/>
        <c:noMultiLvlLbl val="0"/>
      </c:catAx>
      <c:valAx>
        <c:axId val="246212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;&quot;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Productivity (APE/IO, IS)</a:t>
            </a:r>
            <a:endParaRPr lang="en-US" sz="1400" b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Data!$A$181</c:f>
              <c:strCache>
                <c:ptCount val="1"/>
                <c:pt idx="0">
                  <c:v>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Data!$AN$3:$AT$3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Data!$AN$181:$AY$181</c15:sqref>
                  </c15:fullRef>
                </c:ext>
              </c:extLst>
              <c:f>Data!$AN$181:$AT$181</c:f>
              <c:numCache>
                <c:formatCode>#,##0.0</c:formatCode>
                <c:ptCount val="7"/>
                <c:pt idx="0">
                  <c:v>24.345255663430425</c:v>
                </c:pt>
                <c:pt idx="1">
                  <c:v>42.363748466257661</c:v>
                </c:pt>
                <c:pt idx="2">
                  <c:v>57.894720116618075</c:v>
                </c:pt>
                <c:pt idx="3">
                  <c:v>39.492709375000004</c:v>
                </c:pt>
                <c:pt idx="4">
                  <c:v>28.580240409207164</c:v>
                </c:pt>
                <c:pt idx="5">
                  <c:v>23.350113801452789</c:v>
                </c:pt>
                <c:pt idx="6">
                  <c:v>28.089562674094704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Data!$A$182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Data!$AN$3:$AT$3</c:f>
              <c:strCache>
                <c:ptCount val="7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Data!$AN$182:$AY$182</c15:sqref>
                  </c15:fullRef>
                </c:ext>
              </c:extLst>
              <c:f>Data!$AN$182:$AT$182</c:f>
              <c:numCache>
                <c:formatCode>#,##0.0</c:formatCode>
                <c:ptCount val="7"/>
                <c:pt idx="0">
                  <c:v>62.741838235294125</c:v>
                </c:pt>
                <c:pt idx="1">
                  <c:v>115.24821739130434</c:v>
                </c:pt>
                <c:pt idx="2">
                  <c:v>95.143555555555565</c:v>
                </c:pt>
                <c:pt idx="3">
                  <c:v>108.87936458333336</c:v>
                </c:pt>
                <c:pt idx="4">
                  <c:v>106.01940384615385</c:v>
                </c:pt>
                <c:pt idx="5">
                  <c:v>74.900619565217383</c:v>
                </c:pt>
                <c:pt idx="6">
                  <c:v>83.270257425742571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556248"/>
        <c:axId val="246560168"/>
      </c:lineChart>
      <c:catAx>
        <c:axId val="24655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60168"/>
        <c:crosses val="autoZero"/>
        <c:auto val="1"/>
        <c:lblAlgn val="ctr"/>
        <c:lblOffset val="100"/>
        <c:noMultiLvlLbl val="0"/>
      </c:catAx>
      <c:valAx>
        <c:axId val="2465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5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APE </a:t>
            </a:r>
            <a:r>
              <a:rPr lang="en-US" sz="1400" b="0" i="0" u="none" strike="noStrike" baseline="0">
                <a:effectLst/>
              </a:rPr>
              <a:t>by Tenor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Data!$A$220</c:f>
              <c:strCache>
                <c:ptCount val="1"/>
                <c:pt idx="0">
                  <c:v>1. &lt; 6M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Data!$AN$185:$AY$185</c15:sqref>
                  </c15:fullRef>
                </c:ext>
              </c:extLst>
              <c:f>Data!$AN$185:$AX$185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Data!$AN$220:$AY$220</c15:sqref>
                  </c15:fullRef>
                </c:ext>
              </c:extLst>
              <c:f>Data!$AN$220:$AX$220</c:f>
              <c:numCache>
                <c:formatCode>#,##0</c:formatCode>
                <c:ptCount val="11"/>
                <c:pt idx="0">
                  <c:v>2331.5480000000002</c:v>
                </c:pt>
                <c:pt idx="1">
                  <c:v>3386.1330000000003</c:v>
                </c:pt>
                <c:pt idx="2">
                  <c:v>4609.6809999999996</c:v>
                </c:pt>
                <c:pt idx="3">
                  <c:v>5606.4529999999995</c:v>
                </c:pt>
                <c:pt idx="4">
                  <c:v>5392.5050000000001</c:v>
                </c:pt>
                <c:pt idx="5">
                  <c:v>4491.6509999999998</c:v>
                </c:pt>
                <c:pt idx="6">
                  <c:v>4897.7099999999991</c:v>
                </c:pt>
              </c:numCache>
            </c:numRef>
          </c:val>
        </c:ser>
        <c:ser>
          <c:idx val="3"/>
          <c:order val="1"/>
          <c:tx>
            <c:strRef>
              <c:f>Data!$A$221</c:f>
              <c:strCache>
                <c:ptCount val="1"/>
                <c:pt idx="0">
                  <c:v>2. 6M - 12M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Data!$AN$185:$AY$185</c15:sqref>
                  </c15:fullRef>
                </c:ext>
              </c:extLst>
              <c:f>Data!$AN$185:$AX$185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Data!$AN$221:$AY$221</c15:sqref>
                  </c15:fullRef>
                </c:ext>
              </c:extLst>
              <c:f>Data!$AN$221:$AX$221</c:f>
              <c:numCache>
                <c:formatCode>#,##0</c:formatCode>
                <c:ptCount val="11"/>
                <c:pt idx="0">
                  <c:v>2712.578</c:v>
                </c:pt>
                <c:pt idx="1">
                  <c:v>5048.3209999999999</c:v>
                </c:pt>
                <c:pt idx="2">
                  <c:v>9462.9250000000084</c:v>
                </c:pt>
                <c:pt idx="3">
                  <c:v>5609.4080000000004</c:v>
                </c:pt>
                <c:pt idx="4">
                  <c:v>4838.665</c:v>
                </c:pt>
                <c:pt idx="5">
                  <c:v>3277.0050000000001</c:v>
                </c:pt>
                <c:pt idx="6">
                  <c:v>3467.1730000000002</c:v>
                </c:pt>
              </c:numCache>
            </c:numRef>
          </c:val>
        </c:ser>
        <c:ser>
          <c:idx val="4"/>
          <c:order val="2"/>
          <c:tx>
            <c:strRef>
              <c:f>Data!$A$222</c:f>
              <c:strCache>
                <c:ptCount val="1"/>
                <c:pt idx="0">
                  <c:v>3. 12M+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Data!$AN$185:$AY$185</c15:sqref>
                  </c15:fullRef>
                </c:ext>
              </c:extLst>
              <c:f>Data!$AN$185:$AX$185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Data!$AN$222:$AY$222</c15:sqref>
                  </c15:fullRef>
                </c:ext>
              </c:extLst>
              <c:f>Data!$AN$222:$AX$222</c:f>
              <c:numCache>
                <c:formatCode>#,##0</c:formatCode>
                <c:ptCount val="11"/>
                <c:pt idx="0">
                  <c:v>6780.9749999999995</c:v>
                </c:pt>
                <c:pt idx="1">
                  <c:v>13328.254999999999</c:v>
                </c:pt>
                <c:pt idx="2">
                  <c:v>16060.787</c:v>
                </c:pt>
                <c:pt idx="3">
                  <c:v>11874.225</c:v>
                </c:pt>
                <c:pt idx="4">
                  <c:v>9740.91500000003</c:v>
                </c:pt>
                <c:pt idx="5">
                  <c:v>8765.7979999999898</c:v>
                </c:pt>
                <c:pt idx="6">
                  <c:v>10131.492000000009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562128"/>
        <c:axId val="246557032"/>
        <c:extLst/>
      </c:barChart>
      <c:lineChart>
        <c:grouping val="standard"/>
        <c:varyColors val="0"/>
        <c:ser>
          <c:idx val="5"/>
          <c:order val="3"/>
          <c:tx>
            <c:strRef>
              <c:f>Data!$A$225</c:f>
              <c:strCache>
                <c:ptCount val="1"/>
                <c:pt idx="0">
                  <c:v>% &lt; 6M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Data!$AN$225:$AY$225</c15:sqref>
                  </c15:fullRef>
                </c:ext>
              </c:extLst>
              <c:f>Data!$AN$225:$AX$225</c:f>
              <c:numCache>
                <c:formatCode>0%</c:formatCode>
                <c:ptCount val="11"/>
                <c:pt idx="0">
                  <c:v>0.1971693941557032</c:v>
                </c:pt>
                <c:pt idx="1">
                  <c:v>0.15559335926423501</c:v>
                </c:pt>
                <c:pt idx="2">
                  <c:v>0.15297583647483701</c:v>
                </c:pt>
                <c:pt idx="3">
                  <c:v>0.2428101141860243</c:v>
                </c:pt>
                <c:pt idx="4">
                  <c:v>0.2700021054386656</c:v>
                </c:pt>
                <c:pt idx="5">
                  <c:v>0.27165402619282153</c:v>
                </c:pt>
                <c:pt idx="6">
                  <c:v>0.26479296618932074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Data!$A$226</c:f>
              <c:strCache>
                <c:ptCount val="1"/>
                <c:pt idx="0">
                  <c:v>% 6M - 12M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3.0954983167313765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Data!$AN$226:$AY$226</c15:sqref>
                  </c15:fullRef>
                </c:ext>
              </c:extLst>
              <c:f>Data!$AN$226:$AX$226</c:f>
              <c:numCache>
                <c:formatCode>0%</c:formatCode>
                <c:ptCount val="11"/>
                <c:pt idx="0">
                  <c:v>0.22939152908715113</c:v>
                </c:pt>
                <c:pt idx="1">
                  <c:v>0.23197116682486543</c:v>
                </c:pt>
                <c:pt idx="2">
                  <c:v>0.31403449986531567</c:v>
                </c:pt>
                <c:pt idx="3">
                  <c:v>0.24293809240815867</c:v>
                </c:pt>
                <c:pt idx="4">
                  <c:v>0.24227140030697808</c:v>
                </c:pt>
                <c:pt idx="5">
                  <c:v>0.19819251364453896</c:v>
                </c:pt>
                <c:pt idx="6">
                  <c:v>0.18745148711571855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Data!$A$227</c:f>
              <c:strCache>
                <c:ptCount val="1"/>
                <c:pt idx="0">
                  <c:v>% 12M+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Data!$AN$227:$AY$227</c15:sqref>
                  </c15:fullRef>
                </c:ext>
              </c:extLst>
              <c:f>Data!$AN$227:$AX$227</c:f>
              <c:numCache>
                <c:formatCode>0%</c:formatCode>
                <c:ptCount val="11"/>
                <c:pt idx="0">
                  <c:v>0.57343907675714556</c:v>
                </c:pt>
                <c:pt idx="1">
                  <c:v>0.61243547391089959</c:v>
                </c:pt>
                <c:pt idx="2">
                  <c:v>0.53298966365984723</c:v>
                </c:pt>
                <c:pt idx="3">
                  <c:v>0.51426132139528224</c:v>
                </c:pt>
                <c:pt idx="4">
                  <c:v>0.48772649425435621</c:v>
                </c:pt>
                <c:pt idx="5">
                  <c:v>0.53015346016263942</c:v>
                </c:pt>
                <c:pt idx="6">
                  <c:v>0.54775554669496074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62880"/>
        <c:axId val="274065624"/>
      </c:lineChart>
      <c:catAx>
        <c:axId val="2465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57032"/>
        <c:crosses val="autoZero"/>
        <c:auto val="1"/>
        <c:lblAlgn val="ctr"/>
        <c:lblOffset val="100"/>
        <c:noMultiLvlLbl val="0"/>
      </c:catAx>
      <c:valAx>
        <c:axId val="2465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62128"/>
        <c:crosses val="autoZero"/>
        <c:crossBetween val="between"/>
      </c:valAx>
      <c:valAx>
        <c:axId val="27406562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2880"/>
        <c:crosses val="max"/>
        <c:crossBetween val="between"/>
      </c:valAx>
      <c:catAx>
        <c:axId val="27406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065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Data_Chart!$C$46</c:f>
          <c:strCache>
            <c:ptCount val="1"/>
            <c:pt idx="0">
              <c:v>APE Performance - TCB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Data_Chart!$R$47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Data_Chart!$S$46:$AD$46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Data_Chart!$S$47:$AD$47</c:f>
              <c:numCache>
                <c:formatCode>#,##0</c:formatCode>
                <c:ptCount val="12"/>
                <c:pt idx="0">
                  <c:v>11402.1</c:v>
                </c:pt>
                <c:pt idx="1">
                  <c:v>6051.4560000000001</c:v>
                </c:pt>
                <c:pt idx="2">
                  <c:v>16830</c:v>
                </c:pt>
                <c:pt idx="3">
                  <c:v>16514.8</c:v>
                </c:pt>
                <c:pt idx="4">
                  <c:v>19045.949999999997</c:v>
                </c:pt>
                <c:pt idx="5">
                  <c:v>21478.942800000001</c:v>
                </c:pt>
                <c:pt idx="6">
                  <c:v>20795.967777060003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Data_Chart!$R$48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Data_Chart!$S$46:$AD$46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Data_Chart!$S$48:$AD$48</c:f>
              <c:numCache>
                <c:formatCode>#,##0</c:formatCode>
                <c:ptCount val="12"/>
                <c:pt idx="0">
                  <c:v>9512.1810000000005</c:v>
                </c:pt>
                <c:pt idx="1">
                  <c:v>18574.081999999999</c:v>
                </c:pt>
                <c:pt idx="2">
                  <c:v>22745.040000000008</c:v>
                </c:pt>
                <c:pt idx="3">
                  <c:v>17763.730000000003</c:v>
                </c:pt>
                <c:pt idx="4">
                  <c:v>14982.839999999998</c:v>
                </c:pt>
                <c:pt idx="5">
                  <c:v>13542.25</c:v>
                </c:pt>
                <c:pt idx="6">
                  <c:v>15373.438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062096"/>
        <c:axId val="274058960"/>
      </c:barChart>
      <c:lineChart>
        <c:grouping val="standard"/>
        <c:varyColors val="0"/>
        <c:ser>
          <c:idx val="2"/>
          <c:order val="2"/>
          <c:tx>
            <c:strRef>
              <c:f>Data_Chart!$R$49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Data_Chart!$D$46:$O$46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Data_Chart!$S$49:$W$49</c:f>
              <c:numCache>
                <c:formatCode>0%</c:formatCode>
                <c:ptCount val="5"/>
                <c:pt idx="0">
                  <c:v>0.83424816481174524</c:v>
                </c:pt>
                <c:pt idx="1">
                  <c:v>3.0693575232142476</c:v>
                </c:pt>
                <c:pt idx="2">
                  <c:v>1.3514581105169345</c:v>
                </c:pt>
                <c:pt idx="3">
                  <c:v>1.0756248940344422</c:v>
                </c:pt>
                <c:pt idx="4">
                  <c:v>0.7866680317862853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Data_Chart!$R$50</c:f>
              <c:strCache>
                <c:ptCount val="1"/>
                <c:pt idx="0">
                  <c:v>% YTD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Data_Chart!$S$50:$W$50</c:f>
              <c:numCache>
                <c:formatCode>0%</c:formatCode>
                <c:ptCount val="5"/>
                <c:pt idx="0">
                  <c:v>0.83424816481174524</c:v>
                </c:pt>
                <c:pt idx="1">
                  <c:v>1.2058418378810676</c:v>
                </c:pt>
                <c:pt idx="2">
                  <c:v>1.2192050381765507</c:v>
                </c:pt>
                <c:pt idx="3">
                  <c:v>1.207343603100494</c:v>
                </c:pt>
                <c:pt idx="4">
                  <c:v>1.1707506987138421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64448"/>
        <c:axId val="274060920"/>
      </c:lineChart>
      <c:catAx>
        <c:axId val="2740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58960"/>
        <c:crosses val="autoZero"/>
        <c:auto val="1"/>
        <c:lblAlgn val="ctr"/>
        <c:lblOffset val="100"/>
        <c:noMultiLvlLbl val="0"/>
      </c:catAx>
      <c:valAx>
        <c:axId val="2740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2096"/>
        <c:crosses val="autoZero"/>
        <c:crossBetween val="between"/>
      </c:valAx>
      <c:valAx>
        <c:axId val="274060920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4448"/>
        <c:crosses val="max"/>
        <c:crossBetween val="between"/>
      </c:valAx>
      <c:catAx>
        <c:axId val="274064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4060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Data_Chart!$C$52</c:f>
          <c:strCache>
            <c:ptCount val="1"/>
            <c:pt idx="0">
              <c:v>APE Performance - EIB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Data_Chart!$R$53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Data_Chart!$S$52:$AD$52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Data_Chart!$S$53:$AD$53</c:f>
              <c:numCache>
                <c:formatCode>#,##0</c:formatCode>
                <c:ptCount val="12"/>
                <c:pt idx="0">
                  <c:v>3539.25</c:v>
                </c:pt>
                <c:pt idx="1">
                  <c:v>1361.25</c:v>
                </c:pt>
                <c:pt idx="2">
                  <c:v>3702.6</c:v>
                </c:pt>
                <c:pt idx="3">
                  <c:v>3430.35</c:v>
                </c:pt>
                <c:pt idx="4">
                  <c:v>4070.1374999999998</c:v>
                </c:pt>
                <c:pt idx="5">
                  <c:v>5104.6875</c:v>
                </c:pt>
                <c:pt idx="6">
                  <c:v>4608.45</c:v>
                </c:pt>
                <c:pt idx="7">
                  <c:v>5768.4</c:v>
                </c:pt>
                <c:pt idx="8">
                  <c:v>6661.875</c:v>
                </c:pt>
                <c:pt idx="9">
                  <c:v>5336.1</c:v>
                </c:pt>
                <c:pt idx="10">
                  <c:v>6679.1999999999989</c:v>
                </c:pt>
                <c:pt idx="11">
                  <c:v>7713.75</c:v>
                </c:pt>
              </c:numCache>
            </c:numRef>
          </c:val>
        </c:ser>
        <c:ser>
          <c:idx val="1"/>
          <c:order val="1"/>
          <c:tx>
            <c:strRef>
              <c:f>Data_Chart!$R$54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Data_Chart!$S$52:$AD$52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Data_Chart!$S$54:$AD$54</c:f>
              <c:numCache>
                <c:formatCode>#,##0</c:formatCode>
                <c:ptCount val="12"/>
                <c:pt idx="0">
                  <c:v>2313.453</c:v>
                </c:pt>
                <c:pt idx="1">
                  <c:v>2976.6620000000003</c:v>
                </c:pt>
                <c:pt idx="2">
                  <c:v>6331.84</c:v>
                </c:pt>
                <c:pt idx="3">
                  <c:v>4179.01</c:v>
                </c:pt>
                <c:pt idx="4">
                  <c:v>3670.7300000000005</c:v>
                </c:pt>
                <c:pt idx="5">
                  <c:v>1414.4699999999998</c:v>
                </c:pt>
                <c:pt idx="6">
                  <c:v>2343.444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064056"/>
        <c:axId val="274064840"/>
      </c:barChart>
      <c:lineChart>
        <c:grouping val="standard"/>
        <c:varyColors val="0"/>
        <c:ser>
          <c:idx val="2"/>
          <c:order val="2"/>
          <c:tx>
            <c:strRef>
              <c:f>Data_Chart!$R$55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7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Data_Chart!$D$52:$O$52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Data_Chart!$S$55:$Y$55</c:f>
              <c:numCache>
                <c:formatCode>0%</c:formatCode>
                <c:ptCount val="7"/>
                <c:pt idx="0">
                  <c:v>0.65365628311082857</c:v>
                </c:pt>
                <c:pt idx="1">
                  <c:v>2.186712213039486</c:v>
                </c:pt>
                <c:pt idx="2">
                  <c:v>1.7101064117106899</c:v>
                </c:pt>
                <c:pt idx="3">
                  <c:v>1.2182459515792849</c:v>
                </c:pt>
                <c:pt idx="4">
                  <c:v>0.9018687943589131</c:v>
                </c:pt>
                <c:pt idx="5">
                  <c:v>0.27709237832874195</c:v>
                </c:pt>
                <c:pt idx="6">
                  <c:v>0.5085102366305374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Data_Chart!$R$56</c:f>
              <c:strCache>
                <c:ptCount val="1"/>
                <c:pt idx="0">
                  <c:v>% YTD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Data_Chart!$D$52:$O$52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Data_Chart!$S$56:$Y$56</c:f>
              <c:numCache>
                <c:formatCode>0%</c:formatCode>
                <c:ptCount val="7"/>
                <c:pt idx="0">
                  <c:v>0.65365628311082857</c:v>
                </c:pt>
                <c:pt idx="1">
                  <c:v>1.0795051525354555</c:v>
                </c:pt>
                <c:pt idx="2">
                  <c:v>1.3509031628134045</c:v>
                </c:pt>
                <c:pt idx="3">
                  <c:v>1.3130868537285649</c:v>
                </c:pt>
                <c:pt idx="4">
                  <c:v>1.2091526189428285</c:v>
                </c:pt>
                <c:pt idx="5">
                  <c:v>0.98481206038680658</c:v>
                </c:pt>
                <c:pt idx="6">
                  <c:v>0.89978914831373846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65232"/>
        <c:axId val="274059352"/>
        <c:extLst/>
      </c:lineChart>
      <c:catAx>
        <c:axId val="27406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4840"/>
        <c:crosses val="autoZero"/>
        <c:auto val="1"/>
        <c:lblAlgn val="ctr"/>
        <c:lblOffset val="100"/>
        <c:noMultiLvlLbl val="0"/>
      </c:catAx>
      <c:valAx>
        <c:axId val="27406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4056"/>
        <c:crosses val="autoZero"/>
        <c:crossBetween val="between"/>
      </c:valAx>
      <c:valAx>
        <c:axId val="2740593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5232"/>
        <c:crosses val="max"/>
        <c:crossBetween val="between"/>
      </c:valAx>
      <c:catAx>
        <c:axId val="274065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4059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Dashboard'!$A$96</c:f>
          <c:strCache>
            <c:ptCount val="1"/>
            <c:pt idx="0">
              <c:v>Case/ Active - TCB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Data!$A$100</c:f>
              <c:strCache>
                <c:ptCount val="1"/>
                <c:pt idx="0">
                  <c:v>Case/ 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Data!$AN$102:$AY$102</c15:sqref>
                  </c15:fullRef>
                </c:ext>
              </c:extLst>
              <c:f>Data!$AN$102:$AX$102</c:f>
              <c:numCache>
                <c:formatCode>#,##0.0</c:formatCode>
                <c:ptCount val="11"/>
                <c:pt idx="0">
                  <c:v>3.5442176870748301</c:v>
                </c:pt>
                <c:pt idx="1">
                  <c:v>7.5655172413793101</c:v>
                </c:pt>
                <c:pt idx="2">
                  <c:v>8.3013698630136989</c:v>
                </c:pt>
                <c:pt idx="3">
                  <c:v>6.037974683544304</c:v>
                </c:pt>
                <c:pt idx="4">
                  <c:v>5.0454545454545459</c:v>
                </c:pt>
                <c:pt idx="5">
                  <c:v>4.6399999999999997</c:v>
                </c:pt>
                <c:pt idx="6">
                  <c:v>5.1192052980132452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066408"/>
        <c:axId val="274060136"/>
      </c:barChart>
      <c:catAx>
        <c:axId val="27406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0136"/>
        <c:crosses val="autoZero"/>
        <c:auto val="1"/>
        <c:lblAlgn val="ctr"/>
        <c:lblOffset val="100"/>
        <c:noMultiLvlLbl val="0"/>
      </c:catAx>
      <c:valAx>
        <c:axId val="2740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</c:f>
              <c:numCache>
                <c:formatCode>General</c:formatCode>
                <c:ptCount val="1"/>
              </c:numCache>
            </c:numRef>
          </c:cat>
          <c:val>
            <c:numRef>
              <c:f>[1]Sheet1!$B$2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[1]Sheet1!$C$1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</c:f>
              <c:numCache>
                <c:formatCode>General</c:formatCode>
                <c:ptCount val="1"/>
              </c:numCache>
            </c:numRef>
          </c:cat>
          <c:val>
            <c:numRef>
              <c:f>[1]Sheet1!$C$2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[1]Sheet1!$D$1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</c:f>
              <c:numCache>
                <c:formatCode>General</c:formatCode>
                <c:ptCount val="1"/>
              </c:numCache>
            </c:numRef>
          </c:cat>
          <c:val>
            <c:numRef>
              <c:f>[1]Sheet1!$D$2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[1]Sheet1!$E$1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</c:f>
              <c:numCache>
                <c:formatCode>General</c:formatCode>
                <c:ptCount val="1"/>
              </c:numCache>
            </c:numRef>
          </c:cat>
          <c:val>
            <c:numRef>
              <c:f>[1]Sheet1!$E$2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817360"/>
        <c:axId val="201819320"/>
      </c:barChart>
      <c:catAx>
        <c:axId val="2018173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819320"/>
        <c:crosses val="autoZero"/>
        <c:auto val="1"/>
        <c:lblAlgn val="ctr"/>
        <c:lblOffset val="100"/>
        <c:noMultiLvlLbl val="0"/>
      </c:catAx>
      <c:valAx>
        <c:axId val="20181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81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accent2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Dashboard'!$G$96</c:f>
          <c:strCache>
            <c:ptCount val="1"/>
            <c:pt idx="0">
              <c:v>Case/ Active - EIB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Data!$A$100</c:f>
              <c:strCache>
                <c:ptCount val="1"/>
                <c:pt idx="0">
                  <c:v>Case/ 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Data!$AN$103:$AY$103</c15:sqref>
                  </c15:fullRef>
                </c:ext>
              </c:extLst>
              <c:f>Data!$AN$103:$AX$103</c:f>
              <c:numCache>
                <c:formatCode>#,##0.0</c:formatCode>
                <c:ptCount val="11"/>
                <c:pt idx="0">
                  <c:v>1.7976190476190477</c:v>
                </c:pt>
                <c:pt idx="1">
                  <c:v>1.7927927927927927</c:v>
                </c:pt>
                <c:pt idx="2">
                  <c:v>2.5970149253731343</c:v>
                </c:pt>
                <c:pt idx="3">
                  <c:v>1.9090909090909092</c:v>
                </c:pt>
                <c:pt idx="4">
                  <c:v>1.8484848484848484</c:v>
                </c:pt>
                <c:pt idx="5">
                  <c:v>1.0123456790123457</c:v>
                </c:pt>
                <c:pt idx="6">
                  <c:v>1.8163265306122449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061312"/>
        <c:axId val="274063664"/>
      </c:barChart>
      <c:catAx>
        <c:axId val="2740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3664"/>
        <c:crosses val="autoZero"/>
        <c:auto val="1"/>
        <c:lblAlgn val="ctr"/>
        <c:lblOffset val="100"/>
        <c:noMultiLvlLbl val="0"/>
      </c:catAx>
      <c:valAx>
        <c:axId val="2740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Dashboard'!$A$112</c:f>
          <c:strCache>
            <c:ptCount val="1"/>
            <c:pt idx="0">
              <c:v>APE/ MP - TCB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Data!$A$118</c:f>
              <c:strCache>
                <c:ptCount val="1"/>
                <c:pt idx="0">
                  <c:v>APE/ 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Data!$AN$120:$AY$120</c15:sqref>
                  </c15:fullRef>
                </c:ext>
              </c:extLst>
              <c:f>Data!$AN$120:$AX$120</c:f>
              <c:numCache>
                <c:formatCode>#,##0.0</c:formatCode>
                <c:ptCount val="11"/>
                <c:pt idx="0">
                  <c:v>53.741135593220342</c:v>
                </c:pt>
                <c:pt idx="1">
                  <c:v>108.62036257309941</c:v>
                </c:pt>
                <c:pt idx="2">
                  <c:v>125.66320441988955</c:v>
                </c:pt>
                <c:pt idx="3">
                  <c:v>100.93028409090911</c:v>
                </c:pt>
                <c:pt idx="4">
                  <c:v>78.444188481675383</c:v>
                </c:pt>
                <c:pt idx="5">
                  <c:v>65.10697115384616</c:v>
                </c:pt>
                <c:pt idx="6">
                  <c:v>79.655119170984463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062488"/>
        <c:axId val="274371528"/>
      </c:barChart>
      <c:catAx>
        <c:axId val="27406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71528"/>
        <c:crosses val="autoZero"/>
        <c:auto val="1"/>
        <c:lblAlgn val="ctr"/>
        <c:lblOffset val="100"/>
        <c:noMultiLvlLbl val="0"/>
      </c:catAx>
      <c:valAx>
        <c:axId val="27437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6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Dashboard'!$G$112</c:f>
          <c:strCache>
            <c:ptCount val="1"/>
            <c:pt idx="0">
              <c:v>APE/ MP - EIB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Data!$A$118</c:f>
              <c:strCache>
                <c:ptCount val="1"/>
                <c:pt idx="0">
                  <c:v>APE/ 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Data!$AN$121:$AY$121</c15:sqref>
                  </c15:fullRef>
                </c:ext>
              </c:extLst>
              <c:f>Data!$AN$121:$AX$121</c:f>
              <c:numCache>
                <c:formatCode>#,##0.0</c:formatCode>
                <c:ptCount val="11"/>
                <c:pt idx="0">
                  <c:v>12.305601063829787</c:v>
                </c:pt>
                <c:pt idx="1">
                  <c:v>14.809263681592041</c:v>
                </c:pt>
                <c:pt idx="2">
                  <c:v>28.393901345291482</c:v>
                </c:pt>
                <c:pt idx="3">
                  <c:v>21.000050251256283</c:v>
                </c:pt>
                <c:pt idx="4">
                  <c:v>17.993774509803924</c:v>
                </c:pt>
                <c:pt idx="5">
                  <c:v>7.0723499999999992</c:v>
                </c:pt>
                <c:pt idx="6">
                  <c:v>14.03259880239521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377408"/>
        <c:axId val="274371920"/>
      </c:barChart>
      <c:catAx>
        <c:axId val="2743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71920"/>
        <c:crosses val="autoZero"/>
        <c:auto val="1"/>
        <c:lblAlgn val="ctr"/>
        <c:lblOffset val="100"/>
        <c:noMultiLvlLbl val="0"/>
      </c:catAx>
      <c:valAx>
        <c:axId val="274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7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Dashboard'!$A$129</c:f>
          <c:strCache>
            <c:ptCount val="1"/>
            <c:pt idx="0">
              <c:v>APE by Tenure - TCB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Data!$A$208</c:f>
              <c:strCache>
                <c:ptCount val="1"/>
                <c:pt idx="0">
                  <c:v>1. &lt; 6M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Data!$AN$185:$AY$185</c15:sqref>
                  </c15:fullRef>
                </c:ext>
              </c:extLst>
              <c:f>Data!$AN$185:$AX$185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Data!$AN$208:$AY$208</c15:sqref>
                  </c15:fullRef>
                </c:ext>
              </c:extLst>
              <c:f>Data!$AN$208:$AX$208</c:f>
              <c:numCache>
                <c:formatCode>#,##0</c:formatCode>
                <c:ptCount val="11"/>
                <c:pt idx="0">
                  <c:v>1247.998</c:v>
                </c:pt>
                <c:pt idx="1">
                  <c:v>1781.951</c:v>
                </c:pt>
                <c:pt idx="2">
                  <c:v>1918.9</c:v>
                </c:pt>
                <c:pt idx="3" formatCode="General">
                  <c:v>2635.0239999999999</c:v>
                </c:pt>
                <c:pt idx="4">
                  <c:v>2878.3760000000002</c:v>
                </c:pt>
                <c:pt idx="5">
                  <c:v>2782.7890000000002</c:v>
                </c:pt>
                <c:pt idx="6">
                  <c:v>3361.3449999999998</c:v>
                </c:pt>
              </c:numCache>
            </c:numRef>
          </c:val>
        </c:ser>
        <c:ser>
          <c:idx val="1"/>
          <c:order val="1"/>
          <c:tx>
            <c:strRef>
              <c:f>Data!$A$209</c:f>
              <c:strCache>
                <c:ptCount val="1"/>
                <c:pt idx="0">
                  <c:v>2. 6M - 12M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Data!$AN$185:$AY$185</c15:sqref>
                  </c15:fullRef>
                </c:ext>
              </c:extLst>
              <c:f>Data!$AN$185:$AX$185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Data!$AN$209:$AY$209</c15:sqref>
                  </c15:fullRef>
                </c:ext>
              </c:extLst>
              <c:f>Data!$AN$209:$AX$209</c:f>
              <c:numCache>
                <c:formatCode>#,##0</c:formatCode>
                <c:ptCount val="11"/>
                <c:pt idx="0">
                  <c:v>2001.6890000000001</c:v>
                </c:pt>
                <c:pt idx="1">
                  <c:v>3871.357</c:v>
                </c:pt>
                <c:pt idx="2">
                  <c:v>5472.21000000001</c:v>
                </c:pt>
                <c:pt idx="3" formatCode="General">
                  <c:v>3674.788</c:v>
                </c:pt>
                <c:pt idx="4">
                  <c:v>2555.5970000000002</c:v>
                </c:pt>
                <c:pt idx="5">
                  <c:v>2044.9</c:v>
                </c:pt>
                <c:pt idx="6">
                  <c:v>2086.3560000000002</c:v>
                </c:pt>
              </c:numCache>
            </c:numRef>
          </c:val>
        </c:ser>
        <c:ser>
          <c:idx val="2"/>
          <c:order val="2"/>
          <c:tx>
            <c:strRef>
              <c:f>Data!$A$210</c:f>
              <c:strCache>
                <c:ptCount val="1"/>
                <c:pt idx="0">
                  <c:v>3. 12M+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Data!$AN$185:$AY$185</c15:sqref>
                  </c15:fullRef>
                </c:ext>
              </c:extLst>
              <c:f>Data!$AN$185:$AX$185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Data!$AN$210:$AY$210</c15:sqref>
                  </c15:fullRef>
                </c:ext>
              </c:extLst>
              <c:f>Data!$AN$210:$AX$210</c:f>
              <c:numCache>
                <c:formatCode>#,##0</c:formatCode>
                <c:ptCount val="11"/>
                <c:pt idx="0">
                  <c:v>6262.4939999999997</c:v>
                </c:pt>
                <c:pt idx="1">
                  <c:v>12920.773999999999</c:v>
                </c:pt>
                <c:pt idx="2">
                  <c:v>15353.923000000001</c:v>
                </c:pt>
                <c:pt idx="3" formatCode="General">
                  <c:v>11453.928</c:v>
                </c:pt>
                <c:pt idx="4">
                  <c:v>9548.8640000000305</c:v>
                </c:pt>
                <c:pt idx="5">
                  <c:v>8714.5499999999902</c:v>
                </c:pt>
                <c:pt idx="6">
                  <c:v>9925.7370000000101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4375840"/>
        <c:axId val="274373096"/>
      </c:barChart>
      <c:catAx>
        <c:axId val="2743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73096"/>
        <c:crosses val="autoZero"/>
        <c:auto val="1"/>
        <c:lblAlgn val="ctr"/>
        <c:lblOffset val="100"/>
        <c:noMultiLvlLbl val="0"/>
      </c:catAx>
      <c:valAx>
        <c:axId val="2743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Dashboard'!$G$129</c:f>
          <c:strCache>
            <c:ptCount val="1"/>
            <c:pt idx="0">
              <c:v>APE by Tenure - EIB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Data!$A$196</c:f>
              <c:strCache>
                <c:ptCount val="1"/>
                <c:pt idx="0">
                  <c:v>1. &lt; 6M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Data!$AN$196:$AY$196</c15:sqref>
                  </c15:fullRef>
                </c:ext>
              </c:extLst>
              <c:f>Data!$AN$196:$AX$196</c:f>
              <c:numCache>
                <c:formatCode>#,##0</c:formatCode>
                <c:ptCount val="11"/>
                <c:pt idx="0">
                  <c:v>1062.018</c:v>
                </c:pt>
                <c:pt idx="1">
                  <c:v>1392.2170000000001</c:v>
                </c:pt>
                <c:pt idx="2">
                  <c:v>2121.953</c:v>
                </c:pt>
                <c:pt idx="3">
                  <c:v>2131.0990000000002</c:v>
                </c:pt>
                <c:pt idx="4">
                  <c:v>1589.3720000000001</c:v>
                </c:pt>
                <c:pt idx="5">
                  <c:v>656.64</c:v>
                </c:pt>
                <c:pt idx="6">
                  <c:v>942.98800000000006</c:v>
                </c:pt>
              </c:numCache>
            </c:numRef>
          </c:val>
        </c:ser>
        <c:ser>
          <c:idx val="1"/>
          <c:order val="1"/>
          <c:tx>
            <c:strRef>
              <c:f>Data!$A$197</c:f>
              <c:strCache>
                <c:ptCount val="1"/>
                <c:pt idx="0">
                  <c:v>2. 6M - 12M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Data!$AN$197:$AY$197</c15:sqref>
                  </c15:fullRef>
                </c:ext>
              </c:extLst>
              <c:f>Data!$AN$197:$AX$197</c:f>
              <c:numCache>
                <c:formatCode>#,##0</c:formatCode>
                <c:ptCount val="11"/>
                <c:pt idx="0">
                  <c:v>721.649</c:v>
                </c:pt>
                <c:pt idx="1">
                  <c:v>1176.9639999999999</c:v>
                </c:pt>
                <c:pt idx="2">
                  <c:v>3503.0129999999999</c:v>
                </c:pt>
                <c:pt idx="3">
                  <c:v>1610.384</c:v>
                </c:pt>
                <c:pt idx="4">
                  <c:v>1889.297</c:v>
                </c:pt>
                <c:pt idx="5">
                  <c:v>706.58299999999997</c:v>
                </c:pt>
                <c:pt idx="6">
                  <c:v>1194.701</c:v>
                </c:pt>
              </c:numCache>
            </c:numRef>
          </c:val>
        </c:ser>
        <c:ser>
          <c:idx val="2"/>
          <c:order val="2"/>
          <c:tx>
            <c:strRef>
              <c:f>Data!$A$198</c:f>
              <c:strCache>
                <c:ptCount val="1"/>
                <c:pt idx="0">
                  <c:v>3. 12M+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Data!$AN$198:$AY$198</c15:sqref>
                  </c15:fullRef>
                </c:ext>
              </c:extLst>
              <c:f>Data!$AN$198:$AX$198</c:f>
              <c:numCache>
                <c:formatCode>#,##0</c:formatCode>
                <c:ptCount val="11"/>
                <c:pt idx="0">
                  <c:v>529.78599999999994</c:v>
                </c:pt>
                <c:pt idx="1">
                  <c:v>407.48099999999999</c:v>
                </c:pt>
                <c:pt idx="2">
                  <c:v>706.86400000000003</c:v>
                </c:pt>
                <c:pt idx="3">
                  <c:v>437.51499999999999</c:v>
                </c:pt>
                <c:pt idx="4">
                  <c:v>192.05099999999999</c:v>
                </c:pt>
                <c:pt idx="5">
                  <c:v>51.247999999999998</c:v>
                </c:pt>
                <c:pt idx="6">
                  <c:v>205.755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4372704"/>
        <c:axId val="274376232"/>
      </c:barChart>
      <c:catAx>
        <c:axId val="2743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76232"/>
        <c:crosses val="autoZero"/>
        <c:auto val="1"/>
        <c:lblAlgn val="ctr"/>
        <c:lblOffset val="100"/>
        <c:noMultiLvlLbl val="0"/>
      </c:catAx>
      <c:valAx>
        <c:axId val="27437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7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Dashboard'!$O$80</c:f>
          <c:strCache>
            <c:ptCount val="1"/>
            <c:pt idx="0">
              <c:v>APE Performance - OCB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Data_Chart!$R$53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Data_Chart!$S$52:$AD$52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Data_Chart!$S$59:$AD$59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491.40000000000003</c:v>
                </c:pt>
                <c:pt idx="3">
                  <c:v>491.40000000000003</c:v>
                </c:pt>
                <c:pt idx="4">
                  <c:v>540.54000000000008</c:v>
                </c:pt>
                <c:pt idx="5">
                  <c:v>661.5</c:v>
                </c:pt>
                <c:pt idx="6">
                  <c:v>582.12000000000012</c:v>
                </c:pt>
                <c:pt idx="7">
                  <c:v>661.5</c:v>
                </c:pt>
                <c:pt idx="8">
                  <c:v>918.54000000000019</c:v>
                </c:pt>
                <c:pt idx="9">
                  <c:v>815.84999999999991</c:v>
                </c:pt>
                <c:pt idx="10">
                  <c:v>932.40000000000009</c:v>
                </c:pt>
                <c:pt idx="11">
                  <c:v>1256.8500000000001</c:v>
                </c:pt>
              </c:numCache>
            </c:numRef>
          </c:val>
        </c:ser>
        <c:ser>
          <c:idx val="1"/>
          <c:order val="1"/>
          <c:tx>
            <c:strRef>
              <c:f>Data_Chart!$R$54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Data_Chart!$S$52:$AD$52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Data_Chart!$S$60:$AD$60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727.29</c:v>
                </c:pt>
                <c:pt idx="3">
                  <c:v>844.96999999999991</c:v>
                </c:pt>
                <c:pt idx="4">
                  <c:v>901.76</c:v>
                </c:pt>
                <c:pt idx="5">
                  <c:v>1369.42</c:v>
                </c:pt>
                <c:pt idx="6">
                  <c:v>609.53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373488"/>
        <c:axId val="274373880"/>
      </c:barChart>
      <c:catAx>
        <c:axId val="27437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73880"/>
        <c:crosses val="autoZero"/>
        <c:auto val="1"/>
        <c:lblAlgn val="ctr"/>
        <c:lblOffset val="100"/>
        <c:noMultiLvlLbl val="0"/>
      </c:catAx>
      <c:valAx>
        <c:axId val="27437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7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Dashboard'!$O$96</c:f>
          <c:strCache>
            <c:ptCount val="1"/>
            <c:pt idx="0">
              <c:v>Case/ Active - OCB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Data!$A$100</c:f>
              <c:strCache>
                <c:ptCount val="1"/>
                <c:pt idx="0">
                  <c:v>Case/ 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Data!$AN$105:$AY$105</c15:sqref>
                  </c15:fullRef>
                </c:ext>
              </c:extLst>
              <c:f>Data!$AN$105:$AX$105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4.3</c:v>
                </c:pt>
                <c:pt idx="3">
                  <c:v>3.625</c:v>
                </c:pt>
                <c:pt idx="4">
                  <c:v>2.65</c:v>
                </c:pt>
                <c:pt idx="5">
                  <c:v>4.0909090909090908</c:v>
                </c:pt>
                <c:pt idx="6">
                  <c:v>2.4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370352"/>
        <c:axId val="274377800"/>
      </c:barChart>
      <c:catAx>
        <c:axId val="2743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77800"/>
        <c:crosses val="autoZero"/>
        <c:auto val="1"/>
        <c:lblAlgn val="ctr"/>
        <c:lblOffset val="100"/>
        <c:noMultiLvlLbl val="0"/>
      </c:catAx>
      <c:valAx>
        <c:axId val="27437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Dashboard'!$O$112</c:f>
          <c:strCache>
            <c:ptCount val="1"/>
            <c:pt idx="0">
              <c:v>APE/ MP - OCB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Data!$A$118</c:f>
              <c:strCache>
                <c:ptCount val="1"/>
                <c:pt idx="0">
                  <c:v>APE/ 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Data!$AN$123:$AY$123</c15:sqref>
                  </c15:fullRef>
                </c:ext>
              </c:extLst>
              <c:f>Data!$AN$123:$AX$123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48.485999999999997</c:v>
                </c:pt>
                <c:pt idx="3">
                  <c:v>30.177499999999998</c:v>
                </c:pt>
                <c:pt idx="4">
                  <c:v>23.122051282051281</c:v>
                </c:pt>
                <c:pt idx="5">
                  <c:v>33.400487804878054</c:v>
                </c:pt>
                <c:pt idx="6">
                  <c:v>16.040263157894735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374272"/>
        <c:axId val="274374664"/>
      </c:barChart>
      <c:catAx>
        <c:axId val="2743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74664"/>
        <c:crosses val="autoZero"/>
        <c:auto val="1"/>
        <c:lblAlgn val="ctr"/>
        <c:lblOffset val="100"/>
        <c:noMultiLvlLbl val="0"/>
      </c:catAx>
      <c:valAx>
        <c:axId val="2743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7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Dashboard'!$O$129</c:f>
          <c:strCache>
            <c:ptCount val="1"/>
            <c:pt idx="0">
              <c:v>APE by Tenure - OCB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Data!$A$212</c:f>
              <c:strCache>
                <c:ptCount val="1"/>
                <c:pt idx="0">
                  <c:v>1. &lt; 6M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Data!$AN$212:$AY$212</c15:sqref>
                  </c15:fullRef>
                </c:ext>
              </c:extLst>
              <c:f>Data!$AN$212:$AX$212</c:f>
              <c:numCache>
                <c:formatCode>#,##0</c:formatCode>
                <c:ptCount val="11"/>
                <c:pt idx="2">
                  <c:v>239.584</c:v>
                </c:pt>
                <c:pt idx="3">
                  <c:v>520.73099999999999</c:v>
                </c:pt>
                <c:pt idx="4">
                  <c:v>507.99700000000001</c:v>
                </c:pt>
                <c:pt idx="5">
                  <c:v>843.90099999999995</c:v>
                </c:pt>
                <c:pt idx="6">
                  <c:v>423.41399999999999</c:v>
                </c:pt>
              </c:numCache>
            </c:numRef>
          </c:val>
        </c:ser>
        <c:ser>
          <c:idx val="1"/>
          <c:order val="1"/>
          <c:tx>
            <c:strRef>
              <c:f>Data!$A$213</c:f>
              <c:strCache>
                <c:ptCount val="1"/>
                <c:pt idx="0">
                  <c:v>2. 6M - 12M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Data!$AN$213:$AY$213</c15:sqref>
                  </c15:fullRef>
                </c:ext>
              </c:extLst>
              <c:f>Data!$AN$213:$AX$213</c:f>
              <c:numCache>
                <c:formatCode>General</c:formatCode>
                <c:ptCount val="11"/>
                <c:pt idx="2" formatCode="#,##0">
                  <c:v>487.702</c:v>
                </c:pt>
                <c:pt idx="3" formatCode="#,##0">
                  <c:v>324.23599999999999</c:v>
                </c:pt>
                <c:pt idx="4" formatCode="#,##0">
                  <c:v>393.77100000000002</c:v>
                </c:pt>
                <c:pt idx="5" formatCode="#,##0">
                  <c:v>525.52200000000005</c:v>
                </c:pt>
                <c:pt idx="6" formatCode="#,##0">
                  <c:v>186.11600000000001</c:v>
                </c:pt>
              </c:numCache>
            </c:numRef>
          </c:val>
        </c:ser>
        <c:ser>
          <c:idx val="2"/>
          <c:order val="2"/>
          <c:tx>
            <c:strRef>
              <c:f>Data!$A$214</c:f>
              <c:strCache>
                <c:ptCount val="1"/>
                <c:pt idx="0">
                  <c:v>3. 12M+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Data!$AN$214:$AY$214</c15:sqref>
                  </c15:fullRef>
                </c:ext>
              </c:extLst>
              <c:f>Data!$AN$214:$AX$214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4985272"/>
        <c:axId val="274984488"/>
      </c:barChart>
      <c:catAx>
        <c:axId val="27498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4488"/>
        <c:crosses val="autoZero"/>
        <c:auto val="1"/>
        <c:lblAlgn val="ctr"/>
        <c:lblOffset val="100"/>
        <c:noMultiLvlLbl val="0"/>
      </c:catAx>
      <c:valAx>
        <c:axId val="2749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Dashboard'!$W$80</c:f>
          <c:strCache>
            <c:ptCount val="1"/>
            <c:pt idx="0">
              <c:v>APE Performance - CMG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Data_Chart!$R$65</c:f>
              <c:strCache>
                <c:ptCount val="1"/>
                <c:pt idx="0">
                  <c:v>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Data_Chart!$S$52:$AD$52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Data_Chart!$S$65:$AD$65</c:f>
              <c:numCache>
                <c:formatCode>#,##0</c:formatCode>
                <c:ptCount val="12"/>
                <c:pt idx="0">
                  <c:v>228.57142857142856</c:v>
                </c:pt>
                <c:pt idx="1">
                  <c:v>228.57142857142856</c:v>
                </c:pt>
                <c:pt idx="2">
                  <c:v>514.28571428571422</c:v>
                </c:pt>
                <c:pt idx="3">
                  <c:v>792</c:v>
                </c:pt>
                <c:pt idx="4">
                  <c:v>1034.9999999999998</c:v>
                </c:pt>
                <c:pt idx="5">
                  <c:v>1125</c:v>
                </c:pt>
                <c:pt idx="6">
                  <c:v>1458</c:v>
                </c:pt>
                <c:pt idx="7">
                  <c:v>1890</c:v>
                </c:pt>
                <c:pt idx="8">
                  <c:v>2514.2857142857142</c:v>
                </c:pt>
                <c:pt idx="9">
                  <c:v>2232</c:v>
                </c:pt>
                <c:pt idx="10">
                  <c:v>2790</c:v>
                </c:pt>
                <c:pt idx="11">
                  <c:v>3348</c:v>
                </c:pt>
              </c:numCache>
            </c:numRef>
          </c:val>
        </c:ser>
        <c:ser>
          <c:idx val="1"/>
          <c:order val="1"/>
          <c:tx>
            <c:strRef>
              <c:f>Data_Chart!$R$66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Data_Chart!$S$52:$AD$52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Data_Chart!$S$66:$AD$66</c:f>
              <c:numCache>
                <c:formatCode>#,##0</c:formatCode>
                <c:ptCount val="12"/>
                <c:pt idx="0">
                  <c:v>33.945999999999998</c:v>
                </c:pt>
                <c:pt idx="1">
                  <c:v>211.96499999999997</c:v>
                </c:pt>
                <c:pt idx="2">
                  <c:v>329.24</c:v>
                </c:pt>
                <c:pt idx="3">
                  <c:v>319.60000000000002</c:v>
                </c:pt>
                <c:pt idx="4">
                  <c:v>340.87</c:v>
                </c:pt>
                <c:pt idx="5">
                  <c:v>91.14</c:v>
                </c:pt>
                <c:pt idx="6">
                  <c:v>169.96299999999999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986840"/>
        <c:axId val="274990368"/>
      </c:barChart>
      <c:lineChart>
        <c:grouping val="standard"/>
        <c:varyColors val="0"/>
        <c:ser>
          <c:idx val="2"/>
          <c:order val="2"/>
          <c:tx>
            <c:strRef>
              <c:f>Data_Chart!$R$55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dash"/>
            <c:size val="7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4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Data_Chart!$D$52:$O$52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Data_Chart!$S$67:$W$67</c:f>
              <c:numCache>
                <c:formatCode>0%</c:formatCode>
                <c:ptCount val="5"/>
                <c:pt idx="0">
                  <c:v>0.14851375</c:v>
                </c:pt>
                <c:pt idx="1">
                  <c:v>0.9273468749999999</c:v>
                </c:pt>
                <c:pt idx="2">
                  <c:v>0.64018888888888903</c:v>
                </c:pt>
                <c:pt idx="3">
                  <c:v>0.40353535353535358</c:v>
                </c:pt>
                <c:pt idx="4">
                  <c:v>0.32934299516908222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Data_Chart!$R$68</c:f>
              <c:strCache>
                <c:ptCount val="1"/>
                <c:pt idx="0">
                  <c:v>% YTD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Data_Chart!$D$52:$O$52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Data_Chart!$S$68:$W$68</c:f>
              <c:numCache>
                <c:formatCode>0%</c:formatCode>
                <c:ptCount val="5"/>
                <c:pt idx="0">
                  <c:v>0.14851375</c:v>
                </c:pt>
                <c:pt idx="1">
                  <c:v>0.53793031250000001</c:v>
                </c:pt>
                <c:pt idx="2">
                  <c:v>0.59206720588235295</c:v>
                </c:pt>
                <c:pt idx="3">
                  <c:v>0.50739282242384964</c:v>
                </c:pt>
                <c:pt idx="4">
                  <c:v>0.44154101791821948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987232"/>
        <c:axId val="274985664"/>
        <c:extLst/>
      </c:lineChart>
      <c:catAx>
        <c:axId val="27498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90368"/>
        <c:crosses val="autoZero"/>
        <c:auto val="1"/>
        <c:lblAlgn val="ctr"/>
        <c:lblOffset val="100"/>
        <c:noMultiLvlLbl val="0"/>
      </c:catAx>
      <c:valAx>
        <c:axId val="27499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6840"/>
        <c:crosses val="autoZero"/>
        <c:crossBetween val="between"/>
      </c:valAx>
      <c:valAx>
        <c:axId val="2749856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7232"/>
        <c:crosses val="max"/>
        <c:crossBetween val="between"/>
      </c:valAx>
      <c:catAx>
        <c:axId val="2749872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7498566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[1]Sheet1!$B$1</c:f>
              <c:strCache>
                <c:ptCount val="1"/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cat>
            <c:numRef>
              <c:f>[1]Sheet1!$A$2:$A$5</c:f>
              <c:numCache>
                <c:formatCode>General</c:formatCode>
                <c:ptCount val="4"/>
              </c:numCache>
            </c:numRef>
          </c:cat>
          <c:val>
            <c:numRef>
              <c:f>[1]Sheet1!$B$2:$B$5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Dashboard'!$W$96</c:f>
          <c:strCache>
            <c:ptCount val="1"/>
            <c:pt idx="0">
              <c:v>Case/ Active - CMG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Data!$A$100</c:f>
              <c:strCache>
                <c:ptCount val="1"/>
                <c:pt idx="0">
                  <c:v>Case/ 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Data!$AN$106:$AY$106</c15:sqref>
                  </c15:fullRef>
                </c:ext>
              </c:extLst>
              <c:f>Data!$AN$106:$AX$106</c:f>
              <c:numCache>
                <c:formatCode>#,##0.0</c:formatCode>
                <c:ptCount val="11"/>
                <c:pt idx="0">
                  <c:v>1</c:v>
                </c:pt>
                <c:pt idx="1">
                  <c:v>2.25</c:v>
                </c:pt>
                <c:pt idx="2">
                  <c:v>2.6</c:v>
                </c:pt>
                <c:pt idx="3">
                  <c:v>2.8</c:v>
                </c:pt>
                <c:pt idx="4">
                  <c:v>3.5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989584"/>
        <c:axId val="274988016"/>
      </c:barChart>
      <c:catAx>
        <c:axId val="27498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8016"/>
        <c:crosses val="autoZero"/>
        <c:auto val="1"/>
        <c:lblAlgn val="ctr"/>
        <c:lblOffset val="100"/>
        <c:noMultiLvlLbl val="0"/>
      </c:catAx>
      <c:valAx>
        <c:axId val="2749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Dashboard'!$W$112</c:f>
          <c:strCache>
            <c:ptCount val="1"/>
            <c:pt idx="0">
              <c:v>APE/ MP - CMG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Data!$A$118</c:f>
              <c:strCache>
                <c:ptCount val="1"/>
                <c:pt idx="0">
                  <c:v>APE/ 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Data!$AN$124:$AY$124</c15:sqref>
                  </c15:fullRef>
                </c:ext>
              </c:extLst>
              <c:f>Data!$AN$124:$AX$124</c:f>
              <c:numCache>
                <c:formatCode>#,##0.0</c:formatCode>
                <c:ptCount val="11"/>
                <c:pt idx="0">
                  <c:v>2.8288333333333333</c:v>
                </c:pt>
                <c:pt idx="1">
                  <c:v>16.305</c:v>
                </c:pt>
                <c:pt idx="2">
                  <c:v>20.577500000000001</c:v>
                </c:pt>
                <c:pt idx="3">
                  <c:v>24.584615384615386</c:v>
                </c:pt>
                <c:pt idx="4">
                  <c:v>11.362333333333334</c:v>
                </c:pt>
                <c:pt idx="5">
                  <c:v>3.5053846153846155</c:v>
                </c:pt>
                <c:pt idx="6">
                  <c:v>7.3896956521739128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989976"/>
        <c:axId val="274986056"/>
      </c:barChart>
      <c:catAx>
        <c:axId val="27498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6056"/>
        <c:crosses val="autoZero"/>
        <c:auto val="1"/>
        <c:lblAlgn val="ctr"/>
        <c:lblOffset val="100"/>
        <c:noMultiLvlLbl val="0"/>
      </c:catAx>
      <c:valAx>
        <c:axId val="27498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'BANCA Dashboard'!$W$129</c:f>
          <c:strCache>
            <c:ptCount val="1"/>
            <c:pt idx="0">
              <c:v>APE by Tenure - CMG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Data!$A$216</c:f>
              <c:strCache>
                <c:ptCount val="1"/>
                <c:pt idx="0">
                  <c:v>1. &lt; 6M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Data!$AN$216:$AY$216</c15:sqref>
                  </c15:fullRef>
                </c:ext>
              </c:extLst>
              <c:f>Data!$AN$216:$AX$216</c:f>
              <c:numCache>
                <c:formatCode>#,##0</c:formatCode>
                <c:ptCount val="11"/>
                <c:pt idx="0">
                  <c:v>69.918000000000006</c:v>
                </c:pt>
                <c:pt idx="1">
                  <c:v>211.965</c:v>
                </c:pt>
                <c:pt idx="2">
                  <c:v>329.24399999999997</c:v>
                </c:pt>
                <c:pt idx="3">
                  <c:v>319.59899999999999</c:v>
                </c:pt>
                <c:pt idx="4">
                  <c:v>340.86500000000001</c:v>
                </c:pt>
                <c:pt idx="5" formatCode="General">
                  <c:v>91.132000000000005</c:v>
                </c:pt>
                <c:pt idx="6" formatCode="General">
                  <c:v>169.96299999999999</c:v>
                </c:pt>
              </c:numCache>
            </c:numRef>
          </c:val>
        </c:ser>
        <c:ser>
          <c:idx val="1"/>
          <c:order val="1"/>
          <c:tx>
            <c:strRef>
              <c:f>Data!$A$217</c:f>
              <c:strCache>
                <c:ptCount val="1"/>
                <c:pt idx="0">
                  <c:v>2. 6M - 12M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Data!$AN$217:$AY$217</c15:sqref>
                  </c15:fullRef>
                </c:ext>
              </c:extLst>
              <c:f>Data!$AN$217:$AX$217</c:f>
              <c:numCache>
                <c:formatCode>General</c:formatCode>
                <c:ptCount val="11"/>
              </c:numCache>
            </c:numRef>
          </c:val>
        </c:ser>
        <c:ser>
          <c:idx val="2"/>
          <c:order val="2"/>
          <c:tx>
            <c:strRef>
              <c:f>Data!$A$218</c:f>
              <c:strCache>
                <c:ptCount val="1"/>
                <c:pt idx="0">
                  <c:v>3. 12M+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Data!$AN$3:$AY$3</c15:sqref>
                  </c15:fullRef>
                </c:ext>
              </c:extLst>
              <c:f>Data!$AN$3:$AX$3</c:f>
              <c:strCache>
                <c:ptCount val="11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Data!$AN$218:$AY$218</c15:sqref>
                  </c15:fullRef>
                </c:ext>
              </c:extLst>
              <c:f>Data!$AN$218:$AX$218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4989192"/>
        <c:axId val="274991152"/>
      </c:barChart>
      <c:catAx>
        <c:axId val="27498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91152"/>
        <c:crosses val="autoZero"/>
        <c:auto val="1"/>
        <c:lblAlgn val="ctr"/>
        <c:lblOffset val="100"/>
        <c:noMultiLvlLbl val="0"/>
      </c:catAx>
      <c:valAx>
        <c:axId val="2749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[1]Sheet1!$A$2:$A$5</c:f>
              <c:numCache>
                <c:formatCode>General</c:formatCode>
                <c:ptCount val="4"/>
              </c:numCache>
            </c:numRef>
          </c:cat>
          <c:val>
            <c:numRef>
              <c:f>[1]Sheet1!$B$2:$B$5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[1]Sheet1!$C$1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[1]Sheet1!$A$2:$A$5</c:f>
              <c:numCache>
                <c:formatCode>General</c:formatCode>
                <c:ptCount val="4"/>
              </c:numCache>
            </c:numRef>
          </c:cat>
          <c:val>
            <c:numRef>
              <c:f>[1]Sheet1!$C$2:$C$5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[1]Sheet1!$D$1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[1]Sheet1!$A$2:$A$5</c:f>
              <c:numCache>
                <c:formatCode>General</c:formatCode>
                <c:ptCount val="4"/>
              </c:numCache>
            </c:numRef>
          </c:cat>
          <c:val>
            <c:numRef>
              <c:f>[1]Sheet1!$D$2:$D$5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59776"/>
        <c:axId val="246560560"/>
      </c:lineChart>
      <c:catAx>
        <c:axId val="2465597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560560"/>
        <c:crosses val="autoZero"/>
        <c:auto val="1"/>
        <c:lblAlgn val="ctr"/>
        <c:lblOffset val="100"/>
        <c:noMultiLvlLbl val="0"/>
      </c:catAx>
      <c:valAx>
        <c:axId val="246560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65597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</c:f>
              <c:numCache>
                <c:formatCode>General</c:formatCode>
                <c:ptCount val="1"/>
              </c:numCache>
            </c:numRef>
          </c:cat>
          <c:val>
            <c:numRef>
              <c:f>[1]Sheet1!$B$2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[1]Sheet1!$C$1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</c:f>
              <c:numCache>
                <c:formatCode>General</c:formatCode>
                <c:ptCount val="1"/>
              </c:numCache>
            </c:numRef>
          </c:cat>
          <c:val>
            <c:numRef>
              <c:f>[1]Sheet1!$C$2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[1]Sheet1!$D$1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</c:f>
              <c:numCache>
                <c:formatCode>General</c:formatCode>
                <c:ptCount val="1"/>
              </c:numCache>
            </c:numRef>
          </c:cat>
          <c:val>
            <c:numRef>
              <c:f>[1]Sheet1!$D$2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tx>
            <c:strRef>
              <c:f>[1]Sheet1!$E$1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</c:f>
              <c:numCache>
                <c:formatCode>General</c:formatCode>
                <c:ptCount val="1"/>
              </c:numCache>
            </c:numRef>
          </c:cat>
          <c:val>
            <c:numRef>
              <c:f>[1]Sheet1!$E$2</c:f>
              <c:numCache>
                <c:formatCode>General</c:formatCode>
                <c:ptCount val="1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6562520"/>
        <c:axId val="246560952"/>
      </c:barChart>
      <c:catAx>
        <c:axId val="246562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560952"/>
        <c:crosses val="autoZero"/>
        <c:auto val="1"/>
        <c:lblAlgn val="ctr"/>
        <c:lblOffset val="100"/>
        <c:noMultiLvlLbl val="0"/>
      </c:catAx>
      <c:valAx>
        <c:axId val="24656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656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accent2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[1]Sheet1!$B$1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[1]Sheet1!$A$2:$A$5</c:f>
              <c:numCache>
                <c:formatCode>General</c:formatCode>
                <c:ptCount val="4"/>
              </c:numCache>
            </c:numRef>
          </c:cat>
          <c:val>
            <c:numRef>
              <c:f>[1]Sheet1!$B$2:$B$5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[1]Sheet1!$C$1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[1]Sheet1!$A$2:$A$5</c:f>
              <c:numCache>
                <c:formatCode>General</c:formatCode>
                <c:ptCount val="4"/>
              </c:numCache>
            </c:numRef>
          </c:cat>
          <c:val>
            <c:numRef>
              <c:f>[1]Sheet1!$C$2:$C$5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[1]Sheet1!$D$1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97" b="0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[1]Sheet1!$A$2:$A$5</c:f>
              <c:numCache>
                <c:formatCode>General</c:formatCode>
                <c:ptCount val="4"/>
              </c:numCache>
            </c:numRef>
          </c:cat>
          <c:val>
            <c:numRef>
              <c:f>[1]Sheet1!$D$2:$D$5</c:f>
              <c:numCache>
                <c:formatCode>General</c:formatCode>
                <c:ptCount val="4"/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46558208"/>
        <c:axId val="246558600"/>
      </c:barChart>
      <c:catAx>
        <c:axId val="24655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none" spc="120" normalizeH="0" baseline="0">
                <a:solidFill>
                  <a:schemeClr val="accent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6558600"/>
        <c:crosses val="autoZero"/>
        <c:auto val="1"/>
        <c:lblAlgn val="ctr"/>
        <c:lblOffset val="100"/>
        <c:noMultiLvlLbl val="0"/>
      </c:catAx>
      <c:valAx>
        <c:axId val="2465586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55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of Branch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Data_Chart!$R$23</c:f>
              <c:strCache>
                <c:ptCount val="1"/>
                <c:pt idx="0">
                  <c:v>Actual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Data_Chart!$S$20:$AD$20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Data_Chart!$S$23:$AD$23</c:f>
              <c:numCache>
                <c:formatCode>_(* #,##0_);_(* \(#,##0\);_(* "-"??_);_(@_)</c:formatCode>
                <c:ptCount val="12"/>
                <c:pt idx="0">
                  <c:v>370</c:v>
                </c:pt>
                <c:pt idx="1">
                  <c:v>396</c:v>
                </c:pt>
                <c:pt idx="2">
                  <c:v>430</c:v>
                </c:pt>
                <c:pt idx="3">
                  <c:v>434</c:v>
                </c:pt>
                <c:pt idx="4">
                  <c:v>454</c:v>
                </c:pt>
                <c:pt idx="5">
                  <c:v>458</c:v>
                </c:pt>
                <c:pt idx="6">
                  <c:v>458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6559384"/>
        <c:axId val="246561344"/>
      </c:barChart>
      <c:lineChart>
        <c:grouping val="stacked"/>
        <c:varyColors val="0"/>
        <c:ser>
          <c:idx val="0"/>
          <c:order val="0"/>
          <c:tx>
            <c:strRef>
              <c:f>Data_Chart!$R$21</c:f>
              <c:strCache>
                <c:ptCount val="1"/>
                <c:pt idx="0">
                  <c:v>Actual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A5A5A5">
                  <a:lumMod val="75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Data_Chart!$S$20:$AD$20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Data_Chart!$S$21:$AD$21</c:f>
              <c:numCache>
                <c:formatCode>_(* #,##0_);_(* \(#,##0\);_(* "-"??_);_(@_)</c:formatCode>
                <c:ptCount val="12"/>
                <c:pt idx="0">
                  <c:v>382</c:v>
                </c:pt>
                <c:pt idx="1">
                  <c:v>382</c:v>
                </c:pt>
                <c:pt idx="2">
                  <c:v>384</c:v>
                </c:pt>
                <c:pt idx="3">
                  <c:v>385</c:v>
                </c:pt>
                <c:pt idx="4">
                  <c:v>385</c:v>
                </c:pt>
                <c:pt idx="5">
                  <c:v>385</c:v>
                </c:pt>
                <c:pt idx="6">
                  <c:v>173</c:v>
                </c:pt>
                <c:pt idx="7">
                  <c:v>304</c:v>
                </c:pt>
                <c:pt idx="8">
                  <c:v>302</c:v>
                </c:pt>
                <c:pt idx="9">
                  <c:v>302</c:v>
                </c:pt>
                <c:pt idx="10">
                  <c:v>302</c:v>
                </c:pt>
                <c:pt idx="11">
                  <c:v>302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59384"/>
        <c:axId val="246561344"/>
      </c:lineChart>
      <c:scatterChart>
        <c:scatterStyle val="lineMarker"/>
        <c:varyColors val="0"/>
        <c:ser>
          <c:idx val="1"/>
          <c:order val="1"/>
          <c:tx>
            <c:strRef>
              <c:f>Data_Chart!$R$22</c:f>
              <c:strCache>
                <c:ptCount val="1"/>
                <c:pt idx="0">
                  <c:v>Plan 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strRef>
              <c:f>Data_Chart!$S$20:$AD$20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Data_Chart!$S$22:$AD$22</c:f>
              <c:numCache>
                <c:formatCode>_(* #,##0_);_(* \(#,##0\);_(* "-"??_);_(@_)</c:formatCode>
                <c:ptCount val="12"/>
                <c:pt idx="0">
                  <c:v>330</c:v>
                </c:pt>
                <c:pt idx="1">
                  <c:v>330</c:v>
                </c:pt>
                <c:pt idx="2">
                  <c:v>351</c:v>
                </c:pt>
                <c:pt idx="3">
                  <c:v>421</c:v>
                </c:pt>
                <c:pt idx="4">
                  <c:v>451</c:v>
                </c:pt>
                <c:pt idx="5">
                  <c:v>451</c:v>
                </c:pt>
                <c:pt idx="6">
                  <c:v>741</c:v>
                </c:pt>
                <c:pt idx="7">
                  <c:v>741</c:v>
                </c:pt>
                <c:pt idx="8">
                  <c:v>741</c:v>
                </c:pt>
                <c:pt idx="9">
                  <c:v>771</c:v>
                </c:pt>
                <c:pt idx="10">
                  <c:v>771</c:v>
                </c:pt>
                <c:pt idx="11">
                  <c:v>771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59384"/>
        <c:axId val="246561344"/>
      </c:scatterChart>
      <c:catAx>
        <c:axId val="24655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61344"/>
        <c:crosses val="autoZero"/>
        <c:auto val="1"/>
        <c:lblAlgn val="ctr"/>
        <c:lblOffset val="100"/>
        <c:noMultiLvlLbl val="0"/>
      </c:catAx>
      <c:valAx>
        <c:axId val="246561344"/>
        <c:scaling>
          <c:orientation val="minMax"/>
          <c:max val="8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5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/Active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Data_Chart!$R$28</c:f>
              <c:strCache>
                <c:ptCount val="1"/>
                <c:pt idx="0">
                  <c:v>Actual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Data_Chart!$D$25:$O$25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Data_Chart!$S$28:$AD$28</c:f>
              <c:numCache>
                <c:formatCode>_(* #,##0.0_);_(* \(#,##0.0\);_(* "-"??_);_(@_)</c:formatCode>
                <c:ptCount val="12"/>
                <c:pt idx="0">
                  <c:v>2.875</c:v>
                </c:pt>
                <c:pt idx="1">
                  <c:v>5.0192307692307692</c:v>
                </c:pt>
                <c:pt idx="2">
                  <c:v>5.477966101694915</c:v>
                </c:pt>
                <c:pt idx="3">
                  <c:v>4.1866666666666665</c:v>
                </c:pt>
                <c:pt idx="4">
                  <c:v>3.6808510638297873</c:v>
                </c:pt>
                <c:pt idx="5">
                  <c:v>3.3730769230769231</c:v>
                </c:pt>
                <c:pt idx="6">
                  <c:v>4.0896860986547088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6555464"/>
        <c:axId val="246555072"/>
      </c:barChart>
      <c:lineChart>
        <c:grouping val="stacked"/>
        <c:varyColors val="0"/>
        <c:ser>
          <c:idx val="0"/>
          <c:order val="0"/>
          <c:tx>
            <c:strRef>
              <c:f>Data_Chart!$R$26</c:f>
              <c:strCache>
                <c:ptCount val="1"/>
                <c:pt idx="0">
                  <c:v>Actual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A5A5A5">
                  <a:lumMod val="75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Data_Chart!$S$25:$AD$25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Data_Chart!$S$26:$AD$26</c:f>
              <c:numCache>
                <c:formatCode>_(* #,##0.0_);_(* \(#,##0.0\);_(* "-"??_);_(@_)</c:formatCode>
                <c:ptCount val="12"/>
                <c:pt idx="0">
                  <c:v>2.5988700564971752</c:v>
                </c:pt>
                <c:pt idx="1">
                  <c:v>3.5029940119760479</c:v>
                </c:pt>
                <c:pt idx="2">
                  <c:v>5.0883977900552484</c:v>
                </c:pt>
                <c:pt idx="3">
                  <c:v>4.2784090909090908</c:v>
                </c:pt>
                <c:pt idx="4">
                  <c:v>5.5178571428571432</c:v>
                </c:pt>
                <c:pt idx="5">
                  <c:v>5.6809815950920246</c:v>
                </c:pt>
                <c:pt idx="6">
                  <c:v>5.1517241379310343</c:v>
                </c:pt>
                <c:pt idx="7">
                  <c:v>3.9161073825503356</c:v>
                </c:pt>
                <c:pt idx="8">
                  <c:v>4.16</c:v>
                </c:pt>
                <c:pt idx="9">
                  <c:v>3.9300911854103342</c:v>
                </c:pt>
                <c:pt idx="10">
                  <c:v>3.2272727272727271</c:v>
                </c:pt>
                <c:pt idx="11">
                  <c:v>4.7630769230769232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555464"/>
        <c:axId val="246555072"/>
      </c:lineChart>
      <c:scatterChart>
        <c:scatterStyle val="lineMarker"/>
        <c:varyColors val="0"/>
        <c:ser>
          <c:idx val="1"/>
          <c:order val="1"/>
          <c:tx>
            <c:strRef>
              <c:f>Data_Chart!$R$27</c:f>
              <c:strCache>
                <c:ptCount val="1"/>
                <c:pt idx="0">
                  <c:v>Plan 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strRef>
              <c:f>Data_Chart!$S$25:$AD$25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Data_Chart!$S$27:$AD$27</c:f>
              <c:numCache>
                <c:formatCode>_(* #,##0.0_);_(* \(#,##0.0\);_(* "-"??_);_(@_)</c:formatCode>
                <c:ptCount val="12"/>
                <c:pt idx="0">
                  <c:v>2.9883865557962404</c:v>
                </c:pt>
                <c:pt idx="1">
                  <c:v>1.9591148810621428</c:v>
                </c:pt>
                <c:pt idx="2">
                  <c:v>3.6425198658429649</c:v>
                </c:pt>
                <c:pt idx="3">
                  <c:v>3.5549721074928105</c:v>
                </c:pt>
                <c:pt idx="4">
                  <c:v>3.7600077674748058</c:v>
                </c:pt>
                <c:pt idx="5">
                  <c:v>4.0464987457922303</c:v>
                </c:pt>
                <c:pt idx="6">
                  <c:v>2.3337774381854053</c:v>
                </c:pt>
                <c:pt idx="7">
                  <c:v>2.42963336531444</c:v>
                </c:pt>
                <c:pt idx="8">
                  <c:v>2.57108691475718</c:v>
                </c:pt>
                <c:pt idx="9">
                  <c:v>2.3651047854520546</c:v>
                </c:pt>
                <c:pt idx="10">
                  <c:v>2.5365091907960338</c:v>
                </c:pt>
                <c:pt idx="11">
                  <c:v>2.6373563795933408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55464"/>
        <c:axId val="246555072"/>
      </c:scatterChart>
      <c:catAx>
        <c:axId val="24655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55072"/>
        <c:crosses val="autoZero"/>
        <c:auto val="1"/>
        <c:lblAlgn val="ctr"/>
        <c:lblOffset val="100"/>
        <c:noMultiLvlLbl val="0"/>
      </c:catAx>
      <c:valAx>
        <c:axId val="246555072"/>
        <c:scaling>
          <c:orientation val="minMax"/>
          <c:min val="1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Data_Chart!$R$33</c:f>
              <c:strCache>
                <c:ptCount val="1"/>
                <c:pt idx="0">
                  <c:v>Actual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Data_Chart!$S$30:$AD$30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Data_Chart!$S$33:$AD$33</c:f>
              <c:numCache>
                <c:formatCode>_(* #,##0.0_);_(* \(#,##0.0\);_(* "-"??_);_(@_)</c:formatCode>
                <c:ptCount val="12"/>
                <c:pt idx="0">
                  <c:v>17.674856071964019</c:v>
                </c:pt>
                <c:pt idx="1">
                  <c:v>16.676405363984674</c:v>
                </c:pt>
                <c:pt idx="2">
                  <c:v>18.646912128712877</c:v>
                </c:pt>
                <c:pt idx="3">
                  <c:v>18.383829617834397</c:v>
                </c:pt>
                <c:pt idx="4">
                  <c:v>19.240944123314062</c:v>
                </c:pt>
                <c:pt idx="5">
                  <c:v>18.853443557582668</c:v>
                </c:pt>
                <c:pt idx="6">
                  <c:v>20.459292763157894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6211696"/>
        <c:axId val="246213264"/>
      </c:barChart>
      <c:lineChart>
        <c:grouping val="stacked"/>
        <c:varyColors val="0"/>
        <c:ser>
          <c:idx val="0"/>
          <c:order val="0"/>
          <c:tx>
            <c:strRef>
              <c:f>Data_Chart!$R$31</c:f>
              <c:strCache>
                <c:ptCount val="1"/>
                <c:pt idx="0">
                  <c:v>Actual 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A5A5A5">
                  <a:lumMod val="75000"/>
                </a:srgb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Data_Chart!$S$30:$AD$30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Data_Chart!$S$31:$AD$31</c:f>
              <c:numCache>
                <c:formatCode>_(* #,##0.0_);_(* \(#,##0.0\);_(* "-"??_);_(@_)</c:formatCode>
                <c:ptCount val="12"/>
                <c:pt idx="0">
                  <c:v>16.533354347826087</c:v>
                </c:pt>
                <c:pt idx="1">
                  <c:v>17.158095726495745</c:v>
                </c:pt>
                <c:pt idx="2">
                  <c:v>16.745802388707926</c:v>
                </c:pt>
                <c:pt idx="3">
                  <c:v>16.810507304116864</c:v>
                </c:pt>
                <c:pt idx="4">
                  <c:v>17.435297734627831</c:v>
                </c:pt>
                <c:pt idx="5">
                  <c:v>17.704831533477321</c:v>
                </c:pt>
                <c:pt idx="6">
                  <c:v>17.211680053547525</c:v>
                </c:pt>
                <c:pt idx="7">
                  <c:v>17.280581833761783</c:v>
                </c:pt>
                <c:pt idx="8">
                  <c:v>18.561541083916065</c:v>
                </c:pt>
                <c:pt idx="9">
                  <c:v>16.813201856148492</c:v>
                </c:pt>
                <c:pt idx="10">
                  <c:v>17.825803900325027</c:v>
                </c:pt>
                <c:pt idx="11">
                  <c:v>19.434057493540053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11696"/>
        <c:axId val="246213264"/>
      </c:lineChart>
      <c:scatterChart>
        <c:scatterStyle val="lineMarker"/>
        <c:varyColors val="0"/>
        <c:ser>
          <c:idx val="1"/>
          <c:order val="1"/>
          <c:tx>
            <c:strRef>
              <c:f>Data_Chart!$R$32</c:f>
              <c:strCache>
                <c:ptCount val="1"/>
                <c:pt idx="0">
                  <c:v>Plan 2017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8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strRef>
              <c:f>Data_Chart!$S$30:$AD$30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Data_Chart!$S$32:$AD$32</c:f>
              <c:numCache>
                <c:formatCode>_(* #,##0.0_);_(* \(#,##0.0\);_(* "-"??_);_(@_)</c:formatCode>
                <c:ptCount val="12"/>
                <c:pt idx="0">
                  <c:v>17.877513398243497</c:v>
                </c:pt>
                <c:pt idx="1">
                  <c:v>18.124540317085014</c:v>
                </c:pt>
                <c:pt idx="2">
                  <c:v>18.199634910692609</c:v>
                </c:pt>
                <c:pt idx="3">
                  <c:v>18.271928572679641</c:v>
                </c:pt>
                <c:pt idx="4">
                  <c:v>18.441742239672578</c:v>
                </c:pt>
                <c:pt idx="5">
                  <c:v>18.1906220131286</c:v>
                </c:pt>
                <c:pt idx="6">
                  <c:v>16.864534010080714</c:v>
                </c:pt>
                <c:pt idx="7">
                  <c:v>17.530341409412848</c:v>
                </c:pt>
                <c:pt idx="8">
                  <c:v>17.39764785985853</c:v>
                </c:pt>
                <c:pt idx="9">
                  <c:v>17.088855356087237</c:v>
                </c:pt>
                <c:pt idx="10">
                  <c:v>17.043897699120297</c:v>
                </c:pt>
                <c:pt idx="11">
                  <c:v>17.055381796705319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11696"/>
        <c:axId val="246213264"/>
      </c:scatterChart>
      <c:catAx>
        <c:axId val="24621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3264"/>
        <c:crosses val="autoZero"/>
        <c:auto val="1"/>
        <c:lblAlgn val="ctr"/>
        <c:lblOffset val="100"/>
        <c:noMultiLvlLbl val="0"/>
      </c:catAx>
      <c:valAx>
        <c:axId val="246213264"/>
        <c:scaling>
          <c:orientation val="minMax"/>
          <c:min val="1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VND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197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64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hartArea>
  <cs:dataLabel>
    <cs:lnRef idx="0"/>
    <cs:fillRef idx="0"/>
    <cs:effectRef idx="0"/>
    <cs:fontRef idx="minor">
      <a:schemeClr val="lt1"/>
    </cs:fontRef>
    <cs:defRPr sz="1197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2128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064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197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Lines="12" dropStyle="combo" dx="16" fmlaLink="$A$1" fmlaRange="Sheet1!$A$7:$A$18" noThreeD="1" sel="12" val="0"/>
</file>

<file path=xl/ctrlProps/ctrlProp2.xml><?xml version="1.0" encoding="utf-8"?>
<formControlPr xmlns="http://schemas.microsoft.com/office/spreadsheetml/2009/9/main" objectType="Drop" dropLines="12" dropStyle="combo" dx="16" fmlaLink="$A$1" fmlaRange="Sheet1!$A$7:$A$18" noThreeD="1" sel="12" val="0"/>
</file>

<file path=xl/ctrlProps/ctrlProp3.xml><?xml version="1.0" encoding="utf-8"?>
<formControlPr xmlns="http://schemas.microsoft.com/office/spreadsheetml/2009/9/main" objectType="Drop" dropLines="12" dropStyle="combo" dx="16" fmlaLink="$A$1" fmlaRange="Sheet1!$A$7:$A$18" noThreeD="1" sel="6" val="0"/>
</file>

<file path=xl/ctrlProps/ctrlProp4.xml><?xml version="1.0" encoding="utf-8"?>
<formControlPr xmlns="http://schemas.microsoft.com/office/spreadsheetml/2009/9/main" objectType="Drop" dropLines="12" dropStyle="combo" dx="16" fmlaLink="$A$3" fmlaRange="Sheet1!$A$7:$A$18" noThreeD="1" sel="7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26" Type="http://schemas.openxmlformats.org/officeDocument/2006/relationships/chart" Target="../charts/chart32.xml"/><Relationship Id="rId3" Type="http://schemas.openxmlformats.org/officeDocument/2006/relationships/chart" Target="../charts/chart9.xml"/><Relationship Id="rId21" Type="http://schemas.openxmlformats.org/officeDocument/2006/relationships/chart" Target="../charts/chart27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5" Type="http://schemas.openxmlformats.org/officeDocument/2006/relationships/chart" Target="../charts/chart31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20" Type="http://schemas.openxmlformats.org/officeDocument/2006/relationships/chart" Target="../charts/chart26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24" Type="http://schemas.openxmlformats.org/officeDocument/2006/relationships/chart" Target="../charts/chart30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23" Type="http://schemas.openxmlformats.org/officeDocument/2006/relationships/chart" Target="../charts/chart29.xml"/><Relationship Id="rId10" Type="http://schemas.openxmlformats.org/officeDocument/2006/relationships/chart" Target="../charts/chart16.xml"/><Relationship Id="rId19" Type="http://schemas.openxmlformats.org/officeDocument/2006/relationships/chart" Target="../charts/chart25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Relationship Id="rId2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0</xdr:colOff>
      <xdr:row>12</xdr:row>
      <xdr:rowOff>0</xdr:rowOff>
    </xdr:to>
    <xdr:sp macro="" textlink="">
      <xdr:nvSpPr>
        <xdr:cNvPr id="2" name="Rounded Rectangle 1"/>
        <xdr:cNvSpPr/>
      </xdr:nvSpPr>
      <xdr:spPr>
        <a:xfrm>
          <a:off x="0" y="0"/>
          <a:ext cx="11582400" cy="2286000"/>
        </a:xfrm>
        <a:prstGeom prst="roundRect">
          <a:avLst>
            <a:gd name="adj" fmla="val 6322"/>
          </a:avLst>
        </a:prstGeom>
        <a:solidFill>
          <a:sysClr val="window" lastClr="FFFFFF">
            <a:lumMod val="95000"/>
          </a:sysClr>
        </a:solidFill>
        <a:ln w="25400" cap="flat" cmpd="sng" algn="ctr">
          <a:noFill/>
          <a:prstDash val="solid"/>
        </a:ln>
        <a:effectLst>
          <a:outerShdw blurRad="38100" dist="38100" dir="5400000" algn="t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endParaRPr lang="en-US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355232</xdr:colOff>
      <xdr:row>1</xdr:row>
      <xdr:rowOff>28537</xdr:rowOff>
    </xdr:from>
    <xdr:to>
      <xdr:col>18</xdr:col>
      <xdr:colOff>304800</xdr:colOff>
      <xdr:row>10</xdr:row>
      <xdr:rowOff>155614</xdr:rowOff>
    </xdr:to>
    <xdr:grpSp>
      <xdr:nvGrpSpPr>
        <xdr:cNvPr id="3" name="Group 2"/>
        <xdr:cNvGrpSpPr/>
      </xdr:nvGrpSpPr>
      <xdr:grpSpPr>
        <a:xfrm>
          <a:off x="7060832" y="219037"/>
          <a:ext cx="4216768" cy="1841577"/>
          <a:chOff x="1631074" y="4873024"/>
          <a:chExt cx="3571912" cy="1784427"/>
        </a:xfrm>
      </xdr:grpSpPr>
      <xdr:graphicFrame macro="">
        <xdr:nvGraphicFramePr>
          <xdr:cNvPr id="4" name="Chart 3"/>
          <xdr:cNvGraphicFramePr/>
        </xdr:nvGraphicFramePr>
        <xdr:xfrm>
          <a:off x="1877017" y="4873024"/>
          <a:ext cx="3325969" cy="17610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Rectangle 4"/>
          <xdr:cNvSpPr/>
        </xdr:nvSpPr>
        <xdr:spPr>
          <a:xfrm>
            <a:off x="1631074" y="4914015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sp macro="" textlink="">
        <xdr:nvSpPr>
          <xdr:cNvPr id="6" name="Rectangle 5"/>
          <xdr:cNvSpPr/>
        </xdr:nvSpPr>
        <xdr:spPr>
          <a:xfrm>
            <a:off x="1631074" y="5101368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sp macro="" textlink="">
        <xdr:nvSpPr>
          <xdr:cNvPr id="7" name="Rectangle 6"/>
          <xdr:cNvSpPr/>
        </xdr:nvSpPr>
        <xdr:spPr>
          <a:xfrm>
            <a:off x="1631074" y="5288721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sp macro="" textlink="">
        <xdr:nvSpPr>
          <xdr:cNvPr id="8" name="Rectangle 7"/>
          <xdr:cNvSpPr/>
        </xdr:nvSpPr>
        <xdr:spPr>
          <a:xfrm>
            <a:off x="1631074" y="5476074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sp macro="" textlink="">
        <xdr:nvSpPr>
          <xdr:cNvPr id="9" name="Rectangle 8"/>
          <xdr:cNvSpPr/>
        </xdr:nvSpPr>
        <xdr:spPr>
          <a:xfrm>
            <a:off x="1631074" y="5663427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sp macro="" textlink="">
        <xdr:nvSpPr>
          <xdr:cNvPr id="10" name="Rectangle 9"/>
          <xdr:cNvSpPr/>
        </xdr:nvSpPr>
        <xdr:spPr>
          <a:xfrm>
            <a:off x="1631074" y="5850781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sp macro="" textlink="">
        <xdr:nvSpPr>
          <xdr:cNvPr id="11" name="Rectangle 10"/>
          <xdr:cNvSpPr/>
        </xdr:nvSpPr>
        <xdr:spPr>
          <a:xfrm>
            <a:off x="1631074" y="6038134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sp macro="" textlink="">
        <xdr:nvSpPr>
          <xdr:cNvPr id="12" name="Rectangle 11"/>
          <xdr:cNvSpPr/>
        </xdr:nvSpPr>
        <xdr:spPr>
          <a:xfrm>
            <a:off x="1631074" y="6225487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sp macro="" textlink="">
        <xdr:nvSpPr>
          <xdr:cNvPr id="13" name="Rectangle 12"/>
          <xdr:cNvSpPr/>
        </xdr:nvSpPr>
        <xdr:spPr>
          <a:xfrm>
            <a:off x="1631074" y="6412839"/>
            <a:ext cx="342181" cy="122306"/>
          </a:xfrm>
          <a:prstGeom prst="rect">
            <a:avLst/>
          </a:prstGeom>
          <a:solidFill>
            <a:srgbClr val="254D7E"/>
          </a:solidFill>
          <a:ln w="25400" cap="flat" cmpd="sng" algn="ctr">
            <a:noFill/>
            <a:prstDash val="solid"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/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ysClr val="window" lastClr="FFFFFF"/>
                </a:solidFill>
                <a:latin typeface="Calibri"/>
              </a:defRPr>
            </a:lvl9pPr>
          </a:lstStyle>
          <a:p>
            <a:pPr algn="ctr"/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99</a:t>
            </a:r>
          </a:p>
        </xdr:txBody>
      </xdr:sp>
      <xdr:grpSp>
        <xdr:nvGrpSpPr>
          <xdr:cNvPr id="14" name="Group 13"/>
          <xdr:cNvGrpSpPr/>
        </xdr:nvGrpSpPr>
        <xdr:grpSpPr>
          <a:xfrm>
            <a:off x="1993450" y="6535145"/>
            <a:ext cx="3077253" cy="122306"/>
            <a:chOff x="6021386" y="5726017"/>
            <a:chExt cx="3895462" cy="163417"/>
          </a:xfrm>
          <a:noFill/>
        </xdr:grpSpPr>
        <xdr:sp macro="" textlink="">
          <xdr:nvSpPr>
            <xdr:cNvPr id="15" name="Rectangle 14"/>
            <xdr:cNvSpPr/>
          </xdr:nvSpPr>
          <xdr:spPr>
            <a:xfrm>
              <a:off x="6021386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  <xdr:sp macro="" textlink="">
          <xdr:nvSpPr>
            <xdr:cNvPr id="16" name="Rectangle 15"/>
            <xdr:cNvSpPr/>
          </xdr:nvSpPr>
          <xdr:spPr>
            <a:xfrm>
              <a:off x="6475410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  <xdr:sp macro="" textlink="">
          <xdr:nvSpPr>
            <xdr:cNvPr id="17" name="Rectangle 16"/>
            <xdr:cNvSpPr/>
          </xdr:nvSpPr>
          <xdr:spPr>
            <a:xfrm>
              <a:off x="6932610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  <xdr:sp macro="" textlink="">
          <xdr:nvSpPr>
            <xdr:cNvPr id="18" name="Rectangle 17"/>
            <xdr:cNvSpPr/>
          </xdr:nvSpPr>
          <xdr:spPr>
            <a:xfrm>
              <a:off x="7386634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  <xdr:sp macro="" textlink="">
          <xdr:nvSpPr>
            <xdr:cNvPr id="19" name="Rectangle 18"/>
            <xdr:cNvSpPr/>
          </xdr:nvSpPr>
          <xdr:spPr>
            <a:xfrm>
              <a:off x="7843834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  <xdr:sp macro="" textlink="">
          <xdr:nvSpPr>
            <xdr:cNvPr id="20" name="Rectangle 19"/>
            <xdr:cNvSpPr/>
          </xdr:nvSpPr>
          <xdr:spPr>
            <a:xfrm>
              <a:off x="8297858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  <xdr:sp macro="" textlink="">
          <xdr:nvSpPr>
            <xdr:cNvPr id="21" name="Rectangle 20"/>
            <xdr:cNvSpPr/>
          </xdr:nvSpPr>
          <xdr:spPr>
            <a:xfrm>
              <a:off x="8643010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  <xdr:sp macro="" textlink="">
          <xdr:nvSpPr>
            <xdr:cNvPr id="22" name="Rectangle 21"/>
            <xdr:cNvSpPr/>
          </xdr:nvSpPr>
          <xdr:spPr>
            <a:xfrm>
              <a:off x="9097034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  <xdr:sp macro="" textlink="">
          <xdr:nvSpPr>
            <xdr:cNvPr id="23" name="Rectangle 22"/>
            <xdr:cNvSpPr/>
          </xdr:nvSpPr>
          <xdr:spPr>
            <a:xfrm>
              <a:off x="9459648" y="5726017"/>
              <a:ext cx="457200" cy="163417"/>
            </a:xfrm>
            <a:prstGeom prst="rect">
              <a:avLst/>
            </a:prstGeom>
            <a:grpFill/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r>
                <a:rPr lang="en-US" sz="700">
                  <a:solidFill>
                    <a:srgbClr val="000000">
                      <a:lumMod val="75000"/>
                      <a:lumOff val="25000"/>
                    </a:srgbClr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</a:t>
              </a:r>
            </a:p>
          </xdr:txBody>
        </xdr:sp>
      </xdr:grpSp>
    </xdr:grpSp>
    <xdr:clientData/>
  </xdr:twoCellAnchor>
  <xdr:twoCellAnchor>
    <xdr:from>
      <xdr:col>7</xdr:col>
      <xdr:colOff>296183</xdr:colOff>
      <xdr:row>0</xdr:row>
      <xdr:rowOff>0</xdr:rowOff>
    </xdr:from>
    <xdr:to>
      <xdr:col>11</xdr:col>
      <xdr:colOff>53778</xdr:colOff>
      <xdr:row>12</xdr:row>
      <xdr:rowOff>0</xdr:rowOff>
    </xdr:to>
    <xdr:sp macro="" textlink="">
      <xdr:nvSpPr>
        <xdr:cNvPr id="24" name="Rectangle 23"/>
        <xdr:cNvSpPr/>
      </xdr:nvSpPr>
      <xdr:spPr>
        <a:xfrm>
          <a:off x="4563383" y="0"/>
          <a:ext cx="2195995" cy="2286000"/>
        </a:xfrm>
        <a:prstGeom prst="rect">
          <a:avLst/>
        </a:prstGeom>
        <a:solidFill>
          <a:srgbClr val="6DC0EA">
            <a:lumMod val="50000"/>
          </a:srgbClr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endParaRPr lang="en-US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274593</xdr:colOff>
      <xdr:row>1</xdr:row>
      <xdr:rowOff>145783</xdr:rowOff>
    </xdr:from>
    <xdr:to>
      <xdr:col>11</xdr:col>
      <xdr:colOff>24568</xdr:colOff>
      <xdr:row>7</xdr:row>
      <xdr:rowOff>5374</xdr:rowOff>
    </xdr:to>
    <xdr:sp macro="" textlink="">
      <xdr:nvSpPr>
        <xdr:cNvPr id="25" name="TextBox 5"/>
        <xdr:cNvSpPr txBox="1"/>
      </xdr:nvSpPr>
      <xdr:spPr>
        <a:xfrm>
          <a:off x="4541793" y="336283"/>
          <a:ext cx="2188375" cy="100259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pPr algn="ctr"/>
          <a:r>
            <a:rPr lang="en-US" sz="2000">
              <a:solidFill>
                <a:sysClr val="window" lastClr="FFFFFF"/>
              </a:solidFill>
              <a:latin typeface="Arial" panose="020B0604020202020204" pitchFamily="34" charset="0"/>
              <a:cs typeface="Arial" panose="020B0604020202020204" pitchFamily="34" charset="0"/>
            </a:rPr>
            <a:t>Bank Partner Contribution and Ach of target</a:t>
          </a:r>
        </a:p>
      </xdr:txBody>
    </xdr:sp>
    <xdr:clientData/>
  </xdr:twoCellAnchor>
  <xdr:twoCellAnchor>
    <xdr:from>
      <xdr:col>0</xdr:col>
      <xdr:colOff>427494</xdr:colOff>
      <xdr:row>0</xdr:row>
      <xdr:rowOff>111148</xdr:rowOff>
    </xdr:from>
    <xdr:to>
      <xdr:col>3</xdr:col>
      <xdr:colOff>521337</xdr:colOff>
      <xdr:row>2</xdr:row>
      <xdr:rowOff>151549</xdr:rowOff>
    </xdr:to>
    <xdr:sp macro="" textlink="">
      <xdr:nvSpPr>
        <xdr:cNvPr id="26" name="TextBox 44"/>
        <xdr:cNvSpPr txBox="1"/>
      </xdr:nvSpPr>
      <xdr:spPr>
        <a:xfrm>
          <a:off x="427494" y="111148"/>
          <a:ext cx="1922643" cy="421401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pPr algn="ctr"/>
          <a:r>
            <a:rPr lang="en-US" sz="2800" b="1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99%</a:t>
          </a:r>
        </a:p>
      </xdr:txBody>
    </xdr:sp>
    <xdr:clientData/>
  </xdr:twoCellAnchor>
  <xdr:twoCellAnchor>
    <xdr:from>
      <xdr:col>0</xdr:col>
      <xdr:colOff>271134</xdr:colOff>
      <xdr:row>6</xdr:row>
      <xdr:rowOff>20496</xdr:rowOff>
    </xdr:from>
    <xdr:to>
      <xdr:col>4</xdr:col>
      <xdr:colOff>68097</xdr:colOff>
      <xdr:row>9</xdr:row>
      <xdr:rowOff>25953</xdr:rowOff>
    </xdr:to>
    <xdr:sp macro="" textlink="">
      <xdr:nvSpPr>
        <xdr:cNvPr id="27" name="TextBox 46"/>
        <xdr:cNvSpPr txBox="1"/>
      </xdr:nvSpPr>
      <xdr:spPr>
        <a:xfrm>
          <a:off x="271134" y="1163496"/>
          <a:ext cx="2235363" cy="57695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pPr algn="ctr"/>
          <a:r>
            <a:rPr lang="en-US" sz="1600" kern="0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% of APE Achievement</a:t>
          </a:r>
          <a:endParaRPr lang="en-US" sz="1600">
            <a:solidFill>
              <a:srgbClr val="1079B4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228600</xdr:colOff>
      <xdr:row>1</xdr:row>
      <xdr:rowOff>158799</xdr:rowOff>
    </xdr:from>
    <xdr:to>
      <xdr:col>7</xdr:col>
      <xdr:colOff>35256</xdr:colOff>
      <xdr:row>10</xdr:row>
      <xdr:rowOff>25351</xdr:rowOff>
    </xdr:to>
    <xdr:grpSp>
      <xdr:nvGrpSpPr>
        <xdr:cNvPr id="28" name="Group 27"/>
        <xdr:cNvGrpSpPr/>
      </xdr:nvGrpSpPr>
      <xdr:grpSpPr>
        <a:xfrm>
          <a:off x="2667000" y="349299"/>
          <a:ext cx="1635456" cy="1581052"/>
          <a:chOff x="2970212" y="573306"/>
          <a:chExt cx="1635456" cy="1523902"/>
        </a:xfrm>
      </xdr:grpSpPr>
      <xdr:cxnSp macro="">
        <xdr:nvCxnSpPr>
          <xdr:cNvPr id="29" name="Straight Connector 28"/>
          <xdr:cNvCxnSpPr/>
        </xdr:nvCxnSpPr>
        <xdr:spPr>
          <a:xfrm>
            <a:off x="3777809" y="573306"/>
            <a:ext cx="0" cy="1523902"/>
          </a:xfrm>
          <a:prstGeom prst="line">
            <a:avLst/>
          </a:prstGeom>
          <a:noFill/>
          <a:ln w="9525" cap="flat" cmpd="sng" algn="ctr">
            <a:solidFill>
              <a:srgbClr val="254D7E"/>
            </a:solidFill>
            <a:prstDash val="dash"/>
          </a:ln>
          <a:effectLst/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30" name="Group 29"/>
          <xdr:cNvGrpSpPr/>
        </xdr:nvGrpSpPr>
        <xdr:grpSpPr>
          <a:xfrm>
            <a:off x="3764085" y="671388"/>
            <a:ext cx="841583" cy="1401070"/>
            <a:chOff x="3764085" y="671388"/>
            <a:chExt cx="841583" cy="1401070"/>
          </a:xfrm>
        </xdr:grpSpPr>
        <xdr:sp macro="" textlink="">
          <xdr:nvSpPr>
            <xdr:cNvPr id="35" name="Down Arrow 34"/>
            <xdr:cNvSpPr/>
          </xdr:nvSpPr>
          <xdr:spPr>
            <a:xfrm rot="10800000">
              <a:off x="3984245" y="671388"/>
              <a:ext cx="381000" cy="386205"/>
            </a:xfrm>
            <a:prstGeom prst="downArrow">
              <a:avLst/>
            </a:prstGeom>
            <a:solidFill>
              <a:srgbClr val="92D050"/>
            </a:solidFill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endParaRPr lang="en-US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6" name="TextBox 50"/>
            <xdr:cNvSpPr txBox="1"/>
          </xdr:nvSpPr>
          <xdr:spPr>
            <a:xfrm>
              <a:off x="3765229" y="1115704"/>
              <a:ext cx="840439" cy="46166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9pPr>
            </a:lstStyle>
            <a:p>
              <a:pPr algn="ctr"/>
              <a:r>
                <a:rPr lang="en-US" b="1">
                  <a:solidFill>
                    <a:srgbClr val="254D7E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99%</a:t>
              </a:r>
            </a:p>
          </xdr:txBody>
        </xdr:sp>
        <xdr:sp macro="" textlink="">
          <xdr:nvSpPr>
            <xdr:cNvPr id="37" name="TextBox 51"/>
            <xdr:cNvSpPr txBox="1"/>
          </xdr:nvSpPr>
          <xdr:spPr>
            <a:xfrm>
              <a:off x="3764085" y="1549238"/>
              <a:ext cx="821320" cy="52322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9pPr>
            </a:lstStyle>
            <a:p>
              <a:pPr algn="ctr"/>
              <a:r>
                <a:rPr lang="en-US" sz="1400">
                  <a:solidFill>
                    <a:srgbClr val="254D7E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Sample text</a:t>
              </a:r>
            </a:p>
          </xdr:txBody>
        </xdr:sp>
      </xdr:grpSp>
      <xdr:grpSp>
        <xdr:nvGrpSpPr>
          <xdr:cNvPr id="31" name="Group 30"/>
          <xdr:cNvGrpSpPr/>
        </xdr:nvGrpSpPr>
        <xdr:grpSpPr>
          <a:xfrm>
            <a:off x="2970212" y="671388"/>
            <a:ext cx="841583" cy="1376879"/>
            <a:chOff x="2970212" y="671388"/>
            <a:chExt cx="841583" cy="1376879"/>
          </a:xfrm>
        </xdr:grpSpPr>
        <xdr:sp macro="" textlink="">
          <xdr:nvSpPr>
            <xdr:cNvPr id="32" name="Down Arrow 31"/>
            <xdr:cNvSpPr/>
          </xdr:nvSpPr>
          <xdr:spPr>
            <a:xfrm>
              <a:off x="3190372" y="671388"/>
              <a:ext cx="381000" cy="386205"/>
            </a:xfrm>
            <a:prstGeom prst="downArrow">
              <a:avLst/>
            </a:prstGeom>
            <a:solidFill>
              <a:srgbClr val="FF0000"/>
            </a:solidFill>
            <a:ln w="25400" cap="flat" cmpd="sng" algn="ctr">
              <a:noFill/>
              <a:prstDash val="solid"/>
            </a:ln>
            <a:effectLst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ysClr val="window" lastClr="FFFFFF"/>
                  </a:solidFill>
                  <a:latin typeface="Calibri"/>
                </a:defRPr>
              </a:lvl9pPr>
            </a:lstStyle>
            <a:p>
              <a:pPr algn="ctr"/>
              <a:endParaRPr lang="en-US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3" name="TextBox 47"/>
            <xdr:cNvSpPr txBox="1"/>
          </xdr:nvSpPr>
          <xdr:spPr>
            <a:xfrm>
              <a:off x="2971356" y="1115704"/>
              <a:ext cx="840439" cy="46166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9pPr>
            </a:lstStyle>
            <a:p>
              <a:pPr algn="ctr"/>
              <a:r>
                <a:rPr lang="en-US" b="1">
                  <a:solidFill>
                    <a:srgbClr val="254D7E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99%</a:t>
              </a:r>
            </a:p>
          </xdr:txBody>
        </xdr:sp>
        <xdr:sp macro="" textlink="">
          <xdr:nvSpPr>
            <xdr:cNvPr id="34" name="TextBox 52"/>
            <xdr:cNvSpPr txBox="1"/>
          </xdr:nvSpPr>
          <xdr:spPr>
            <a:xfrm>
              <a:off x="2970212" y="1549238"/>
              <a:ext cx="821320" cy="49902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1pPr>
              <a:lvl2pPr marL="60949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2pPr>
              <a:lvl3pPr marL="121898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3pPr>
              <a:lvl4pPr marL="182848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4pPr>
              <a:lvl5pPr marL="243797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5pPr>
              <a:lvl6pPr marL="304746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6pPr>
              <a:lvl7pPr marL="3656960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7pPr>
              <a:lvl8pPr marL="4266453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8pPr>
              <a:lvl9pPr marL="4875947" algn="l" defTabSz="1218987" rtl="0" eaLnBrk="1" latinLnBrk="0" hangingPunct="1">
                <a:defRPr sz="2400" kern="1200">
                  <a:solidFill>
                    <a:srgbClr val="000000"/>
                  </a:solidFill>
                  <a:latin typeface="Calibri"/>
                </a:defRPr>
              </a:lvl9pPr>
            </a:lstStyle>
            <a:p>
              <a:pPr algn="ctr"/>
              <a:r>
                <a:rPr lang="en-US" sz="1400">
                  <a:solidFill>
                    <a:srgbClr val="254D7E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Growth YoY</a:t>
              </a:r>
            </a:p>
          </xdr:txBody>
        </xdr:sp>
      </xdr:grpSp>
    </xdr:grpSp>
    <xdr:clientData/>
  </xdr:twoCellAnchor>
  <xdr:twoCellAnchor>
    <xdr:from>
      <xdr:col>0</xdr:col>
      <xdr:colOff>0</xdr:colOff>
      <xdr:row>12</xdr:row>
      <xdr:rowOff>76200</xdr:rowOff>
    </xdr:from>
    <xdr:to>
      <xdr:col>6</xdr:col>
      <xdr:colOff>154305</xdr:colOff>
      <xdr:row>22</xdr:row>
      <xdr:rowOff>46338</xdr:rowOff>
    </xdr:to>
    <xdr:sp macro="" textlink="">
      <xdr:nvSpPr>
        <xdr:cNvPr id="38" name="Rounded Rectangle 37"/>
        <xdr:cNvSpPr/>
      </xdr:nvSpPr>
      <xdr:spPr>
        <a:xfrm>
          <a:off x="0" y="2362200"/>
          <a:ext cx="3811905" cy="1875138"/>
        </a:xfrm>
        <a:prstGeom prst="roundRect">
          <a:avLst>
            <a:gd name="adj" fmla="val 6322"/>
          </a:avLst>
        </a:prstGeom>
        <a:solidFill>
          <a:sysClr val="window" lastClr="FFFFFF">
            <a:lumMod val="95000"/>
          </a:sysClr>
        </a:solidFill>
        <a:ln w="25400" cap="flat" cmpd="sng" algn="ctr">
          <a:noFill/>
          <a:prstDash val="solid"/>
        </a:ln>
        <a:effectLst>
          <a:outerShdw blurRad="38100" dist="38100" dir="5400000" algn="t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endParaRPr lang="en-US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177842</xdr:colOff>
      <xdr:row>14</xdr:row>
      <xdr:rowOff>109508</xdr:rowOff>
    </xdr:from>
    <xdr:to>
      <xdr:col>2</xdr:col>
      <xdr:colOff>391570</xdr:colOff>
      <xdr:row>16</xdr:row>
      <xdr:rowOff>149908</xdr:rowOff>
    </xdr:to>
    <xdr:sp macro="" textlink="">
      <xdr:nvSpPr>
        <xdr:cNvPr id="39" name="TextBox 150"/>
        <xdr:cNvSpPr txBox="1"/>
      </xdr:nvSpPr>
      <xdr:spPr>
        <a:xfrm>
          <a:off x="177842" y="2776508"/>
          <a:ext cx="1432928" cy="421400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r>
            <a:rPr lang="en-US" sz="2800" b="1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Avg 2.2 </a:t>
          </a:r>
        </a:p>
      </xdr:txBody>
    </xdr:sp>
    <xdr:clientData/>
  </xdr:twoCellAnchor>
  <xdr:twoCellAnchor>
    <xdr:from>
      <xdr:col>0</xdr:col>
      <xdr:colOff>117699</xdr:colOff>
      <xdr:row>12</xdr:row>
      <xdr:rowOff>145048</xdr:rowOff>
    </xdr:from>
    <xdr:to>
      <xdr:col>3</xdr:col>
      <xdr:colOff>296333</xdr:colOff>
      <xdr:row>14</xdr:row>
      <xdr:rowOff>130305</xdr:rowOff>
    </xdr:to>
    <xdr:sp macro="" textlink="">
      <xdr:nvSpPr>
        <xdr:cNvPr id="40" name="TextBox 172"/>
        <xdr:cNvSpPr txBox="1"/>
      </xdr:nvSpPr>
      <xdr:spPr>
        <a:xfrm>
          <a:off x="117699" y="2431048"/>
          <a:ext cx="2007434" cy="36625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r>
            <a:rPr lang="en-US" sz="1800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Case Per Active</a:t>
          </a:r>
        </a:p>
      </xdr:txBody>
    </xdr:sp>
    <xdr:clientData/>
  </xdr:twoCellAnchor>
  <xdr:twoCellAnchor>
    <xdr:from>
      <xdr:col>3</xdr:col>
      <xdr:colOff>125667</xdr:colOff>
      <xdr:row>12</xdr:row>
      <xdr:rowOff>169555</xdr:rowOff>
    </xdr:from>
    <xdr:to>
      <xdr:col>6</xdr:col>
      <xdr:colOff>23433</xdr:colOff>
      <xdr:row>21</xdr:row>
      <xdr:rowOff>171562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212583</xdr:colOff>
      <xdr:row>12</xdr:row>
      <xdr:rowOff>76200</xdr:rowOff>
    </xdr:from>
    <xdr:to>
      <xdr:col>12</xdr:col>
      <xdr:colOff>379802</xdr:colOff>
      <xdr:row>22</xdr:row>
      <xdr:rowOff>46338</xdr:rowOff>
    </xdr:to>
    <xdr:sp macro="" textlink="">
      <xdr:nvSpPr>
        <xdr:cNvPr id="42" name="Rounded Rectangle 41"/>
        <xdr:cNvSpPr/>
      </xdr:nvSpPr>
      <xdr:spPr>
        <a:xfrm>
          <a:off x="3870183" y="2362200"/>
          <a:ext cx="3824819" cy="1875138"/>
        </a:xfrm>
        <a:prstGeom prst="roundRect">
          <a:avLst>
            <a:gd name="adj" fmla="val 6322"/>
          </a:avLst>
        </a:prstGeom>
        <a:solidFill>
          <a:sysClr val="window" lastClr="FFFFFF">
            <a:lumMod val="95000"/>
          </a:sysClr>
        </a:solidFill>
        <a:ln w="25400" cap="flat" cmpd="sng" algn="ctr">
          <a:noFill/>
          <a:prstDash val="solid"/>
        </a:ln>
        <a:effectLst>
          <a:outerShdw blurRad="38100" dist="38100" dir="5400000" algn="t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endParaRPr lang="en-US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323212</xdr:colOff>
      <xdr:row>12</xdr:row>
      <xdr:rowOff>145048</xdr:rowOff>
    </xdr:from>
    <xdr:to>
      <xdr:col>9</xdr:col>
      <xdr:colOff>125387</xdr:colOff>
      <xdr:row>14</xdr:row>
      <xdr:rowOff>130305</xdr:rowOff>
    </xdr:to>
    <xdr:sp macro="" textlink="">
      <xdr:nvSpPr>
        <xdr:cNvPr id="43" name="TextBox 182"/>
        <xdr:cNvSpPr txBox="1"/>
      </xdr:nvSpPr>
      <xdr:spPr>
        <a:xfrm>
          <a:off x="3980812" y="2431048"/>
          <a:ext cx="1630975" cy="36625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r>
            <a:rPr lang="en-US" sz="1800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Active Ratio</a:t>
          </a:r>
        </a:p>
      </xdr:txBody>
    </xdr:sp>
    <xdr:clientData/>
  </xdr:twoCellAnchor>
  <xdr:twoCellAnchor>
    <xdr:from>
      <xdr:col>9</xdr:col>
      <xdr:colOff>64626</xdr:colOff>
      <xdr:row>12</xdr:row>
      <xdr:rowOff>157025</xdr:rowOff>
    </xdr:from>
    <xdr:to>
      <xdr:col>12</xdr:col>
      <xdr:colOff>173433</xdr:colOff>
      <xdr:row>21</xdr:row>
      <xdr:rowOff>104997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414390</xdr:colOff>
      <xdr:row>14</xdr:row>
      <xdr:rowOff>120324</xdr:rowOff>
    </xdr:from>
    <xdr:to>
      <xdr:col>9</xdr:col>
      <xdr:colOff>18518</xdr:colOff>
      <xdr:row>16</xdr:row>
      <xdr:rowOff>160724</xdr:rowOff>
    </xdr:to>
    <xdr:sp macro="" textlink="">
      <xdr:nvSpPr>
        <xdr:cNvPr id="45" name="TextBox 189"/>
        <xdr:cNvSpPr txBox="1"/>
      </xdr:nvSpPr>
      <xdr:spPr>
        <a:xfrm>
          <a:off x="4071990" y="2787324"/>
          <a:ext cx="1432928" cy="421400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r>
            <a:rPr lang="en-US" sz="2800" b="1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99%</a:t>
          </a:r>
        </a:p>
      </xdr:txBody>
    </xdr:sp>
    <xdr:clientData/>
  </xdr:twoCellAnchor>
  <xdr:twoCellAnchor>
    <xdr:from>
      <xdr:col>12</xdr:col>
      <xdr:colOff>438080</xdr:colOff>
      <xdr:row>12</xdr:row>
      <xdr:rowOff>76200</xdr:rowOff>
    </xdr:from>
    <xdr:to>
      <xdr:col>18</xdr:col>
      <xdr:colOff>597540</xdr:colOff>
      <xdr:row>22</xdr:row>
      <xdr:rowOff>46338</xdr:rowOff>
    </xdr:to>
    <xdr:sp macro="" textlink="">
      <xdr:nvSpPr>
        <xdr:cNvPr id="46" name="Rounded Rectangle 45"/>
        <xdr:cNvSpPr/>
      </xdr:nvSpPr>
      <xdr:spPr>
        <a:xfrm>
          <a:off x="7753280" y="2362200"/>
          <a:ext cx="3817060" cy="1875138"/>
        </a:xfrm>
        <a:prstGeom prst="roundRect">
          <a:avLst>
            <a:gd name="adj" fmla="val 6322"/>
          </a:avLst>
        </a:prstGeom>
        <a:solidFill>
          <a:sysClr val="window" lastClr="FFFFFF">
            <a:lumMod val="95000"/>
          </a:sysClr>
        </a:solidFill>
        <a:ln w="25400" cap="flat" cmpd="sng" algn="ctr">
          <a:noFill/>
          <a:prstDash val="solid"/>
        </a:ln>
        <a:effectLst>
          <a:outerShdw blurRad="38100" dist="38100" dir="5400000" algn="t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endParaRPr lang="en-US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172015</xdr:colOff>
      <xdr:row>12</xdr:row>
      <xdr:rowOff>111182</xdr:rowOff>
    </xdr:from>
    <xdr:to>
      <xdr:col>18</xdr:col>
      <xdr:colOff>583790</xdr:colOff>
      <xdr:row>14</xdr:row>
      <xdr:rowOff>96439</xdr:rowOff>
    </xdr:to>
    <xdr:sp macro="" textlink="">
      <xdr:nvSpPr>
        <xdr:cNvPr id="47" name="TextBox 187"/>
        <xdr:cNvSpPr txBox="1"/>
      </xdr:nvSpPr>
      <xdr:spPr>
        <a:xfrm>
          <a:off x="9925615" y="2397182"/>
          <a:ext cx="1630975" cy="36625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r>
            <a:rPr lang="en-US" sz="1800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Case Size</a:t>
          </a:r>
        </a:p>
      </xdr:txBody>
    </xdr:sp>
    <xdr:clientData/>
  </xdr:twoCellAnchor>
  <xdr:twoCellAnchor>
    <xdr:from>
      <xdr:col>12</xdr:col>
      <xdr:colOff>461687</xdr:colOff>
      <xdr:row>12</xdr:row>
      <xdr:rowOff>176884</xdr:rowOff>
    </xdr:from>
    <xdr:to>
      <xdr:col>16</xdr:col>
      <xdr:colOff>23180</xdr:colOff>
      <xdr:row>21</xdr:row>
      <xdr:rowOff>76200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480579</xdr:colOff>
      <xdr:row>14</xdr:row>
      <xdr:rowOff>171509</xdr:rowOff>
    </xdr:from>
    <xdr:to>
      <xdr:col>18</xdr:col>
      <xdr:colOff>432610</xdr:colOff>
      <xdr:row>19</xdr:row>
      <xdr:rowOff>66042</xdr:rowOff>
    </xdr:to>
    <xdr:sp macro="" textlink="">
      <xdr:nvSpPr>
        <xdr:cNvPr id="49" name="TextBox 202"/>
        <xdr:cNvSpPr txBox="1"/>
      </xdr:nvSpPr>
      <xdr:spPr>
        <a:xfrm>
          <a:off x="10234179" y="2838509"/>
          <a:ext cx="1171231" cy="847033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pPr algn="ctr"/>
          <a:r>
            <a:rPr lang="en-US" sz="2800" b="1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Avg 17 mn</a:t>
          </a:r>
        </a:p>
      </xdr:txBody>
    </xdr:sp>
    <xdr:clientData/>
  </xdr:twoCellAnchor>
  <xdr:twoCellAnchor>
    <xdr:from>
      <xdr:col>0</xdr:col>
      <xdr:colOff>0</xdr:colOff>
      <xdr:row>22</xdr:row>
      <xdr:rowOff>132292</xdr:rowOff>
    </xdr:from>
    <xdr:to>
      <xdr:col>12</xdr:col>
      <xdr:colOff>62324</xdr:colOff>
      <xdr:row>34</xdr:row>
      <xdr:rowOff>132292</xdr:rowOff>
    </xdr:to>
    <xdr:sp macro="" textlink="">
      <xdr:nvSpPr>
        <xdr:cNvPr id="50" name="Rounded Rectangle 49"/>
        <xdr:cNvSpPr/>
      </xdr:nvSpPr>
      <xdr:spPr>
        <a:xfrm>
          <a:off x="0" y="4323292"/>
          <a:ext cx="7377524" cy="2286000"/>
        </a:xfrm>
        <a:prstGeom prst="roundRect">
          <a:avLst>
            <a:gd name="adj" fmla="val 6322"/>
          </a:avLst>
        </a:prstGeom>
        <a:solidFill>
          <a:sysClr val="window" lastClr="FFFFFF">
            <a:lumMod val="95000"/>
          </a:sysClr>
        </a:solidFill>
        <a:ln w="25400" cap="flat" cmpd="sng" algn="ctr">
          <a:noFill/>
          <a:prstDash val="solid"/>
        </a:ln>
        <a:effectLst>
          <a:outerShdw blurRad="38100" dist="38100" dir="5400000" algn="t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endParaRPr lang="en-US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135642</xdr:colOff>
      <xdr:row>22</xdr:row>
      <xdr:rowOff>136186</xdr:rowOff>
    </xdr:from>
    <xdr:to>
      <xdr:col>18</xdr:col>
      <xdr:colOff>597539</xdr:colOff>
      <xdr:row>34</xdr:row>
      <xdr:rowOff>136186</xdr:rowOff>
    </xdr:to>
    <xdr:sp macro="" textlink="">
      <xdr:nvSpPr>
        <xdr:cNvPr id="51" name="Rounded Rectangle 50"/>
        <xdr:cNvSpPr/>
      </xdr:nvSpPr>
      <xdr:spPr>
        <a:xfrm>
          <a:off x="7450842" y="4327186"/>
          <a:ext cx="4119497" cy="2286000"/>
        </a:xfrm>
        <a:prstGeom prst="roundRect">
          <a:avLst>
            <a:gd name="adj" fmla="val 6322"/>
          </a:avLst>
        </a:prstGeom>
        <a:solidFill>
          <a:sysClr val="window" lastClr="FFFFFF">
            <a:lumMod val="95000"/>
          </a:sysClr>
        </a:solidFill>
        <a:ln w="25400" cap="flat" cmpd="sng" algn="ctr">
          <a:noFill/>
          <a:prstDash val="solid"/>
        </a:ln>
        <a:effectLst>
          <a:outerShdw blurRad="38100" dist="38100" dir="5400000" algn="t" rotWithShape="0">
            <a:prstClr val="black">
              <a:alpha val="15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ysClr val="window" lastClr="FFFFFF"/>
              </a:solidFill>
              <a:latin typeface="Calibri"/>
            </a:defRPr>
          </a:lvl9pPr>
        </a:lstStyle>
        <a:p>
          <a:pPr algn="ctr"/>
          <a:endParaRPr lang="en-US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44201</xdr:colOff>
      <xdr:row>31</xdr:row>
      <xdr:rowOff>15829</xdr:rowOff>
    </xdr:from>
    <xdr:to>
      <xdr:col>18</xdr:col>
      <xdr:colOff>387818</xdr:colOff>
      <xdr:row>32</xdr:row>
      <xdr:rowOff>98932</xdr:rowOff>
    </xdr:to>
    <xdr:sp macro="" textlink="">
      <xdr:nvSpPr>
        <xdr:cNvPr id="52" name="TextBox 251"/>
        <xdr:cNvSpPr txBox="1"/>
      </xdr:nvSpPr>
      <xdr:spPr>
        <a:xfrm>
          <a:off x="9188201" y="5921329"/>
          <a:ext cx="2172417" cy="27360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pPr algn="r"/>
          <a:r>
            <a:rPr lang="en-US" sz="1200" kern="0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Total IS/IO HC</a:t>
          </a:r>
        </a:p>
      </xdr:txBody>
    </xdr:sp>
    <xdr:clientData/>
  </xdr:twoCellAnchor>
  <xdr:twoCellAnchor>
    <xdr:from>
      <xdr:col>12</xdr:col>
      <xdr:colOff>351552</xdr:colOff>
      <xdr:row>23</xdr:row>
      <xdr:rowOff>127014</xdr:rowOff>
    </xdr:from>
    <xdr:to>
      <xdr:col>15</xdr:col>
      <xdr:colOff>193966</xdr:colOff>
      <xdr:row>33</xdr:row>
      <xdr:rowOff>147309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109232</xdr:colOff>
      <xdr:row>22</xdr:row>
      <xdr:rowOff>104444</xdr:rowOff>
    </xdr:from>
    <xdr:to>
      <xdr:col>7</xdr:col>
      <xdr:colOff>364067</xdr:colOff>
      <xdr:row>24</xdr:row>
      <xdr:rowOff>119197</xdr:rowOff>
    </xdr:to>
    <xdr:sp macro="" textlink="">
      <xdr:nvSpPr>
        <xdr:cNvPr id="54" name="TextBox 277"/>
        <xdr:cNvSpPr txBox="1"/>
      </xdr:nvSpPr>
      <xdr:spPr>
        <a:xfrm>
          <a:off x="109232" y="4295444"/>
          <a:ext cx="4522035" cy="39575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r>
            <a:rPr lang="en-US" sz="2000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IO/IS Producitivity</a:t>
          </a:r>
        </a:p>
      </xdr:txBody>
    </xdr:sp>
    <xdr:clientData/>
  </xdr:twoCellAnchor>
  <xdr:twoCellAnchor>
    <xdr:from>
      <xdr:col>0</xdr:col>
      <xdr:colOff>147075</xdr:colOff>
      <xdr:row>24</xdr:row>
      <xdr:rowOff>113431</xdr:rowOff>
    </xdr:from>
    <xdr:to>
      <xdr:col>9</xdr:col>
      <xdr:colOff>24451</xdr:colOff>
      <xdr:row>33</xdr:row>
      <xdr:rowOff>162465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362807</xdr:colOff>
      <xdr:row>23</xdr:row>
      <xdr:rowOff>24443</xdr:rowOff>
    </xdr:from>
    <xdr:to>
      <xdr:col>11</xdr:col>
      <xdr:colOff>576535</xdr:colOff>
      <xdr:row>25</xdr:row>
      <xdr:rowOff>64843</xdr:rowOff>
    </xdr:to>
    <xdr:sp macro="" textlink="">
      <xdr:nvSpPr>
        <xdr:cNvPr id="56" name="TextBox 287"/>
        <xdr:cNvSpPr txBox="1"/>
      </xdr:nvSpPr>
      <xdr:spPr>
        <a:xfrm>
          <a:off x="5849207" y="4405943"/>
          <a:ext cx="1432928" cy="421400"/>
        </a:xfrm>
        <a:prstGeom prst="rect">
          <a:avLst/>
        </a:prstGeom>
        <a:noFill/>
      </xdr:spPr>
      <xdr:txBody>
        <a:bodyPr wrap="square" lIns="0" tIns="0" rIns="0" bIns="0" rtlCol="0">
          <a:spAutoFit/>
        </a:bodyPr>
        <a:lstStyle>
          <a:defPPr>
            <a:defRPr lang="en-US"/>
          </a:defPPr>
          <a:lvl1pPr marL="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1pPr>
          <a:lvl2pPr marL="60949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2pPr>
          <a:lvl3pPr marL="121898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3pPr>
          <a:lvl4pPr marL="182848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4pPr>
          <a:lvl5pPr marL="243797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5pPr>
          <a:lvl6pPr marL="304746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6pPr>
          <a:lvl7pPr marL="3656960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7pPr>
          <a:lvl8pPr marL="4266453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8pPr>
          <a:lvl9pPr marL="4875947" algn="l" defTabSz="1218987" rtl="0" eaLnBrk="1" latinLnBrk="0" hangingPunct="1">
            <a:defRPr sz="2400" kern="1200">
              <a:solidFill>
                <a:srgbClr val="000000"/>
              </a:solidFill>
              <a:latin typeface="Calibri"/>
            </a:defRPr>
          </a:lvl9pPr>
        </a:lstStyle>
        <a:p>
          <a:pPr algn="ctr"/>
          <a:r>
            <a:rPr lang="en-US" sz="2800" b="1">
              <a:solidFill>
                <a:srgbClr val="1079B4"/>
              </a:solidFill>
              <a:latin typeface="Arial" panose="020B0604020202020204" pitchFamily="34" charset="0"/>
              <a:cs typeface="Arial" panose="020B0604020202020204" pitchFamily="34" charset="0"/>
            </a:rPr>
            <a:t>Avg -</a:t>
          </a:r>
        </a:p>
      </xdr:txBody>
    </xdr:sp>
    <xdr:clientData/>
  </xdr:twoCellAnchor>
  <xdr:twoCellAnchor>
    <xdr:from>
      <xdr:col>9</xdr:col>
      <xdr:colOff>193729</xdr:colOff>
      <xdr:row>26</xdr:row>
      <xdr:rowOff>176936</xdr:rowOff>
    </xdr:from>
    <xdr:to>
      <xdr:col>11</xdr:col>
      <xdr:colOff>579041</xdr:colOff>
      <xdr:row>33</xdr:row>
      <xdr:rowOff>147133</xdr:rowOff>
    </xdr:to>
    <xdr:grpSp>
      <xdr:nvGrpSpPr>
        <xdr:cNvPr id="57" name="Group 56"/>
        <xdr:cNvGrpSpPr/>
      </xdr:nvGrpSpPr>
      <xdr:grpSpPr>
        <a:xfrm>
          <a:off x="5680129" y="5129936"/>
          <a:ext cx="1604512" cy="1303697"/>
          <a:chOff x="3613378" y="856189"/>
          <a:chExt cx="1604512" cy="1259423"/>
        </a:xfrm>
      </xdr:grpSpPr>
      <xdr:grpSp>
        <xdr:nvGrpSpPr>
          <xdr:cNvPr id="58" name="Group 57"/>
          <xdr:cNvGrpSpPr/>
        </xdr:nvGrpSpPr>
        <xdr:grpSpPr>
          <a:xfrm>
            <a:off x="3837012" y="856189"/>
            <a:ext cx="1157173" cy="1259423"/>
            <a:chOff x="3646512" y="1846789"/>
            <a:chExt cx="1157173" cy="1259423"/>
          </a:xfrm>
        </xdr:grpSpPr>
        <xdr:grpSp>
          <xdr:nvGrpSpPr>
            <xdr:cNvPr id="63" name="Group 62"/>
            <xdr:cNvGrpSpPr/>
          </xdr:nvGrpSpPr>
          <xdr:grpSpPr>
            <a:xfrm>
              <a:off x="3646512" y="1970172"/>
              <a:ext cx="1157173" cy="383078"/>
              <a:chOff x="3646512" y="1970172"/>
              <a:chExt cx="1157173" cy="383078"/>
            </a:xfrm>
          </xdr:grpSpPr>
          <xdr:sp macro="" textlink="">
            <xdr:nvSpPr>
              <xdr:cNvPr id="65" name="Down Arrow 64"/>
              <xdr:cNvSpPr/>
            </xdr:nvSpPr>
            <xdr:spPr>
              <a:xfrm>
                <a:off x="3646512" y="1970172"/>
                <a:ext cx="381000" cy="383078"/>
              </a:xfrm>
              <a:prstGeom prst="downArrow">
                <a:avLst/>
              </a:prstGeom>
              <a:solidFill>
                <a:srgbClr val="FF0000"/>
              </a:solidFill>
              <a:ln w="25400" cap="flat" cmpd="sng" algn="ctr">
                <a:noFill/>
                <a:prstDash val="solid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1pPr>
                <a:lvl2pPr marL="60949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2pPr>
                <a:lvl3pPr marL="121898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3pPr>
                <a:lvl4pPr marL="182848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4pPr>
                <a:lvl5pPr marL="243797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5pPr>
                <a:lvl6pPr marL="304746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6pPr>
                <a:lvl7pPr marL="365696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7pPr>
                <a:lvl8pPr marL="426645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8pPr>
                <a:lvl9pPr marL="487594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9pPr>
              </a:lstStyle>
              <a:p>
                <a:pPr algn="ctr"/>
                <a:endParaRPr lang="en-US">
                  <a:solidFill>
                    <a:srgbClr val="1079B4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66" name="Down Arrow 65"/>
              <xdr:cNvSpPr/>
            </xdr:nvSpPr>
            <xdr:spPr>
              <a:xfrm rot="10800000">
                <a:off x="4422685" y="1970172"/>
                <a:ext cx="381000" cy="383078"/>
              </a:xfrm>
              <a:prstGeom prst="downArrow">
                <a:avLst/>
              </a:prstGeom>
              <a:solidFill>
                <a:srgbClr val="92D050"/>
              </a:solidFill>
              <a:ln w="25400" cap="flat" cmpd="sng" algn="ctr">
                <a:noFill/>
                <a:prstDash val="solid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1pPr>
                <a:lvl2pPr marL="60949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2pPr>
                <a:lvl3pPr marL="121898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3pPr>
                <a:lvl4pPr marL="182848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4pPr>
                <a:lvl5pPr marL="243797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5pPr>
                <a:lvl6pPr marL="304746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6pPr>
                <a:lvl7pPr marL="365696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7pPr>
                <a:lvl8pPr marL="426645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8pPr>
                <a:lvl9pPr marL="487594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9pPr>
              </a:lstStyle>
              <a:p>
                <a:pPr algn="ctr"/>
                <a:endParaRPr lang="en-US">
                  <a:solidFill>
                    <a:srgbClr val="1079B4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cxnSp macro="">
          <xdr:nvCxnSpPr>
            <xdr:cNvPr id="64" name="Straight Connector 63"/>
            <xdr:cNvCxnSpPr/>
          </xdr:nvCxnSpPr>
          <xdr:spPr>
            <a:xfrm>
              <a:off x="4206070" y="1846789"/>
              <a:ext cx="0" cy="1259423"/>
            </a:xfrm>
            <a:prstGeom prst="line">
              <a:avLst/>
            </a:prstGeom>
            <a:noFill/>
            <a:ln w="9525" cap="flat" cmpd="sng" algn="ctr">
              <a:solidFill>
                <a:srgbClr val="254D7E"/>
              </a:solidFill>
              <a:prstDash val="dash"/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59" name="TextBox 301"/>
          <xdr:cNvSpPr txBox="1"/>
        </xdr:nvSpPr>
        <xdr:spPr>
          <a:xfrm>
            <a:off x="3625560" y="1406476"/>
            <a:ext cx="795017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9pPr>
          </a:lstStyle>
          <a:p>
            <a:pPr algn="ctr"/>
            <a:r>
              <a:rPr lang="en-US" sz="1400" b="1">
                <a:solidFill>
                  <a:srgbClr val="1079B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99%</a:t>
            </a:r>
          </a:p>
        </xdr:txBody>
      </xdr:sp>
      <xdr:sp macro="" textlink="">
        <xdr:nvSpPr>
          <xdr:cNvPr id="60" name="TextBox 302"/>
          <xdr:cNvSpPr txBox="1"/>
        </xdr:nvSpPr>
        <xdr:spPr>
          <a:xfrm>
            <a:off x="4392472" y="1406476"/>
            <a:ext cx="795017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9pPr>
          </a:lstStyle>
          <a:p>
            <a:pPr algn="ctr"/>
            <a:r>
              <a:rPr lang="en-US" sz="1400" b="1">
                <a:solidFill>
                  <a:srgbClr val="1079B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99%</a:t>
            </a:r>
          </a:p>
        </xdr:txBody>
      </xdr:sp>
      <xdr:sp macro="" textlink="">
        <xdr:nvSpPr>
          <xdr:cNvPr id="61" name="TextBox 303"/>
          <xdr:cNvSpPr txBox="1"/>
        </xdr:nvSpPr>
        <xdr:spPr>
          <a:xfrm>
            <a:off x="4396570" y="1699881"/>
            <a:ext cx="821320" cy="2516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9pPr>
          </a:lstStyle>
          <a:p>
            <a:pPr algn="ctr"/>
            <a:r>
              <a:rPr lang="en-US" sz="1100">
                <a:solidFill>
                  <a:srgbClr val="1079B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IS up by </a:t>
            </a:r>
          </a:p>
        </xdr:txBody>
      </xdr:sp>
      <xdr:sp macro="" textlink="">
        <xdr:nvSpPr>
          <xdr:cNvPr id="62" name="TextBox 304"/>
          <xdr:cNvSpPr txBox="1"/>
        </xdr:nvSpPr>
        <xdr:spPr>
          <a:xfrm>
            <a:off x="3613378" y="1699881"/>
            <a:ext cx="821320" cy="41199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9pPr>
          </a:lstStyle>
          <a:p>
            <a:pPr algn="ctr"/>
            <a:r>
              <a:rPr lang="en-US" sz="1100">
                <a:solidFill>
                  <a:srgbClr val="1079B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IO down by</a:t>
            </a:r>
          </a:p>
        </xdr:txBody>
      </xdr:sp>
    </xdr:grpSp>
    <xdr:clientData/>
  </xdr:twoCellAnchor>
  <xdr:twoCellAnchor>
    <xdr:from>
      <xdr:col>15</xdr:col>
      <xdr:colOff>529009</xdr:colOff>
      <xdr:row>23</xdr:row>
      <xdr:rowOff>127014</xdr:rowOff>
    </xdr:from>
    <xdr:to>
      <xdr:col>18</xdr:col>
      <xdr:colOff>304721</xdr:colOff>
      <xdr:row>30</xdr:row>
      <xdr:rowOff>97211</xdr:rowOff>
    </xdr:to>
    <xdr:grpSp>
      <xdr:nvGrpSpPr>
        <xdr:cNvPr id="67" name="Group 66"/>
        <xdr:cNvGrpSpPr/>
      </xdr:nvGrpSpPr>
      <xdr:grpSpPr>
        <a:xfrm>
          <a:off x="9673009" y="4508514"/>
          <a:ext cx="1604512" cy="1303697"/>
          <a:chOff x="3613378" y="856189"/>
          <a:chExt cx="1604512" cy="1259423"/>
        </a:xfrm>
      </xdr:grpSpPr>
      <xdr:grpSp>
        <xdr:nvGrpSpPr>
          <xdr:cNvPr id="68" name="Group 67"/>
          <xdr:cNvGrpSpPr/>
        </xdr:nvGrpSpPr>
        <xdr:grpSpPr>
          <a:xfrm>
            <a:off x="3837012" y="856189"/>
            <a:ext cx="1157173" cy="1259423"/>
            <a:chOff x="3646512" y="1846789"/>
            <a:chExt cx="1157173" cy="1259423"/>
          </a:xfrm>
        </xdr:grpSpPr>
        <xdr:grpSp>
          <xdr:nvGrpSpPr>
            <xdr:cNvPr id="73" name="Group 72"/>
            <xdr:cNvGrpSpPr/>
          </xdr:nvGrpSpPr>
          <xdr:grpSpPr>
            <a:xfrm>
              <a:off x="3646512" y="1970172"/>
              <a:ext cx="1157173" cy="383078"/>
              <a:chOff x="3646512" y="1970172"/>
              <a:chExt cx="1157173" cy="383078"/>
            </a:xfrm>
          </xdr:grpSpPr>
          <xdr:sp macro="" textlink="">
            <xdr:nvSpPr>
              <xdr:cNvPr id="75" name="Down Arrow 74"/>
              <xdr:cNvSpPr/>
            </xdr:nvSpPr>
            <xdr:spPr>
              <a:xfrm>
                <a:off x="3646512" y="1970172"/>
                <a:ext cx="381000" cy="383078"/>
              </a:xfrm>
              <a:prstGeom prst="downArrow">
                <a:avLst/>
              </a:prstGeom>
              <a:solidFill>
                <a:srgbClr val="FF0000"/>
              </a:solidFill>
              <a:ln w="25400" cap="flat" cmpd="sng" algn="ctr">
                <a:noFill/>
                <a:prstDash val="solid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1pPr>
                <a:lvl2pPr marL="60949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2pPr>
                <a:lvl3pPr marL="121898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3pPr>
                <a:lvl4pPr marL="182848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4pPr>
                <a:lvl5pPr marL="243797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5pPr>
                <a:lvl6pPr marL="304746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6pPr>
                <a:lvl7pPr marL="365696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7pPr>
                <a:lvl8pPr marL="426645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8pPr>
                <a:lvl9pPr marL="487594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9pPr>
              </a:lstStyle>
              <a:p>
                <a:pPr algn="ctr"/>
                <a:endParaRPr lang="en-US">
                  <a:solidFill>
                    <a:srgbClr val="1079B4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  <xdr:sp macro="" textlink="">
            <xdr:nvSpPr>
              <xdr:cNvPr id="76" name="Down Arrow 75"/>
              <xdr:cNvSpPr/>
            </xdr:nvSpPr>
            <xdr:spPr>
              <a:xfrm rot="10800000">
                <a:off x="4422685" y="1970172"/>
                <a:ext cx="381000" cy="383078"/>
              </a:xfrm>
              <a:prstGeom prst="downArrow">
                <a:avLst/>
              </a:prstGeom>
              <a:solidFill>
                <a:srgbClr val="92D050"/>
              </a:solidFill>
              <a:ln w="25400" cap="flat" cmpd="sng" algn="ctr">
                <a:noFill/>
                <a:prstDash val="solid"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en-US"/>
                </a:defPPr>
                <a:lvl1pPr marL="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1pPr>
                <a:lvl2pPr marL="60949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2pPr>
                <a:lvl3pPr marL="121898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3pPr>
                <a:lvl4pPr marL="182848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4pPr>
                <a:lvl5pPr marL="243797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5pPr>
                <a:lvl6pPr marL="304746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6pPr>
                <a:lvl7pPr marL="3656960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7pPr>
                <a:lvl8pPr marL="4266453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8pPr>
                <a:lvl9pPr marL="4875947" algn="l" defTabSz="1218987" rtl="0" eaLnBrk="1" latinLnBrk="0" hangingPunct="1">
                  <a:defRPr sz="2400" kern="1200">
                    <a:solidFill>
                      <a:sysClr val="window" lastClr="FFFFFF"/>
                    </a:solidFill>
                    <a:latin typeface="Calibri"/>
                  </a:defRPr>
                </a:lvl9pPr>
              </a:lstStyle>
              <a:p>
                <a:pPr algn="ctr"/>
                <a:endParaRPr lang="en-US">
                  <a:solidFill>
                    <a:srgbClr val="1079B4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xdr:txBody>
          </xdr:sp>
        </xdr:grpSp>
        <xdr:cxnSp macro="">
          <xdr:nvCxnSpPr>
            <xdr:cNvPr id="74" name="Straight Connector 73"/>
            <xdr:cNvCxnSpPr/>
          </xdr:nvCxnSpPr>
          <xdr:spPr>
            <a:xfrm>
              <a:off x="4206070" y="1846789"/>
              <a:ext cx="0" cy="1259423"/>
            </a:xfrm>
            <a:prstGeom prst="line">
              <a:avLst/>
            </a:prstGeom>
            <a:noFill/>
            <a:ln w="9525" cap="flat" cmpd="sng" algn="ctr">
              <a:solidFill>
                <a:srgbClr val="254D7E"/>
              </a:solidFill>
              <a:prstDash val="dash"/>
            </a:ln>
            <a:effectLst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9" name="TextBox 91"/>
          <xdr:cNvSpPr txBox="1"/>
        </xdr:nvSpPr>
        <xdr:spPr>
          <a:xfrm>
            <a:off x="3625560" y="1406476"/>
            <a:ext cx="795017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9pPr>
          </a:lstStyle>
          <a:p>
            <a:pPr algn="ctr"/>
            <a:r>
              <a:rPr lang="en-US" sz="1400" b="1">
                <a:solidFill>
                  <a:srgbClr val="1079B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99%</a:t>
            </a:r>
          </a:p>
        </xdr:txBody>
      </xdr:sp>
      <xdr:sp macro="" textlink="">
        <xdr:nvSpPr>
          <xdr:cNvPr id="70" name="TextBox 92"/>
          <xdr:cNvSpPr txBox="1"/>
        </xdr:nvSpPr>
        <xdr:spPr>
          <a:xfrm>
            <a:off x="4392472" y="1406476"/>
            <a:ext cx="795017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9pPr>
          </a:lstStyle>
          <a:p>
            <a:pPr algn="ctr"/>
            <a:r>
              <a:rPr lang="en-US" sz="1400" b="1">
                <a:solidFill>
                  <a:srgbClr val="1079B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99%</a:t>
            </a:r>
          </a:p>
        </xdr:txBody>
      </xdr:sp>
      <xdr:sp macro="" textlink="">
        <xdr:nvSpPr>
          <xdr:cNvPr id="71" name="TextBox 93"/>
          <xdr:cNvSpPr txBox="1"/>
        </xdr:nvSpPr>
        <xdr:spPr>
          <a:xfrm>
            <a:off x="4396570" y="1699881"/>
            <a:ext cx="821320" cy="41199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9pPr>
          </a:lstStyle>
          <a:p>
            <a:pPr algn="ctr"/>
            <a:r>
              <a:rPr lang="en-US" sz="1100">
                <a:solidFill>
                  <a:srgbClr val="1079B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YoY growth</a:t>
            </a:r>
          </a:p>
        </xdr:txBody>
      </xdr:sp>
      <xdr:sp macro="" textlink="">
        <xdr:nvSpPr>
          <xdr:cNvPr id="72" name="TextBox 94"/>
          <xdr:cNvSpPr txBox="1"/>
        </xdr:nvSpPr>
        <xdr:spPr>
          <a:xfrm>
            <a:off x="3613378" y="1699881"/>
            <a:ext cx="821320" cy="41199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1pPr>
            <a:lvl2pPr marL="60949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2pPr>
            <a:lvl3pPr marL="121898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3pPr>
            <a:lvl4pPr marL="182848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4pPr>
            <a:lvl5pPr marL="243797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5pPr>
            <a:lvl6pPr marL="304746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6pPr>
            <a:lvl7pPr marL="3656960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7pPr>
            <a:lvl8pPr marL="4266453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8pPr>
            <a:lvl9pPr marL="4875947" algn="l" defTabSz="1218987" rtl="0" eaLnBrk="1" latinLnBrk="0" hangingPunct="1">
              <a:defRPr sz="2400" kern="1200">
                <a:solidFill>
                  <a:srgbClr val="000000"/>
                </a:solidFill>
                <a:latin typeface="Calibri"/>
              </a:defRPr>
            </a:lvl9pPr>
          </a:lstStyle>
          <a:p>
            <a:pPr algn="ctr"/>
            <a:r>
              <a:rPr lang="en-US" sz="1100">
                <a:solidFill>
                  <a:srgbClr val="1079B4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Attrition Rate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0</xdr:row>
          <xdr:rowOff>19050</xdr:rowOff>
        </xdr:from>
        <xdr:to>
          <xdr:col>0</xdr:col>
          <xdr:colOff>847725</xdr:colOff>
          <xdr:row>0</xdr:row>
          <xdr:rowOff>219075</xdr:rowOff>
        </xdr:to>
        <xdr:sp macro="" textlink="">
          <xdr:nvSpPr>
            <xdr:cNvPr id="11265" name="Drop Dow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1</xdr:row>
          <xdr:rowOff>161925</xdr:rowOff>
        </xdr:from>
        <xdr:to>
          <xdr:col>0</xdr:col>
          <xdr:colOff>895350</xdr:colOff>
          <xdr:row>2</xdr:row>
          <xdr:rowOff>171450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122360</xdr:colOff>
      <xdr:row>61</xdr:row>
      <xdr:rowOff>37816</xdr:rowOff>
    </xdr:from>
    <xdr:to>
      <xdr:col>5</xdr:col>
      <xdr:colOff>65210</xdr:colOff>
      <xdr:row>75</xdr:row>
      <xdr:rowOff>114016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131885</xdr:colOff>
      <xdr:row>30</xdr:row>
      <xdr:rowOff>149796</xdr:rowOff>
    </xdr:from>
    <xdr:to>
      <xdr:col>5</xdr:col>
      <xdr:colOff>77666</xdr:colOff>
      <xdr:row>45</xdr:row>
      <xdr:rowOff>35496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324827</xdr:colOff>
      <xdr:row>30</xdr:row>
      <xdr:rowOff>148981</xdr:rowOff>
    </xdr:from>
    <xdr:to>
      <xdr:col>11</xdr:col>
      <xdr:colOff>483088</xdr:colOff>
      <xdr:row>45</xdr:row>
      <xdr:rowOff>34681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131885</xdr:colOff>
      <xdr:row>46</xdr:row>
      <xdr:rowOff>0</xdr:rowOff>
    </xdr:from>
    <xdr:to>
      <xdr:col>5</xdr:col>
      <xdr:colOff>77666</xdr:colOff>
      <xdr:row>60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315973</xdr:colOff>
      <xdr:row>46</xdr:row>
      <xdr:rowOff>7327</xdr:rowOff>
    </xdr:from>
    <xdr:to>
      <xdr:col>11</xdr:col>
      <xdr:colOff>474234</xdr:colOff>
      <xdr:row>60</xdr:row>
      <xdr:rowOff>83527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151118</xdr:colOff>
      <xdr:row>0</xdr:row>
      <xdr:rowOff>130052</xdr:rowOff>
    </xdr:from>
    <xdr:to>
      <xdr:col>5</xdr:col>
      <xdr:colOff>96899</xdr:colOff>
      <xdr:row>15</xdr:row>
      <xdr:rowOff>15752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314142</xdr:colOff>
      <xdr:row>0</xdr:row>
      <xdr:rowOff>126391</xdr:rowOff>
    </xdr:from>
    <xdr:to>
      <xdr:col>11</xdr:col>
      <xdr:colOff>472403</xdr:colOff>
      <xdr:row>15</xdr:row>
      <xdr:rowOff>12091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140127</xdr:colOff>
      <xdr:row>15</xdr:row>
      <xdr:rowOff>102576</xdr:rowOff>
    </xdr:from>
    <xdr:to>
      <xdr:col>5</xdr:col>
      <xdr:colOff>85908</xdr:colOff>
      <xdr:row>29</xdr:row>
      <xdr:rowOff>142141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314325</xdr:colOff>
      <xdr:row>61</xdr:row>
      <xdr:rowOff>57148</xdr:rowOff>
    </xdr:from>
    <xdr:to>
      <xdr:col>11</xdr:col>
      <xdr:colOff>466725</xdr:colOff>
      <xdr:row>75</xdr:row>
      <xdr:rowOff>133348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317256</xdr:colOff>
      <xdr:row>15</xdr:row>
      <xdr:rowOff>112834</xdr:rowOff>
    </xdr:from>
    <xdr:to>
      <xdr:col>11</xdr:col>
      <xdr:colOff>475517</xdr:colOff>
      <xdr:row>29</xdr:row>
      <xdr:rowOff>152399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122360</xdr:colOff>
      <xdr:row>80</xdr:row>
      <xdr:rowOff>0</xdr:rowOff>
    </xdr:from>
    <xdr:to>
      <xdr:col>5</xdr:col>
      <xdr:colOff>522410</xdr:colOff>
      <xdr:row>94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47625</xdr:colOff>
      <xdr:row>80</xdr:row>
      <xdr:rowOff>0</xdr:rowOff>
    </xdr:from>
    <xdr:to>
      <xdr:col>13</xdr:col>
      <xdr:colOff>200025</xdr:colOff>
      <xdr:row>94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122360</xdr:colOff>
      <xdr:row>96</xdr:row>
      <xdr:rowOff>0</xdr:rowOff>
    </xdr:from>
    <xdr:to>
      <xdr:col>5</xdr:col>
      <xdr:colOff>522410</xdr:colOff>
      <xdr:row>110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85725</xdr:colOff>
      <xdr:row>96</xdr:row>
      <xdr:rowOff>19050</xdr:rowOff>
    </xdr:from>
    <xdr:to>
      <xdr:col>13</xdr:col>
      <xdr:colOff>238125</xdr:colOff>
      <xdr:row>110</xdr:row>
      <xdr:rowOff>95250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122360</xdr:colOff>
      <xdr:row>112</xdr:row>
      <xdr:rowOff>0</xdr:rowOff>
    </xdr:from>
    <xdr:to>
      <xdr:col>5</xdr:col>
      <xdr:colOff>522410</xdr:colOff>
      <xdr:row>126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114300</xdr:colOff>
      <xdr:row>111</xdr:row>
      <xdr:rowOff>180975</xdr:rowOff>
    </xdr:from>
    <xdr:to>
      <xdr:col>13</xdr:col>
      <xdr:colOff>266700</xdr:colOff>
      <xdr:row>126</xdr:row>
      <xdr:rowOff>66675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122360</xdr:colOff>
      <xdr:row>129</xdr:row>
      <xdr:rowOff>57150</xdr:rowOff>
    </xdr:from>
    <xdr:to>
      <xdr:col>5</xdr:col>
      <xdr:colOff>522410</xdr:colOff>
      <xdr:row>143</xdr:row>
      <xdr:rowOff>133350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123825</xdr:colOff>
      <xdr:row>129</xdr:row>
      <xdr:rowOff>57150</xdr:rowOff>
    </xdr:from>
    <xdr:to>
      <xdr:col>13</xdr:col>
      <xdr:colOff>276225</xdr:colOff>
      <xdr:row>143</xdr:row>
      <xdr:rowOff>133350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529936</xdr:colOff>
      <xdr:row>80</xdr:row>
      <xdr:rowOff>17319</xdr:rowOff>
    </xdr:from>
    <xdr:to>
      <xdr:col>21</xdr:col>
      <xdr:colOff>225136</xdr:colOff>
      <xdr:row>94</xdr:row>
      <xdr:rowOff>93519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568036</xdr:colOff>
      <xdr:row>96</xdr:row>
      <xdr:rowOff>36369</xdr:rowOff>
    </xdr:from>
    <xdr:to>
      <xdr:col>21</xdr:col>
      <xdr:colOff>263236</xdr:colOff>
      <xdr:row>110</xdr:row>
      <xdr:rowOff>112569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596611</xdr:colOff>
      <xdr:row>112</xdr:row>
      <xdr:rowOff>7794</xdr:rowOff>
    </xdr:from>
    <xdr:to>
      <xdr:col>21</xdr:col>
      <xdr:colOff>291811</xdr:colOff>
      <xdr:row>126</xdr:row>
      <xdr:rowOff>83994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129</xdr:row>
      <xdr:rowOff>74469</xdr:rowOff>
    </xdr:from>
    <xdr:to>
      <xdr:col>21</xdr:col>
      <xdr:colOff>301336</xdr:colOff>
      <xdr:row>143</xdr:row>
      <xdr:rowOff>150669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34637</xdr:colOff>
      <xdr:row>80</xdr:row>
      <xdr:rowOff>17319</xdr:rowOff>
    </xdr:from>
    <xdr:to>
      <xdr:col>29</xdr:col>
      <xdr:colOff>339436</xdr:colOff>
      <xdr:row>94</xdr:row>
      <xdr:rowOff>93519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22</xdr:col>
      <xdr:colOff>72737</xdr:colOff>
      <xdr:row>96</xdr:row>
      <xdr:rowOff>36369</xdr:rowOff>
    </xdr:from>
    <xdr:to>
      <xdr:col>29</xdr:col>
      <xdr:colOff>377536</xdr:colOff>
      <xdr:row>110</xdr:row>
      <xdr:rowOff>112569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101312</xdr:colOff>
      <xdr:row>112</xdr:row>
      <xdr:rowOff>7794</xdr:rowOff>
    </xdr:from>
    <xdr:to>
      <xdr:col>29</xdr:col>
      <xdr:colOff>406111</xdr:colOff>
      <xdr:row>126</xdr:row>
      <xdr:rowOff>83994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110837</xdr:colOff>
      <xdr:row>129</xdr:row>
      <xdr:rowOff>74469</xdr:rowOff>
    </xdr:from>
    <xdr:to>
      <xdr:col>29</xdr:col>
      <xdr:colOff>415636</xdr:colOff>
      <xdr:row>143</xdr:row>
      <xdr:rowOff>150669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0.00123</cdr:x>
      <cdr:y>0.05882</cdr:y>
    </cdr:from>
    <cdr:to>
      <cdr:x>0.12132</cdr:x>
      <cdr:y>0.17729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3" y="161364"/>
          <a:ext cx="549088" cy="32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mil.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0.00123</cdr:x>
      <cdr:y>0.05882</cdr:y>
    </cdr:from>
    <cdr:to>
      <cdr:x>0.12132</cdr:x>
      <cdr:y>0.17729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3" y="161364"/>
          <a:ext cx="549088" cy="32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mil.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0.00123</cdr:x>
      <cdr:y>0.05882</cdr:y>
    </cdr:from>
    <cdr:to>
      <cdr:x>0.12132</cdr:x>
      <cdr:y>0.17729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3" y="161364"/>
          <a:ext cx="549088" cy="32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mil.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0.00123</cdr:x>
      <cdr:y>0.05882</cdr:y>
    </cdr:from>
    <cdr:to>
      <cdr:x>0.12132</cdr:x>
      <cdr:y>0.17729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03" y="161364"/>
          <a:ext cx="549088" cy="3249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mil.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15</xdr:row>
      <xdr:rowOff>19050</xdr:rowOff>
    </xdr:from>
    <xdr:to>
      <xdr:col>5</xdr:col>
      <xdr:colOff>283008</xdr:colOff>
      <xdr:row>16</xdr:row>
      <xdr:rowOff>102635</xdr:rowOff>
    </xdr:to>
    <xdr:grpSp>
      <xdr:nvGrpSpPr>
        <xdr:cNvPr id="9" name="Group 8"/>
        <xdr:cNvGrpSpPr/>
      </xdr:nvGrpSpPr>
      <xdr:grpSpPr>
        <a:xfrm>
          <a:off x="3067050" y="3057525"/>
          <a:ext cx="2673783" cy="274085"/>
          <a:chOff x="3486150" y="7200900"/>
          <a:chExt cx="2788083" cy="264560"/>
        </a:xfrm>
      </xdr:grpSpPr>
      <xdr:sp macro="" textlink="">
        <xdr:nvSpPr>
          <xdr:cNvPr id="10" name="Rounded Rectangle 9"/>
          <xdr:cNvSpPr/>
        </xdr:nvSpPr>
        <xdr:spPr>
          <a:xfrm>
            <a:off x="3486150" y="7258050"/>
            <a:ext cx="247650" cy="161925"/>
          </a:xfrm>
          <a:prstGeom prst="roundRect">
            <a:avLst/>
          </a:prstGeom>
          <a:gradFill rotWithShape="1">
            <a:gsLst>
              <a:gs pos="0">
                <a:srgbClr val="70AD47">
                  <a:lumMod val="110000"/>
                  <a:satMod val="105000"/>
                  <a:tint val="67000"/>
                </a:srgbClr>
              </a:gs>
              <a:gs pos="50000">
                <a:srgbClr val="70AD47">
                  <a:lumMod val="105000"/>
                  <a:satMod val="103000"/>
                  <a:tint val="73000"/>
                </a:srgbClr>
              </a:gs>
              <a:gs pos="100000">
                <a:srgbClr val="70AD47">
                  <a:lumMod val="105000"/>
                  <a:satMod val="109000"/>
                  <a:tint val="81000"/>
                </a:srgbClr>
              </a:gs>
            </a:gsLst>
            <a:lin ang="5400000" scaled="0"/>
          </a:gradFill>
          <a:ln w="6350" cap="flat" cmpd="sng" algn="ctr">
            <a:solidFill>
              <a:srgbClr val="70AD47"/>
            </a:solidFill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11" name="Rounded Rectangle 10"/>
          <xdr:cNvSpPr/>
        </xdr:nvSpPr>
        <xdr:spPr>
          <a:xfrm>
            <a:off x="4502674" y="7258050"/>
            <a:ext cx="247650" cy="161925"/>
          </a:xfrm>
          <a:prstGeom prst="roundRect">
            <a:avLst/>
          </a:prstGeom>
          <a:solidFill>
            <a:srgbClr val="FFFF00"/>
          </a:solidFill>
          <a:ln w="6350" cap="flat" cmpd="sng" algn="ctr">
            <a:solidFill>
              <a:srgbClr val="70AD47"/>
            </a:solidFill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12" name="Rounded Rectangle 11"/>
          <xdr:cNvSpPr/>
        </xdr:nvSpPr>
        <xdr:spPr>
          <a:xfrm>
            <a:off x="5476279" y="7258050"/>
            <a:ext cx="247650" cy="161925"/>
          </a:xfrm>
          <a:prstGeom prst="roundRect">
            <a:avLst/>
          </a:prstGeom>
          <a:solidFill>
            <a:srgbClr val="FF0000"/>
          </a:solidFill>
          <a:ln w="6350" cap="flat" cmpd="sng" algn="ctr">
            <a:solidFill>
              <a:srgbClr val="70AD47"/>
            </a:solidFill>
            <a:prstDash val="solid"/>
            <a:miter lim="800000"/>
          </a:ln>
          <a:effectLst/>
        </xdr:spPr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endParaRPr>
          </a:p>
        </xdr:txBody>
      </xdr:sp>
      <xdr:sp macro="" textlink="">
        <xdr:nvSpPr>
          <xdr:cNvPr id="13" name="TextBox 12"/>
          <xdr:cNvSpPr txBox="1"/>
        </xdr:nvSpPr>
        <xdr:spPr>
          <a:xfrm>
            <a:off x="3762973" y="7200900"/>
            <a:ext cx="672428" cy="26456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non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&gt;= 100%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4760447" y="7200900"/>
            <a:ext cx="600934" cy="26456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non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&gt;= 90%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5743575" y="7200900"/>
            <a:ext cx="530658" cy="26456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horzOverflow="clip" wrap="none" rtlCol="0" anchor="t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&lt; 90%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0</xdr:row>
          <xdr:rowOff>19050</xdr:rowOff>
        </xdr:from>
        <xdr:to>
          <xdr:col>0</xdr:col>
          <xdr:colOff>847725</xdr:colOff>
          <xdr:row>0</xdr:row>
          <xdr:rowOff>219075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0</xdr:row>
          <xdr:rowOff>133350</xdr:rowOff>
        </xdr:from>
        <xdr:to>
          <xdr:col>0</xdr:col>
          <xdr:colOff>838200</xdr:colOff>
          <xdr:row>0</xdr:row>
          <xdr:rowOff>333375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VL00600\AppData\Local\Microsoft\Windows\INetCache\Content.Outlook\Q4CQ0KFQ\Copy%20of%20Banca%20Monthly%20Performance%20Tracking%20(002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at%2020170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at%20201707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1/Book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11/Dat%20201611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12/Dat%202016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1/Dat%202017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2/Dat%2020170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3/Dat%2020170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5/PD%20Performance%20-2017%2005%203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6/PD%20Performance%20-2017%2006%20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Budget/GVL%20Banca%20Sales%20Projection_2016-2018%20(2016%2003%2015)%20Revised_225%20bn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PD%20Performance%20-2017%2007%203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EIB/Chart%20EIB%2020160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10/PD%20Performance%202016-10-3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11/PD%20Performance%202016-11-3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12/PD%20Performance%202016-12-3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1/PD%20Performance%20-2017%2001%2025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2/PD%20Performance%20-2017%2002%2028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3/PD%20Performance%20-2017%2003%2031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4/PD%20Performance%20-2017%2004%203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6/Sources%20T&#7893;ng%20h&#7907;p-%202017%2006%20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Banca%20Performance%202016-08-31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Sources%20C&#7853;p%20nh&#7853;t%20&#273;&#7871;n%2031-07-2017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12/Sources%20T&#7893;ng%20h&#7907;p-30%2012%202016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1/Sources%20T&#7893;ng%20h&#7907;p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2/Sources%20T&#7893;ng%20h&#7907;p-%202017%2003%2001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3/Sources%20T&#7893;ng%20h&#7907;p%2031%203%202017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4/Sources%20T&#7893;ng%20h&#7907;p%2028%2004%202017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5/Sources%20T&#7893;ng%20h&#7907;p%2031%2005%20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09/PD%20Performance%202016-09-3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Budget/GVL%20Banca%20Sales%20Projection_2016%20till%202022_(Chau%20ver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VL00600\AppData\Local\Microsoft\Windows\INetCache\Content.Outlook\Q4CQ0KFQ\GVL%20Banca%20Sales%20Projection_2016-2018%20(2016%2003%2015)%20Revised_225%20b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GVL%20Banca%20Sales%20Projection_2016%20till%202022_(Chau%20ver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4/Dat%2020170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705/Dat%202017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CA Dashboard"/>
      <sheetName val="Snapshot"/>
      <sheetName val="Bank Performance"/>
      <sheetName val="Rider Performance"/>
      <sheetName val="RM Performance"/>
      <sheetName val="Data"/>
      <sheetName val="Data_Char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 refreshError="1"/>
      <sheetData sheetId="1" refreshError="1"/>
      <sheetData sheetId="2" refreshError="1">
        <row r="9">
          <cell r="E9">
            <v>656.64</v>
          </cell>
        </row>
        <row r="10">
          <cell r="E10">
            <v>706.58299999999997</v>
          </cell>
        </row>
        <row r="11">
          <cell r="E11">
            <v>51.247999999999998</v>
          </cell>
        </row>
        <row r="12">
          <cell r="E12">
            <v>843.90099999999995</v>
          </cell>
        </row>
        <row r="13">
          <cell r="E13">
            <v>525.52200000000005</v>
          </cell>
        </row>
        <row r="14">
          <cell r="E14">
            <v>2782.7890000000002</v>
          </cell>
        </row>
        <row r="15">
          <cell r="E15">
            <v>2044.9</v>
          </cell>
        </row>
        <row r="16">
          <cell r="E16">
            <v>8714.5499999999902</v>
          </cell>
        </row>
        <row r="17">
          <cell r="E17">
            <v>117.18899999999999</v>
          </cell>
        </row>
        <row r="18">
          <cell r="E18">
            <v>91.132000000000005</v>
          </cell>
        </row>
      </sheetData>
      <sheetData sheetId="3" refreshError="1">
        <row r="7">
          <cell r="N7">
            <v>1163.883</v>
          </cell>
        </row>
        <row r="8">
          <cell r="N8">
            <v>250.58800000000002</v>
          </cell>
        </row>
        <row r="10">
          <cell r="N10">
            <v>7064.6200000000008</v>
          </cell>
        </row>
        <row r="11">
          <cell r="N11">
            <v>6477.6189999999997</v>
          </cell>
        </row>
        <row r="13">
          <cell r="N13">
            <v>1251.4939999999999</v>
          </cell>
        </row>
        <row r="14">
          <cell r="N14">
            <v>117.929</v>
          </cell>
        </row>
        <row r="16">
          <cell r="N16">
            <v>117.18899999999999</v>
          </cell>
        </row>
        <row r="18">
          <cell r="N18">
            <v>46.411000000000001</v>
          </cell>
        </row>
        <row r="19">
          <cell r="N19">
            <v>44.720999999999997</v>
          </cell>
        </row>
      </sheetData>
      <sheetData sheetId="4" refreshError="1">
        <row r="414">
          <cell r="N414">
            <v>117.19</v>
          </cell>
          <cell r="O414">
            <v>14.510000000000002</v>
          </cell>
          <cell r="P414">
            <v>4</v>
          </cell>
          <cell r="Q414">
            <v>7</v>
          </cell>
        </row>
        <row r="415">
          <cell r="N415">
            <v>91.14</v>
          </cell>
          <cell r="O415">
            <v>3.6</v>
          </cell>
          <cell r="P415">
            <v>5</v>
          </cell>
          <cell r="Q415">
            <v>2</v>
          </cell>
        </row>
        <row r="416">
          <cell r="N416">
            <v>1414.4699999999998</v>
          </cell>
          <cell r="O416">
            <v>84.58</v>
          </cell>
          <cell r="P416">
            <v>82</v>
          </cell>
          <cell r="Q416">
            <v>99</v>
          </cell>
        </row>
        <row r="417">
          <cell r="N417">
            <v>1369.42</v>
          </cell>
          <cell r="O417">
            <v>158.29</v>
          </cell>
          <cell r="P417">
            <v>90</v>
          </cell>
          <cell r="Q417">
            <v>125</v>
          </cell>
        </row>
        <row r="418">
          <cell r="N418">
            <v>13542.25</v>
          </cell>
          <cell r="O418">
            <v>1040.6200000000001</v>
          </cell>
          <cell r="P418">
            <v>696</v>
          </cell>
          <cell r="Q418">
            <v>1076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9">
          <cell r="E9">
            <v>942.98800000000006</v>
          </cell>
        </row>
        <row r="10">
          <cell r="E10">
            <v>1194.701</v>
          </cell>
        </row>
        <row r="11">
          <cell r="E11">
            <v>205.755</v>
          </cell>
        </row>
        <row r="12">
          <cell r="E12">
            <v>423.41399999999999</v>
          </cell>
        </row>
        <row r="13">
          <cell r="E13">
            <v>186.11600000000001</v>
          </cell>
        </row>
        <row r="14">
          <cell r="E14">
            <v>3361.3449999999998</v>
          </cell>
        </row>
        <row r="15">
          <cell r="E15">
            <v>2086.3560000000002</v>
          </cell>
        </row>
        <row r="16">
          <cell r="E16">
            <v>9925.7370000000101</v>
          </cell>
        </row>
        <row r="18">
          <cell r="E18">
            <v>169.96299999999999</v>
          </cell>
        </row>
      </sheetData>
      <sheetData sheetId="3">
        <row r="7">
          <cell r="S7">
            <v>1910.604</v>
          </cell>
        </row>
        <row r="8">
          <cell r="S8">
            <v>268.41399999999999</v>
          </cell>
        </row>
        <row r="10">
          <cell r="S10">
            <v>7472.857</v>
          </cell>
        </row>
        <row r="11">
          <cell r="S11">
            <v>7900.5810000000001</v>
          </cell>
        </row>
        <row r="13">
          <cell r="S13">
            <v>469.91800000000001</v>
          </cell>
        </row>
        <row r="14">
          <cell r="S14">
            <v>139.61199999999999</v>
          </cell>
        </row>
        <row r="16">
          <cell r="S16">
            <v>162.5</v>
          </cell>
        </row>
        <row r="18">
          <cell r="S18">
            <v>68.274000000000001</v>
          </cell>
        </row>
        <row r="19">
          <cell r="S19">
            <v>101.68899999999999</v>
          </cell>
        </row>
      </sheetData>
      <sheetData sheetId="4">
        <row r="422">
          <cell r="N422">
            <v>162.5</v>
          </cell>
          <cell r="O422">
            <v>35.481999999999999</v>
          </cell>
          <cell r="P422">
            <v>6</v>
          </cell>
          <cell r="Q422">
            <v>15</v>
          </cell>
        </row>
        <row r="423">
          <cell r="N423">
            <v>169.96299999999999</v>
          </cell>
          <cell r="O423">
            <v>15.273999999999999</v>
          </cell>
          <cell r="P423">
            <v>8</v>
          </cell>
          <cell r="Q423">
            <v>11</v>
          </cell>
        </row>
        <row r="424">
          <cell r="N424">
            <v>2343.444</v>
          </cell>
          <cell r="O424">
            <v>233.023</v>
          </cell>
          <cell r="P424">
            <v>89</v>
          </cell>
          <cell r="Q424">
            <v>163</v>
          </cell>
        </row>
        <row r="425">
          <cell r="N425">
            <v>609.53</v>
          </cell>
          <cell r="O425">
            <v>80.358000000000004</v>
          </cell>
          <cell r="P425">
            <v>36</v>
          </cell>
          <cell r="Q425">
            <v>72</v>
          </cell>
        </row>
        <row r="426">
          <cell r="N426">
            <v>15373.438</v>
          </cell>
          <cell r="O426">
            <v>1156.0139999999999</v>
          </cell>
          <cell r="P426">
            <v>773</v>
          </cell>
          <cell r="Q426">
            <v>1217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>
        <row r="6">
          <cell r="D6">
            <v>64</v>
          </cell>
        </row>
        <row r="7">
          <cell r="D7">
            <v>9</v>
          </cell>
        </row>
        <row r="10">
          <cell r="D10">
            <v>135</v>
          </cell>
        </row>
        <row r="11">
          <cell r="D11">
            <v>61</v>
          </cell>
        </row>
      </sheetData>
      <sheetData sheetId="1">
        <row r="5">
          <cell r="H5">
            <v>41</v>
          </cell>
        </row>
        <row r="8">
          <cell r="H8">
            <v>130</v>
          </cell>
        </row>
        <row r="13">
          <cell r="H13">
            <v>158</v>
          </cell>
        </row>
      </sheetData>
      <sheetData sheetId="2">
        <row r="5">
          <cell r="D5">
            <v>474.822</v>
          </cell>
        </row>
        <row r="6">
          <cell r="D6">
            <v>14.715999999999999</v>
          </cell>
        </row>
        <row r="7">
          <cell r="D7">
            <v>-2.1549999999999998</v>
          </cell>
        </row>
        <row r="8">
          <cell r="D8">
            <v>4139.6619999999903</v>
          </cell>
        </row>
        <row r="9">
          <cell r="D9">
            <v>15.914999999999999</v>
          </cell>
        </row>
        <row r="10">
          <cell r="D10">
            <v>506.92500000000001</v>
          </cell>
        </row>
      </sheetData>
      <sheetData sheetId="3">
        <row r="7">
          <cell r="N7">
            <v>510.09500000000003</v>
          </cell>
        </row>
        <row r="8">
          <cell r="N8">
            <v>-22.711999999999996</v>
          </cell>
        </row>
        <row r="9">
          <cell r="N9">
            <v>4662.5019999999995</v>
          </cell>
        </row>
        <row r="15">
          <cell r="N15">
            <v>11594.171999999999</v>
          </cell>
        </row>
        <row r="16">
          <cell r="N16">
            <v>4995.4130000000005</v>
          </cell>
        </row>
      </sheetData>
      <sheetData sheetId="4">
        <row r="139">
          <cell r="M139">
            <v>487.38300000000004</v>
          </cell>
          <cell r="N139">
            <v>19.637999999999998</v>
          </cell>
          <cell r="O139">
            <v>28</v>
          </cell>
          <cell r="P139">
            <v>37</v>
          </cell>
        </row>
        <row r="140">
          <cell r="M140">
            <v>4662.5019999999995</v>
          </cell>
          <cell r="N140">
            <v>185.73000000000002</v>
          </cell>
          <cell r="O140">
            <v>306</v>
          </cell>
          <cell r="P140">
            <v>324</v>
          </cell>
        </row>
        <row r="141">
          <cell r="M141">
            <v>16589.584999999999</v>
          </cell>
          <cell r="N141">
            <v>473.74900000000002</v>
          </cell>
          <cell r="O141">
            <v>959</v>
          </cell>
          <cell r="P141">
            <v>928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>
        <row r="6">
          <cell r="D6">
            <v>58</v>
          </cell>
        </row>
        <row r="7">
          <cell r="D7">
            <v>8</v>
          </cell>
        </row>
      </sheetData>
      <sheetData sheetId="1">
        <row r="5">
          <cell r="H5">
            <v>25</v>
          </cell>
        </row>
        <row r="8">
          <cell r="H8">
            <v>112</v>
          </cell>
        </row>
        <row r="13">
          <cell r="H13">
            <v>149</v>
          </cell>
        </row>
      </sheetData>
      <sheetData sheetId="2">
        <row r="5">
          <cell r="D5">
            <v>388.06400000000002</v>
          </cell>
        </row>
        <row r="6">
          <cell r="D6">
            <v>0.57199999999999895</v>
          </cell>
        </row>
        <row r="7">
          <cell r="D7">
            <v>-24.093</v>
          </cell>
        </row>
        <row r="8">
          <cell r="D8">
            <v>2600.306</v>
          </cell>
        </row>
        <row r="9">
          <cell r="D9">
            <v>130.64599999999999</v>
          </cell>
        </row>
        <row r="10">
          <cell r="D10">
            <v>551.44899999999996</v>
          </cell>
        </row>
      </sheetData>
      <sheetData sheetId="3">
        <row r="7">
          <cell r="N7">
            <v>215.12700000000001</v>
          </cell>
        </row>
        <row r="8">
          <cell r="N8">
            <v>149.416</v>
          </cell>
        </row>
        <row r="9">
          <cell r="N9">
            <v>3282.4010000000003</v>
          </cell>
        </row>
        <row r="15">
          <cell r="N15">
            <v>7169.4090000000006</v>
          </cell>
        </row>
        <row r="16">
          <cell r="N16">
            <v>5636.8639999999996</v>
          </cell>
        </row>
      </sheetData>
      <sheetData sheetId="4">
        <row r="139">
          <cell r="M139">
            <v>364.54300000000001</v>
          </cell>
          <cell r="N139">
            <v>16.184999999999999</v>
          </cell>
          <cell r="O139">
            <v>29</v>
          </cell>
          <cell r="P139">
            <v>36</v>
          </cell>
        </row>
        <row r="140">
          <cell r="M140">
            <v>3282.4009999999994</v>
          </cell>
          <cell r="N140">
            <v>105.42400000000002</v>
          </cell>
          <cell r="O140">
            <v>201</v>
          </cell>
          <cell r="P140">
            <v>183</v>
          </cell>
        </row>
        <row r="141">
          <cell r="M141">
            <v>12806.273000000001</v>
          </cell>
          <cell r="N141">
            <v>366.95499999999998</v>
          </cell>
          <cell r="O141">
            <v>693</v>
          </cell>
          <cell r="P141">
            <v>731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>
        <row r="19">
          <cell r="G19">
            <v>65</v>
          </cell>
        </row>
        <row r="20">
          <cell r="G20">
            <v>16</v>
          </cell>
        </row>
        <row r="23">
          <cell r="G23">
            <v>104</v>
          </cell>
        </row>
        <row r="24">
          <cell r="G24">
            <v>62</v>
          </cell>
        </row>
      </sheetData>
      <sheetData sheetId="1">
        <row r="5">
          <cell r="H5">
            <v>13</v>
          </cell>
        </row>
        <row r="8">
          <cell r="H8">
            <v>141</v>
          </cell>
        </row>
        <row r="13">
          <cell r="H13">
            <v>171</v>
          </cell>
        </row>
      </sheetData>
      <sheetData sheetId="2">
        <row r="5">
          <cell r="D5">
            <v>134.86500000000001</v>
          </cell>
        </row>
        <row r="6">
          <cell r="D6">
            <v>0</v>
          </cell>
        </row>
        <row r="7">
          <cell r="D7">
            <v>4160.8410000000003</v>
          </cell>
        </row>
        <row r="8">
          <cell r="D8">
            <v>298.19600000000003</v>
          </cell>
        </row>
        <row r="9">
          <cell r="D9">
            <v>900.42099999999903</v>
          </cell>
        </row>
      </sheetData>
      <sheetData sheetId="3">
        <row r="7">
          <cell r="N7">
            <v>89.929000000000002</v>
          </cell>
        </row>
        <row r="8">
          <cell r="N8">
            <v>44.936</v>
          </cell>
        </row>
        <row r="10">
          <cell r="N10">
            <v>4621.4049999999997</v>
          </cell>
        </row>
        <row r="11">
          <cell r="N11">
            <v>738.053</v>
          </cell>
        </row>
        <row r="15">
          <cell r="N15">
            <v>15292.083999999999</v>
          </cell>
        </row>
        <row r="16">
          <cell r="N16">
            <v>9297.514000000001</v>
          </cell>
        </row>
      </sheetData>
      <sheetData sheetId="4">
        <row r="139">
          <cell r="M139">
            <v>134.86500000000001</v>
          </cell>
          <cell r="N139">
            <v>2.5369999999999999</v>
          </cell>
          <cell r="O139">
            <v>9</v>
          </cell>
          <cell r="P139">
            <v>7</v>
          </cell>
        </row>
        <row r="140">
          <cell r="M140">
            <v>5359.4579999999996</v>
          </cell>
          <cell r="N140">
            <v>166.637</v>
          </cell>
          <cell r="O140">
            <v>283</v>
          </cell>
          <cell r="P140">
            <v>281</v>
          </cell>
        </row>
        <row r="141">
          <cell r="M141">
            <v>24589.598000000002</v>
          </cell>
          <cell r="N141">
            <v>737.73800000000006</v>
          </cell>
          <cell r="O141">
            <v>1256</v>
          </cell>
          <cell r="P141">
            <v>1286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5">
          <cell r="E5">
            <v>69.918000000000006</v>
          </cell>
        </row>
        <row r="6">
          <cell r="E6">
            <v>-48.386000000000003</v>
          </cell>
        </row>
        <row r="7">
          <cell r="E7">
            <v>-10.76</v>
          </cell>
        </row>
        <row r="8">
          <cell r="E8">
            <v>-11.305</v>
          </cell>
        </row>
        <row r="9">
          <cell r="E9">
            <v>1062.018</v>
          </cell>
        </row>
        <row r="10">
          <cell r="E10">
            <v>721.649</v>
          </cell>
        </row>
        <row r="11">
          <cell r="E11">
            <v>529.78599999999994</v>
          </cell>
        </row>
        <row r="12">
          <cell r="E12">
            <v>1247.998</v>
          </cell>
        </row>
        <row r="13">
          <cell r="E13">
            <v>2001.6890000000001</v>
          </cell>
        </row>
        <row r="14">
          <cell r="E14">
            <v>6262.4939999999997</v>
          </cell>
        </row>
      </sheetData>
      <sheetData sheetId="3">
        <row r="7">
          <cell r="N7">
            <v>-59.771000000000001</v>
          </cell>
        </row>
        <row r="8">
          <cell r="N8">
            <v>-10.68</v>
          </cell>
        </row>
        <row r="10">
          <cell r="N10">
            <v>2087.9519999999998</v>
          </cell>
        </row>
        <row r="11">
          <cell r="N11">
            <v>225.501</v>
          </cell>
        </row>
        <row r="13">
          <cell r="N13">
            <v>5460.5570000000007</v>
          </cell>
        </row>
        <row r="14">
          <cell r="N14">
            <v>4051.6240000000003</v>
          </cell>
        </row>
        <row r="16">
          <cell r="N16">
            <v>33.945999999999998</v>
          </cell>
        </row>
      </sheetData>
      <sheetData sheetId="4">
        <row r="139">
          <cell r="M139">
            <v>-70.450999999999993</v>
          </cell>
          <cell r="N139">
            <v>-1.286</v>
          </cell>
          <cell r="O139">
            <v>-6</v>
          </cell>
          <cell r="P139">
            <v>-5</v>
          </cell>
        </row>
        <row r="140">
          <cell r="M140">
            <v>2313.453</v>
          </cell>
          <cell r="N140">
            <v>95.824000000000012</v>
          </cell>
          <cell r="O140">
            <v>151</v>
          </cell>
          <cell r="P140">
            <v>189</v>
          </cell>
        </row>
        <row r="141">
          <cell r="M141">
            <v>9512.1810000000005</v>
          </cell>
          <cell r="N141">
            <v>286.05799999999999</v>
          </cell>
          <cell r="O141">
            <v>521</v>
          </cell>
          <cell r="P141">
            <v>570</v>
          </cell>
        </row>
        <row r="142">
          <cell r="M142">
            <v>33.945999999999998</v>
          </cell>
          <cell r="N142">
            <v>0</v>
          </cell>
          <cell r="O142">
            <v>1</v>
          </cell>
          <cell r="P142">
            <v>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5">
          <cell r="E5">
            <v>114.253</v>
          </cell>
        </row>
        <row r="6">
          <cell r="E6">
            <v>97.712000000000003</v>
          </cell>
        </row>
        <row r="8">
          <cell r="E8">
            <v>1392.2170000000001</v>
          </cell>
        </row>
        <row r="9">
          <cell r="E9">
            <v>1176.9639999999999</v>
          </cell>
        </row>
        <row r="10">
          <cell r="E10">
            <v>407.48099999999999</v>
          </cell>
        </row>
        <row r="11">
          <cell r="E11">
            <v>1781.951</v>
          </cell>
        </row>
        <row r="12">
          <cell r="E12">
            <v>3871.357</v>
          </cell>
        </row>
        <row r="13">
          <cell r="E13">
            <v>12920.773999999999</v>
          </cell>
        </row>
      </sheetData>
      <sheetData sheetId="3">
        <row r="7">
          <cell r="N7">
            <v>2669.7719999999995</v>
          </cell>
        </row>
        <row r="8">
          <cell r="N8">
            <v>306.89000000000004</v>
          </cell>
        </row>
        <row r="12">
          <cell r="N12">
            <v>11055.407999999999</v>
          </cell>
        </row>
        <row r="13">
          <cell r="N13">
            <v>7518.6739999999991</v>
          </cell>
        </row>
        <row r="15">
          <cell r="N15">
            <v>85.402000000000001</v>
          </cell>
        </row>
        <row r="17">
          <cell r="N17">
            <v>126.563</v>
          </cell>
        </row>
      </sheetData>
      <sheetData sheetId="4">
        <row r="202">
          <cell r="M202">
            <v>2976.6620000000003</v>
          </cell>
          <cell r="N202">
            <v>71.184000000000012</v>
          </cell>
          <cell r="O202">
            <v>199</v>
          </cell>
          <cell r="P202">
            <v>128</v>
          </cell>
        </row>
        <row r="204">
          <cell r="M204">
            <v>18574.081999999999</v>
          </cell>
          <cell r="N204">
            <v>492.94699999999989</v>
          </cell>
          <cell r="O204">
            <v>1097</v>
          </cell>
          <cell r="P204">
            <v>1111</v>
          </cell>
        </row>
        <row r="205">
          <cell r="M205">
            <v>211.96499999999997</v>
          </cell>
          <cell r="N205">
            <v>2.7</v>
          </cell>
          <cell r="O205">
            <v>9</v>
          </cell>
          <cell r="P205">
            <v>1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7">
          <cell r="E7">
            <v>2121.953</v>
          </cell>
        </row>
        <row r="8">
          <cell r="E8">
            <v>3503.0129999999999</v>
          </cell>
        </row>
        <row r="9">
          <cell r="E9">
            <v>706.86400000000003</v>
          </cell>
        </row>
        <row r="10">
          <cell r="E10">
            <v>239.584</v>
          </cell>
        </row>
        <row r="11">
          <cell r="E11">
            <v>487.702</v>
          </cell>
        </row>
        <row r="12">
          <cell r="E12">
            <v>1918.9</v>
          </cell>
        </row>
        <row r="13">
          <cell r="E13">
            <v>5472.21000000001</v>
          </cell>
        </row>
        <row r="14">
          <cell r="E14">
            <v>15353.923000000001</v>
          </cell>
        </row>
        <row r="15">
          <cell r="E15">
            <v>-2.968</v>
          </cell>
        </row>
        <row r="16">
          <cell r="E16">
            <v>332.21199999999999</v>
          </cell>
        </row>
      </sheetData>
      <sheetData sheetId="3">
        <row r="7">
          <cell r="N7">
            <v>5263.3249999999998</v>
          </cell>
        </row>
        <row r="8">
          <cell r="N8">
            <v>1068.5049999999999</v>
          </cell>
        </row>
        <row r="10">
          <cell r="N10">
            <v>13818.928000000002</v>
          </cell>
        </row>
        <row r="11">
          <cell r="N11">
            <v>8926.1050000000014</v>
          </cell>
        </row>
        <row r="13">
          <cell r="N13">
            <v>48.35</v>
          </cell>
        </row>
        <row r="15">
          <cell r="N15">
            <v>280.89400000000001</v>
          </cell>
        </row>
        <row r="17">
          <cell r="N17">
            <v>727.28599999999994</v>
          </cell>
        </row>
      </sheetData>
      <sheetData sheetId="4">
        <row r="260">
          <cell r="N260">
            <v>6331.84</v>
          </cell>
          <cell r="O260">
            <v>204.04</v>
          </cell>
          <cell r="P260">
            <v>348</v>
          </cell>
          <cell r="Q260">
            <v>342</v>
          </cell>
        </row>
        <row r="261">
          <cell r="N261">
            <v>727.29</v>
          </cell>
          <cell r="O261">
            <v>22.01</v>
          </cell>
          <cell r="P261">
            <v>43</v>
          </cell>
          <cell r="Q261">
            <v>33</v>
          </cell>
        </row>
        <row r="262">
          <cell r="N262">
            <v>22745.040000000008</v>
          </cell>
          <cell r="O262">
            <v>513.29</v>
          </cell>
          <cell r="P262">
            <v>1212</v>
          </cell>
          <cell r="Q262">
            <v>1044</v>
          </cell>
        </row>
        <row r="263">
          <cell r="N263">
            <v>329.24</v>
          </cell>
          <cell r="O263">
            <v>2.36</v>
          </cell>
          <cell r="P263">
            <v>13</v>
          </cell>
          <cell r="Q263">
            <v>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light"/>
      <sheetName val="Dashboard "/>
      <sheetName val="data chart"/>
      <sheetName val="MTD performance of BCA"/>
      <sheetName val="YTD performance"/>
      <sheetName val="Sheet1"/>
      <sheetName val="Countdown"/>
    </sheetNames>
    <sheetDataSet>
      <sheetData sheetId="0"/>
      <sheetData sheetId="1"/>
      <sheetData sheetId="2"/>
      <sheetData sheetId="3">
        <row r="13">
          <cell r="G13">
            <v>39</v>
          </cell>
          <cell r="H13">
            <v>20</v>
          </cell>
        </row>
        <row r="14">
          <cell r="G14">
            <v>204</v>
          </cell>
          <cell r="H14">
            <v>99</v>
          </cell>
        </row>
        <row r="15">
          <cell r="G15">
            <v>191</v>
          </cell>
          <cell r="H15">
            <v>154</v>
          </cell>
        </row>
        <row r="16">
          <cell r="G16">
            <v>30</v>
          </cell>
          <cell r="H16">
            <v>6</v>
          </cell>
        </row>
        <row r="17">
          <cell r="G17">
            <v>17</v>
          </cell>
          <cell r="H17">
            <v>3</v>
          </cell>
        </row>
      </sheetData>
      <sheetData sheetId="4"/>
      <sheetData sheetId="5"/>
      <sheetData sheetId="6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light"/>
      <sheetName val="Dashboard "/>
      <sheetName val="data chart"/>
      <sheetName val="MTD performance of BCA"/>
      <sheetName val="YTD performance"/>
      <sheetName val="Sheet1"/>
      <sheetName val="Countdown"/>
    </sheetNames>
    <sheetDataSet>
      <sheetData sheetId="0" refreshError="1"/>
      <sheetData sheetId="1" refreshError="1"/>
      <sheetData sheetId="2" refreshError="1"/>
      <sheetData sheetId="3">
        <row r="13">
          <cell r="G13">
            <v>41</v>
          </cell>
          <cell r="H13">
            <v>22</v>
          </cell>
        </row>
        <row r="14">
          <cell r="G14">
            <v>208</v>
          </cell>
          <cell r="H14">
            <v>150</v>
          </cell>
        </row>
        <row r="15">
          <cell r="G15">
            <v>200</v>
          </cell>
          <cell r="H15">
            <v>81</v>
          </cell>
        </row>
        <row r="16">
          <cell r="G16">
            <v>20</v>
          </cell>
          <cell r="H16">
            <v>2</v>
          </cell>
        </row>
        <row r="17">
          <cell r="G17">
            <v>26</v>
          </cell>
          <cell r="H17">
            <v>5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.IO.IL cost"/>
      <sheetName val="PD Budget"/>
      <sheetName val="Summary_by Year"/>
      <sheetName val="Comp Projection"/>
      <sheetName val="Summary_by Month"/>
      <sheetName val="2016-2018 Plan_Non-Credit Life"/>
      <sheetName val="Techcombank"/>
      <sheetName val="BacABank"/>
      <sheetName val="2015 Performance"/>
      <sheetName val="Sheet3"/>
    </sheetNames>
    <sheetDataSet>
      <sheetData sheetId="0"/>
      <sheetData sheetId="1"/>
      <sheetData sheetId="2"/>
      <sheetData sheetId="3"/>
      <sheetData sheetId="4"/>
      <sheetData sheetId="5">
        <row r="4">
          <cell r="I4">
            <v>242</v>
          </cell>
          <cell r="J4">
            <v>242</v>
          </cell>
          <cell r="K4">
            <v>242</v>
          </cell>
          <cell r="L4">
            <v>242</v>
          </cell>
          <cell r="M4">
            <v>302</v>
          </cell>
          <cell r="N4">
            <v>380</v>
          </cell>
          <cell r="O4">
            <v>390</v>
          </cell>
          <cell r="P4">
            <v>390</v>
          </cell>
          <cell r="Q4">
            <v>420</v>
          </cell>
          <cell r="R4">
            <v>420</v>
          </cell>
          <cell r="S4">
            <v>420</v>
          </cell>
          <cell r="T4">
            <v>420</v>
          </cell>
        </row>
        <row r="5">
          <cell r="I5">
            <v>250</v>
          </cell>
          <cell r="J5">
            <v>250</v>
          </cell>
          <cell r="K5">
            <v>250</v>
          </cell>
          <cell r="L5">
            <v>250</v>
          </cell>
          <cell r="M5">
            <v>316</v>
          </cell>
          <cell r="N5">
            <v>386</v>
          </cell>
          <cell r="O5">
            <v>396</v>
          </cell>
          <cell r="P5">
            <v>396</v>
          </cell>
          <cell r="Q5">
            <v>429</v>
          </cell>
          <cell r="R5">
            <v>429</v>
          </cell>
          <cell r="S5">
            <v>429</v>
          </cell>
          <cell r="T5">
            <v>429</v>
          </cell>
        </row>
        <row r="7">
          <cell r="T7">
            <v>0.79592074592074591</v>
          </cell>
        </row>
        <row r="8">
          <cell r="I8">
            <v>174.2</v>
          </cell>
          <cell r="J8">
            <v>167.60000000000002</v>
          </cell>
          <cell r="K8">
            <v>200.5</v>
          </cell>
          <cell r="L8">
            <v>167</v>
          </cell>
          <cell r="M8">
            <v>228.1</v>
          </cell>
          <cell r="N8">
            <v>292.89999999999998</v>
          </cell>
          <cell r="O8">
            <v>275.39999999999998</v>
          </cell>
          <cell r="P8">
            <v>288.39999999999998</v>
          </cell>
          <cell r="Q8">
            <v>334.65000000000003</v>
          </cell>
          <cell r="R8">
            <v>315.7</v>
          </cell>
          <cell r="S8">
            <v>324.5</v>
          </cell>
          <cell r="T8">
            <v>341.45</v>
          </cell>
        </row>
        <row r="9">
          <cell r="T9">
            <v>4.7297449712476158</v>
          </cell>
        </row>
        <row r="10">
          <cell r="T10">
            <v>19.664610724097251</v>
          </cell>
        </row>
        <row r="12">
          <cell r="I12">
            <v>502.23999999999995</v>
          </cell>
          <cell r="J12">
            <v>574.48</v>
          </cell>
          <cell r="K12">
            <v>850.4</v>
          </cell>
          <cell r="L12">
            <v>686.39999999999986</v>
          </cell>
          <cell r="M12">
            <v>933.66599999999994</v>
          </cell>
          <cell r="N12">
            <v>1210.6587</v>
          </cell>
          <cell r="O12">
            <v>985.18809999999985</v>
          </cell>
          <cell r="P12">
            <v>1189.0350000000001</v>
          </cell>
          <cell r="Q12">
            <v>1501.26225</v>
          </cell>
          <cell r="R12">
            <v>1205.5178115698404</v>
          </cell>
          <cell r="S12">
            <v>1339.2943021483325</v>
          </cell>
          <cell r="T12">
            <v>1614.9714204324985</v>
          </cell>
        </row>
        <row r="13">
          <cell r="I13">
            <v>7897.9199999999992</v>
          </cell>
          <cell r="J13">
            <v>9828.7950000000019</v>
          </cell>
          <cell r="K13">
            <v>14770.400000000001</v>
          </cell>
          <cell r="L13">
            <v>11899.199999999999</v>
          </cell>
          <cell r="M13">
            <v>16286.603999999999</v>
          </cell>
          <cell r="N13">
            <v>22074.8678</v>
          </cell>
          <cell r="O13">
            <v>17991.391079999998</v>
          </cell>
          <cell r="P13">
            <v>21688.064999999999</v>
          </cell>
          <cell r="Q13">
            <v>27611.367750000001</v>
          </cell>
          <cell r="R13">
            <v>22142.440220757126</v>
          </cell>
          <cell r="S13">
            <v>26316.30462491998</v>
          </cell>
          <cell r="T13">
            <v>31757.784313347478</v>
          </cell>
        </row>
        <row r="14">
          <cell r="T14">
            <v>93.008593683840914</v>
          </cell>
        </row>
        <row r="19">
          <cell r="O19">
            <v>170</v>
          </cell>
        </row>
        <row r="20">
          <cell r="I20">
            <v>170</v>
          </cell>
          <cell r="T20">
            <v>170</v>
          </cell>
        </row>
        <row r="23">
          <cell r="I23">
            <v>118.99999999999999</v>
          </cell>
          <cell r="T23">
            <v>146.19999999999999</v>
          </cell>
        </row>
        <row r="27">
          <cell r="I27">
            <v>380.79999999999995</v>
          </cell>
          <cell r="T27">
            <v>979.54</v>
          </cell>
        </row>
        <row r="33">
          <cell r="O33">
            <v>90</v>
          </cell>
        </row>
        <row r="34">
          <cell r="O34">
            <v>90</v>
          </cell>
        </row>
        <row r="37">
          <cell r="I37">
            <v>55.199999999999996</v>
          </cell>
          <cell r="T37">
            <v>72</v>
          </cell>
        </row>
        <row r="41">
          <cell r="I41">
            <v>121.44</v>
          </cell>
          <cell r="T41">
            <v>233.28000000000003</v>
          </cell>
        </row>
        <row r="42">
          <cell r="I42">
            <v>2185.92</v>
          </cell>
          <cell r="T42">
            <v>4665.6000000000004</v>
          </cell>
        </row>
        <row r="47">
          <cell r="O47">
            <v>60</v>
          </cell>
        </row>
        <row r="48">
          <cell r="I48">
            <v>0</v>
          </cell>
          <cell r="T48">
            <v>99.000000000000014</v>
          </cell>
        </row>
        <row r="51">
          <cell r="I51">
            <v>0</v>
          </cell>
          <cell r="T51">
            <v>74.250000000000014</v>
          </cell>
        </row>
        <row r="55">
          <cell r="I55">
            <v>0</v>
          </cell>
          <cell r="T55">
            <v>270.82204765124857</v>
          </cell>
        </row>
        <row r="56">
          <cell r="M56">
            <v>2286.8999999999996</v>
          </cell>
          <cell r="N56">
            <v>2499.2550000000001</v>
          </cell>
          <cell r="O56">
            <v>2379.2907600000003</v>
          </cell>
          <cell r="P56">
            <v>2494.7999999999997</v>
          </cell>
          <cell r="Q56">
            <v>4143.1500000000005</v>
          </cell>
          <cell r="R56">
            <v>4036.8635832571208</v>
          </cell>
          <cell r="S56">
            <v>4226.2327624199761</v>
          </cell>
          <cell r="T56">
            <v>4874.7968577224747</v>
          </cell>
        </row>
        <row r="67">
          <cell r="N67">
            <v>19</v>
          </cell>
          <cell r="O67">
            <v>19</v>
          </cell>
          <cell r="P67">
            <v>19</v>
          </cell>
          <cell r="Q67">
            <v>19</v>
          </cell>
          <cell r="R67">
            <v>19</v>
          </cell>
          <cell r="S67">
            <v>20</v>
          </cell>
          <cell r="T67">
            <v>20</v>
          </cell>
        </row>
        <row r="68"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</row>
        <row r="69">
          <cell r="N69">
            <v>98</v>
          </cell>
          <cell r="O69">
            <v>102.9</v>
          </cell>
          <cell r="P69">
            <v>108.045</v>
          </cell>
          <cell r="Q69">
            <v>113.44725000000001</v>
          </cell>
          <cell r="R69">
            <v>119.11961250000002</v>
          </cell>
          <cell r="S69">
            <v>125.07559312500004</v>
          </cell>
          <cell r="T69">
            <v>131.32937278125004</v>
          </cell>
        </row>
        <row r="70">
          <cell r="N70">
            <v>1862</v>
          </cell>
          <cell r="O70">
            <v>1955.1000000000001</v>
          </cell>
          <cell r="P70">
            <v>2052.855</v>
          </cell>
          <cell r="Q70">
            <v>2155.49775</v>
          </cell>
          <cell r="R70">
            <v>2263.2726375000002</v>
          </cell>
          <cell r="S70">
            <v>2501.5118625000009</v>
          </cell>
          <cell r="T70">
            <v>2626.587455625001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light"/>
      <sheetName val="Dashboard "/>
      <sheetName val="data chart"/>
      <sheetName val="MTD performance of BCA"/>
      <sheetName val="YTD performance"/>
      <sheetName val="Sheet1"/>
      <sheetName val="Countdown"/>
    </sheetNames>
    <sheetDataSet>
      <sheetData sheetId="0"/>
      <sheetData sheetId="1"/>
      <sheetData sheetId="2"/>
      <sheetData sheetId="3">
        <row r="13">
          <cell r="G13">
            <v>193</v>
          </cell>
          <cell r="H13">
            <v>151</v>
          </cell>
        </row>
        <row r="14">
          <cell r="G14">
            <v>167</v>
          </cell>
          <cell r="H14">
            <v>49</v>
          </cell>
        </row>
        <row r="15">
          <cell r="G15">
            <v>38</v>
          </cell>
          <cell r="H15">
            <v>15</v>
          </cell>
        </row>
        <row r="16">
          <cell r="G16">
            <v>23</v>
          </cell>
          <cell r="H16">
            <v>4</v>
          </cell>
        </row>
        <row r="17">
          <cell r="G17">
            <v>10</v>
          </cell>
          <cell r="H17">
            <v>4</v>
          </cell>
        </row>
      </sheetData>
      <sheetData sheetId="4"/>
      <sheetData sheetId="5"/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  <sheetName val="Sheet2"/>
      <sheetName val="Tháng 8"/>
      <sheetName val="hide "/>
      <sheetName val="Chi tiết"/>
      <sheetName val="HD hủy"/>
      <sheetName val="Detail policy"/>
      <sheetName val="Kí hiệu trang thái HD"/>
      <sheetName val="FA,RM"/>
      <sheetName val="Branch"/>
      <sheetName val="FA-SFA"/>
    </sheetNames>
    <sheetDataSet>
      <sheetData sheetId="0">
        <row r="8">
          <cell r="G8">
            <v>182</v>
          </cell>
        </row>
        <row r="13">
          <cell r="G13">
            <v>138</v>
          </cell>
        </row>
        <row r="15">
          <cell r="G15">
            <v>52</v>
          </cell>
        </row>
        <row r="16">
          <cell r="G16">
            <v>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Highlight"/>
      <sheetName val="Dashboard old"/>
      <sheetName val="Highlight"/>
      <sheetName val="Dashboard "/>
      <sheetName val="MTD performance of BCA"/>
      <sheetName val="Sheet1"/>
    </sheetNames>
    <sheetDataSet>
      <sheetData sheetId="0"/>
      <sheetData sheetId="1"/>
      <sheetData sheetId="2"/>
      <sheetData sheetId="3"/>
      <sheetData sheetId="4">
        <row r="13">
          <cell r="I13">
            <v>205</v>
          </cell>
        </row>
        <row r="14">
          <cell r="I14">
            <v>225</v>
          </cell>
        </row>
        <row r="15">
          <cell r="I15">
            <v>74</v>
          </cell>
        </row>
      </sheetData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Highlight"/>
      <sheetName val="Dashboard old"/>
      <sheetName val="Highlight"/>
      <sheetName val="Dashboard "/>
      <sheetName val="MTD performance of BCA"/>
      <sheetName val="Sheet1"/>
      <sheetName val="Countdown"/>
    </sheetNames>
    <sheetDataSet>
      <sheetData sheetId="0"/>
      <sheetData sheetId="1"/>
      <sheetData sheetId="2"/>
      <sheetData sheetId="3"/>
      <sheetData sheetId="4">
        <row r="13">
          <cell r="I13">
            <v>185</v>
          </cell>
        </row>
        <row r="14">
          <cell r="I14">
            <v>182</v>
          </cell>
        </row>
        <row r="15">
          <cell r="I15">
            <v>66</v>
          </cell>
        </row>
      </sheetData>
      <sheetData sheetId="5"/>
      <sheetData sheetId="6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Highlight"/>
      <sheetName val="Dashboard old"/>
      <sheetName val="Highlight"/>
      <sheetName val="Dashboard "/>
      <sheetName val="MTD performance of BCA"/>
      <sheetName val="Sheet1"/>
      <sheetName val="Countdown"/>
    </sheetNames>
    <sheetDataSet>
      <sheetData sheetId="0"/>
      <sheetData sheetId="1"/>
      <sheetData sheetId="2"/>
      <sheetData sheetId="3"/>
      <sheetData sheetId="4">
        <row r="13">
          <cell r="H13">
            <v>183</v>
          </cell>
        </row>
        <row r="14">
          <cell r="H14">
            <v>202</v>
          </cell>
        </row>
        <row r="15">
          <cell r="H15">
            <v>19</v>
          </cell>
        </row>
      </sheetData>
      <sheetData sheetId="5"/>
      <sheetData sheetId="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light"/>
      <sheetName val="Dashboard "/>
      <sheetName val="data chart"/>
      <sheetName val="MTD performance of BCA"/>
      <sheetName val="YTD performance"/>
      <sheetName val="Sheet1"/>
      <sheetName val="Countdown"/>
    </sheetNames>
    <sheetDataSet>
      <sheetData sheetId="0"/>
      <sheetData sheetId="1"/>
      <sheetData sheetId="2"/>
      <sheetData sheetId="3">
        <row r="13">
          <cell r="G13">
            <v>188</v>
          </cell>
          <cell r="H13">
            <v>84</v>
          </cell>
        </row>
        <row r="14">
          <cell r="G14">
            <v>177</v>
          </cell>
          <cell r="H14">
            <v>147</v>
          </cell>
        </row>
        <row r="15">
          <cell r="G15">
            <v>12</v>
          </cell>
        </row>
      </sheetData>
      <sheetData sheetId="4"/>
      <sheetData sheetId="5"/>
      <sheetData sheetId="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light"/>
      <sheetName val="Dashboard "/>
      <sheetName val="data chart"/>
      <sheetName val="MTD performance of BCA"/>
      <sheetName val="YTD performance"/>
      <sheetName val="Sheet1"/>
      <sheetName val="Countdown"/>
    </sheetNames>
    <sheetDataSet>
      <sheetData sheetId="0"/>
      <sheetData sheetId="1"/>
      <sheetData sheetId="2"/>
      <sheetData sheetId="3">
        <row r="13">
          <cell r="G13">
            <v>201</v>
          </cell>
          <cell r="H13">
            <v>111</v>
          </cell>
        </row>
        <row r="14">
          <cell r="G14">
            <v>171</v>
          </cell>
          <cell r="H14">
            <v>145</v>
          </cell>
        </row>
        <row r="15">
          <cell r="G15">
            <v>13</v>
          </cell>
          <cell r="H15">
            <v>4</v>
          </cell>
        </row>
      </sheetData>
      <sheetData sheetId="4"/>
      <sheetData sheetId="5"/>
      <sheetData sheetId="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light"/>
      <sheetName val="Dashboard "/>
      <sheetName val="data chart"/>
      <sheetName val="MTD performance of BCA"/>
      <sheetName val="YTD performance"/>
      <sheetName val="Sheet1"/>
      <sheetName val="Countdown"/>
    </sheetNames>
    <sheetDataSet>
      <sheetData sheetId="0"/>
      <sheetData sheetId="1"/>
      <sheetData sheetId="2"/>
      <sheetData sheetId="3">
        <row r="13">
          <cell r="G13">
            <v>15</v>
          </cell>
          <cell r="H13">
            <v>10</v>
          </cell>
        </row>
        <row r="14">
          <cell r="G14">
            <v>223</v>
          </cell>
          <cell r="H14">
            <v>134</v>
          </cell>
        </row>
        <row r="15">
          <cell r="G15">
            <v>181</v>
          </cell>
          <cell r="H15">
            <v>146</v>
          </cell>
        </row>
        <row r="16">
          <cell r="G16">
            <v>16</v>
          </cell>
          <cell r="H16">
            <v>5</v>
          </cell>
        </row>
      </sheetData>
      <sheetData sheetId="4"/>
      <sheetData sheetId="5"/>
      <sheetData sheetId="6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light"/>
      <sheetName val="Dashboard "/>
      <sheetName val="data chart"/>
      <sheetName val="MTD performance of BCA"/>
      <sheetName val="YTD performance"/>
      <sheetName val="Sheet1"/>
      <sheetName val="Countdown"/>
    </sheetNames>
    <sheetDataSet>
      <sheetData sheetId="0" refreshError="1"/>
      <sheetData sheetId="1" refreshError="1"/>
      <sheetData sheetId="2" refreshError="1"/>
      <sheetData sheetId="3">
        <row r="13">
          <cell r="G13">
            <v>28</v>
          </cell>
          <cell r="H13">
            <v>16</v>
          </cell>
        </row>
        <row r="14">
          <cell r="G14">
            <v>176</v>
          </cell>
        </row>
        <row r="15">
          <cell r="G15">
            <v>199</v>
          </cell>
          <cell r="H15">
            <v>121</v>
          </cell>
        </row>
        <row r="16">
          <cell r="G16">
            <v>13</v>
          </cell>
          <cell r="H16">
            <v>5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urce"/>
      <sheetName val="Sheet2"/>
      <sheetName val="Source CMG"/>
      <sheetName val="Source Cen Group"/>
    </sheetNames>
    <sheetDataSet>
      <sheetData sheetId="0">
        <row r="6">
          <cell r="C6">
            <v>182</v>
          </cell>
          <cell r="D6">
            <v>20</v>
          </cell>
        </row>
        <row r="7">
          <cell r="C7">
            <v>38</v>
          </cell>
          <cell r="D7">
            <v>3</v>
          </cell>
        </row>
        <row r="8">
          <cell r="C8">
            <v>152</v>
          </cell>
          <cell r="D8">
            <v>63</v>
          </cell>
        </row>
      </sheetData>
      <sheetData sheetId="1" refreshError="1"/>
      <sheetData sheetId="2">
        <row r="5">
          <cell r="C5">
            <v>21</v>
          </cell>
          <cell r="D5">
            <v>6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 Structure"/>
      <sheetName val="June Target"/>
      <sheetName val="Sheet7"/>
      <sheetName val="Performance"/>
      <sheetName val="Dashboard Highlight"/>
      <sheetName val="Highlight"/>
      <sheetName val="MTD performance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42">
          <cell r="H42">
            <v>210000</v>
          </cell>
          <cell r="I42">
            <v>20</v>
          </cell>
          <cell r="J42">
            <v>12</v>
          </cell>
          <cell r="S42" t="e">
            <v>#DIV/0!</v>
          </cell>
          <cell r="T42">
            <v>0</v>
          </cell>
          <cell r="U42" t="e">
            <v>#DIV/0!</v>
          </cell>
        </row>
        <row r="43">
          <cell r="H43">
            <v>210000</v>
          </cell>
          <cell r="I43">
            <v>15</v>
          </cell>
          <cell r="J43">
            <v>14</v>
          </cell>
          <cell r="S43" t="e">
            <v>#DIV/0!</v>
          </cell>
          <cell r="T43">
            <v>0</v>
          </cell>
          <cell r="U43" t="e">
            <v>#DIV/0!</v>
          </cell>
        </row>
        <row r="44">
          <cell r="H44">
            <v>125000</v>
          </cell>
          <cell r="I44">
            <v>17</v>
          </cell>
          <cell r="J44">
            <v>11</v>
          </cell>
          <cell r="S44" t="e">
            <v>#DIV/0!</v>
          </cell>
          <cell r="T44">
            <v>0</v>
          </cell>
          <cell r="U44" t="e">
            <v>#DIV/0!</v>
          </cell>
        </row>
        <row r="45">
          <cell r="H45">
            <v>100000</v>
          </cell>
          <cell r="I45">
            <v>22</v>
          </cell>
          <cell r="J45">
            <v>5</v>
          </cell>
          <cell r="S45" t="e">
            <v>#DIV/0!</v>
          </cell>
          <cell r="T45">
            <v>0</v>
          </cell>
          <cell r="U45" t="e">
            <v>#DIV/0!</v>
          </cell>
        </row>
        <row r="46">
          <cell r="H46">
            <v>1958000</v>
          </cell>
          <cell r="I46">
            <v>19</v>
          </cell>
          <cell r="J46">
            <v>18</v>
          </cell>
          <cell r="S46">
            <v>0.99818820965627819</v>
          </cell>
        </row>
        <row r="47">
          <cell r="H47">
            <v>1906000</v>
          </cell>
          <cell r="I47">
            <v>15</v>
          </cell>
        </row>
        <row r="48">
          <cell r="H48">
            <v>2060000</v>
          </cell>
          <cell r="I48">
            <v>19</v>
          </cell>
          <cell r="S48">
            <v>1.7176213039816381</v>
          </cell>
        </row>
        <row r="49">
          <cell r="H49">
            <v>1700000</v>
          </cell>
          <cell r="I49">
            <v>20</v>
          </cell>
          <cell r="J49">
            <v>17</v>
          </cell>
          <cell r="S49">
            <v>1.9429794155950264</v>
          </cell>
        </row>
        <row r="50">
          <cell r="H50">
            <v>1906000</v>
          </cell>
          <cell r="S50">
            <v>0.84526467092351498</v>
          </cell>
        </row>
        <row r="51">
          <cell r="H51">
            <v>2370000</v>
          </cell>
          <cell r="S51">
            <v>1.2438346995979206</v>
          </cell>
        </row>
        <row r="52">
          <cell r="H52">
            <v>1140000</v>
          </cell>
        </row>
        <row r="53">
          <cell r="H53">
            <v>1180000</v>
          </cell>
          <cell r="S53">
            <v>1.0728542649737969</v>
          </cell>
        </row>
        <row r="54">
          <cell r="H54">
            <v>1180000</v>
          </cell>
          <cell r="S54">
            <v>1.5132488924376675</v>
          </cell>
        </row>
        <row r="55">
          <cell r="H55">
            <v>1180000</v>
          </cell>
          <cell r="S55">
            <v>1.0648901057911959</v>
          </cell>
        </row>
        <row r="56">
          <cell r="H56">
            <v>920000</v>
          </cell>
          <cell r="S56">
            <v>1.4924240187394198</v>
          </cell>
        </row>
      </sheetData>
      <sheetData sheetId="7"/>
      <sheetData sheetId="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 Banca"/>
      <sheetName val="Source CMG"/>
      <sheetName val="Source Cen Group"/>
      <sheetName val="TONGHOP"/>
    </sheetNames>
    <sheetDataSet>
      <sheetData sheetId="0" refreshError="1"/>
      <sheetData sheetId="1" refreshError="1"/>
      <sheetData sheetId="2"/>
      <sheetData sheetId="3">
        <row r="3">
          <cell r="C3">
            <v>76</v>
          </cell>
        </row>
        <row r="4">
          <cell r="B4">
            <v>175</v>
          </cell>
          <cell r="C4">
            <v>13</v>
          </cell>
        </row>
        <row r="5">
          <cell r="B5">
            <v>34</v>
          </cell>
          <cell r="C5">
            <v>4</v>
          </cell>
        </row>
        <row r="6">
          <cell r="B6">
            <v>21</v>
          </cell>
          <cell r="C6">
            <v>8</v>
          </cell>
        </row>
        <row r="7">
          <cell r="B7">
            <v>11</v>
          </cell>
          <cell r="C7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urce"/>
    </sheetNames>
    <sheetDataSet>
      <sheetData sheetId="0">
        <row r="5">
          <cell r="B5">
            <v>18</v>
          </cell>
        </row>
        <row r="6">
          <cell r="B6">
            <v>5</v>
          </cell>
        </row>
        <row r="7">
          <cell r="B7">
            <v>202</v>
          </cell>
        </row>
        <row r="11">
          <cell r="B11">
            <v>141</v>
          </cell>
        </row>
        <row r="12">
          <cell r="B12">
            <v>52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urce"/>
      <sheetName val="Source CMG"/>
    </sheetNames>
    <sheetDataSet>
      <sheetData sheetId="0">
        <row r="9">
          <cell r="C9">
            <v>170</v>
          </cell>
          <cell r="D9">
            <v>133</v>
          </cell>
        </row>
        <row r="10">
          <cell r="C10">
            <v>18</v>
          </cell>
          <cell r="D10">
            <v>44</v>
          </cell>
        </row>
      </sheetData>
      <sheetData sheetId="1"/>
      <sheetData sheetId="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urce"/>
      <sheetName val="Source CMG"/>
    </sheetNames>
    <sheetDataSet>
      <sheetData sheetId="0">
        <row r="7">
          <cell r="B7">
            <v>187</v>
          </cell>
        </row>
        <row r="8">
          <cell r="B8">
            <v>15</v>
          </cell>
        </row>
        <row r="11">
          <cell r="B11">
            <v>133</v>
          </cell>
        </row>
        <row r="12">
          <cell r="B12">
            <v>49</v>
          </cell>
        </row>
      </sheetData>
      <sheetData sheetId="1"/>
      <sheetData sheetId="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urce"/>
      <sheetName val="Source CMG"/>
    </sheetNames>
    <sheetDataSet>
      <sheetData sheetId="0">
        <row r="7">
          <cell r="B7">
            <v>204</v>
          </cell>
        </row>
        <row r="8">
          <cell r="B8">
            <v>21</v>
          </cell>
        </row>
        <row r="10">
          <cell r="B10">
            <v>14</v>
          </cell>
        </row>
        <row r="11">
          <cell r="B11">
            <v>1</v>
          </cell>
        </row>
        <row r="13">
          <cell r="B13">
            <v>116</v>
          </cell>
        </row>
        <row r="14">
          <cell r="B14">
            <v>79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urce"/>
      <sheetName val="Source CMG"/>
      <sheetName val="Source Cen Group"/>
    </sheetNames>
    <sheetDataSet>
      <sheetData sheetId="0">
        <row r="7">
          <cell r="B7">
            <v>177</v>
          </cell>
        </row>
        <row r="8">
          <cell r="B8">
            <v>22</v>
          </cell>
        </row>
        <row r="10">
          <cell r="B10">
            <v>25</v>
          </cell>
        </row>
        <row r="11">
          <cell r="B11">
            <v>3</v>
          </cell>
        </row>
        <row r="13">
          <cell r="B13">
            <v>110</v>
          </cell>
        </row>
        <row r="14">
          <cell r="B14">
            <v>66</v>
          </cell>
        </row>
      </sheetData>
      <sheetData sheetId="1"/>
      <sheetData sheetId="2"/>
      <sheetData sheetId="3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ource"/>
      <sheetName val="Source CMG"/>
      <sheetName val="Source Cen Group"/>
    </sheetNames>
    <sheetDataSet>
      <sheetData sheetId="0">
        <row r="7">
          <cell r="B7">
            <v>185</v>
          </cell>
        </row>
        <row r="8">
          <cell r="B8">
            <v>21</v>
          </cell>
        </row>
        <row r="11">
          <cell r="B11">
            <v>36</v>
          </cell>
        </row>
        <row r="12">
          <cell r="B12">
            <v>3</v>
          </cell>
        </row>
        <row r="15">
          <cell r="B15">
            <v>130</v>
          </cell>
        </row>
        <row r="16">
          <cell r="B16">
            <v>73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Highlight"/>
      <sheetName val="Dashboard old"/>
      <sheetName val="Highlight"/>
      <sheetName val="Dashboard "/>
      <sheetName val="MTD performance of BCA"/>
      <sheetName val="Sheet1"/>
    </sheetNames>
    <sheetDataSet>
      <sheetData sheetId="0"/>
      <sheetData sheetId="1"/>
      <sheetData sheetId="2"/>
      <sheetData sheetId="3"/>
      <sheetData sheetId="4">
        <row r="32">
          <cell r="I32">
            <v>6</v>
          </cell>
          <cell r="J32">
            <v>5</v>
          </cell>
        </row>
        <row r="33">
          <cell r="I33">
            <v>18</v>
          </cell>
          <cell r="J33">
            <v>13</v>
          </cell>
        </row>
        <row r="34">
          <cell r="I34">
            <v>17</v>
          </cell>
          <cell r="J34">
            <v>7</v>
          </cell>
        </row>
        <row r="35">
          <cell r="I35">
            <v>11</v>
          </cell>
          <cell r="J35">
            <v>5</v>
          </cell>
        </row>
        <row r="36">
          <cell r="I36">
            <v>13</v>
          </cell>
          <cell r="J36">
            <v>12</v>
          </cell>
        </row>
        <row r="37">
          <cell r="I37">
            <v>15</v>
          </cell>
          <cell r="J37">
            <v>11</v>
          </cell>
        </row>
        <row r="38">
          <cell r="I38">
            <v>11</v>
          </cell>
          <cell r="J38">
            <v>8</v>
          </cell>
        </row>
        <row r="39">
          <cell r="I39">
            <v>15</v>
          </cell>
          <cell r="J39">
            <v>14</v>
          </cell>
        </row>
        <row r="40">
          <cell r="I40">
            <v>15</v>
          </cell>
          <cell r="J40">
            <v>3</v>
          </cell>
        </row>
        <row r="41">
          <cell r="I41">
            <v>10</v>
          </cell>
          <cell r="J41">
            <v>7</v>
          </cell>
        </row>
        <row r="42">
          <cell r="I42">
            <v>17</v>
          </cell>
          <cell r="J42">
            <v>10</v>
          </cell>
        </row>
        <row r="47">
          <cell r="I47">
            <v>20</v>
          </cell>
          <cell r="J47">
            <v>19</v>
          </cell>
        </row>
        <row r="48">
          <cell r="I48">
            <v>15</v>
          </cell>
          <cell r="J48">
            <v>12</v>
          </cell>
        </row>
        <row r="49">
          <cell r="I49">
            <v>17</v>
          </cell>
          <cell r="J49">
            <v>15</v>
          </cell>
        </row>
        <row r="50">
          <cell r="I50">
            <v>12</v>
          </cell>
          <cell r="J50">
            <v>10</v>
          </cell>
        </row>
        <row r="51">
          <cell r="I51">
            <v>19</v>
          </cell>
          <cell r="J51">
            <v>16</v>
          </cell>
        </row>
        <row r="52">
          <cell r="I52">
            <v>22</v>
          </cell>
          <cell r="J52">
            <v>22</v>
          </cell>
        </row>
        <row r="53">
          <cell r="I53">
            <v>12</v>
          </cell>
          <cell r="J53">
            <v>9</v>
          </cell>
        </row>
        <row r="54">
          <cell r="I54">
            <v>14</v>
          </cell>
          <cell r="J54">
            <v>14</v>
          </cell>
        </row>
        <row r="55">
          <cell r="I55">
            <v>13</v>
          </cell>
          <cell r="J55">
            <v>14</v>
          </cell>
        </row>
        <row r="56">
          <cell r="I56">
            <v>13</v>
          </cell>
          <cell r="J56">
            <v>12</v>
          </cell>
        </row>
        <row r="57">
          <cell r="I57">
            <v>9</v>
          </cell>
          <cell r="J57">
            <v>8</v>
          </cell>
        </row>
      </sheetData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.IO.IL cost"/>
      <sheetName val="PD Budget"/>
      <sheetName val="Spendings"/>
      <sheetName val="Summary_by Year"/>
      <sheetName val="Comp Projection"/>
      <sheetName val="Summary_by Month"/>
      <sheetName val="Plan C Summary (2)"/>
      <sheetName val="2016-2018 Plan_C (2)"/>
      <sheetName val="2016-2018 Plan_B"/>
      <sheetName val="Plan B Summary"/>
      <sheetName val="Summary"/>
      <sheetName val="2017 - 2022 Plan"/>
      <sheetName val="Techcombank"/>
      <sheetName val="BacABank"/>
      <sheetName val="2015 Performance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Z7">
            <v>330</v>
          </cell>
          <cell r="AA7">
            <v>330</v>
          </cell>
          <cell r="AB7">
            <v>351</v>
          </cell>
          <cell r="AC7">
            <v>421</v>
          </cell>
          <cell r="AD7">
            <v>451</v>
          </cell>
          <cell r="AE7">
            <v>451</v>
          </cell>
          <cell r="AF7">
            <v>741</v>
          </cell>
          <cell r="AG7">
            <v>741</v>
          </cell>
          <cell r="AH7">
            <v>741</v>
          </cell>
          <cell r="AI7">
            <v>771</v>
          </cell>
          <cell r="AJ7">
            <v>771</v>
          </cell>
          <cell r="AK7">
            <v>771</v>
          </cell>
        </row>
        <row r="8">
          <cell r="Z8">
            <v>365</v>
          </cell>
          <cell r="AA8">
            <v>365</v>
          </cell>
          <cell r="AB8">
            <v>386</v>
          </cell>
          <cell r="AC8">
            <v>456</v>
          </cell>
          <cell r="AD8">
            <v>496</v>
          </cell>
          <cell r="AE8">
            <v>496</v>
          </cell>
          <cell r="AF8">
            <v>741</v>
          </cell>
          <cell r="AG8">
            <v>741</v>
          </cell>
          <cell r="AH8">
            <v>741</v>
          </cell>
          <cell r="AI8">
            <v>771</v>
          </cell>
          <cell r="AJ8">
            <v>771</v>
          </cell>
          <cell r="AK8">
            <v>771</v>
          </cell>
        </row>
        <row r="9">
          <cell r="Z9">
            <v>0.77794085670798008</v>
          </cell>
          <cell r="AA9">
            <v>0.58958469232441835</v>
          </cell>
          <cell r="AB9">
            <v>0.84170367628916842</v>
          </cell>
          <cell r="AC9">
            <v>0.75471491228070176</v>
          </cell>
          <cell r="AD9">
            <v>0.79516129032258065</v>
          </cell>
          <cell r="AE9">
            <v>0.8617943548387097</v>
          </cell>
          <cell r="AF9">
            <v>0.73171390013495285</v>
          </cell>
          <cell r="AG9">
            <v>0.7836707152496627</v>
          </cell>
          <cell r="AH9">
            <v>0.82510121457489871</v>
          </cell>
          <cell r="AI9">
            <v>0.76939040207522702</v>
          </cell>
          <cell r="AJ9">
            <v>0.82068741893644614</v>
          </cell>
          <cell r="AK9">
            <v>0.86044098573281447</v>
          </cell>
        </row>
        <row r="10">
          <cell r="Z10">
            <v>283.94841269841271</v>
          </cell>
        </row>
        <row r="11">
          <cell r="Z11">
            <v>2.9883865557962404</v>
          </cell>
          <cell r="AA11">
            <v>1.9591148810621428</v>
          </cell>
          <cell r="AB11">
            <v>3.6425198658429649</v>
          </cell>
          <cell r="AC11">
            <v>3.5549721074928105</v>
          </cell>
          <cell r="AD11">
            <v>3.7600077674748058</v>
          </cell>
          <cell r="AE11">
            <v>4.0464987457922303</v>
          </cell>
          <cell r="AF11">
            <v>2.3337774381854053</v>
          </cell>
          <cell r="AG11">
            <v>2.42963336531444</v>
          </cell>
          <cell r="AH11">
            <v>2.57108691475718</v>
          </cell>
          <cell r="AI11">
            <v>2.3651047854520546</v>
          </cell>
          <cell r="AJ11">
            <v>2.5365091907960338</v>
          </cell>
          <cell r="AK11">
            <v>2.6373563795933408</v>
          </cell>
        </row>
        <row r="12">
          <cell r="Z12">
            <v>17.877513398243497</v>
          </cell>
          <cell r="AA12">
            <v>18.124540317085014</v>
          </cell>
          <cell r="AB12">
            <v>18.199634910692609</v>
          </cell>
          <cell r="AC12">
            <v>18.271928572679641</v>
          </cell>
          <cell r="AD12">
            <v>18.441742239672578</v>
          </cell>
          <cell r="AE12">
            <v>18.1906220131286</v>
          </cell>
          <cell r="AF12">
            <v>16.864534010080714</v>
          </cell>
          <cell r="AG12">
            <v>17.530341409412848</v>
          </cell>
          <cell r="AH12">
            <v>17.39764785985853</v>
          </cell>
          <cell r="AI12">
            <v>17.088855356087237</v>
          </cell>
          <cell r="AJ12">
            <v>17.043897699120297</v>
          </cell>
          <cell r="AK12">
            <v>17.055381796705319</v>
          </cell>
        </row>
        <row r="13">
          <cell r="Z13">
            <v>848.54761904761904</v>
          </cell>
          <cell r="AA13">
            <v>421.59841269841274</v>
          </cell>
          <cell r="AB13">
            <v>1183.4460317460318</v>
          </cell>
          <cell r="AC13">
            <v>1223.4436507936507</v>
          </cell>
          <cell r="AD13">
            <v>1482.9470634920633</v>
          </cell>
          <cell r="AE13">
            <v>1729.6758888888889</v>
          </cell>
          <cell r="AF13">
            <v>1265.3741269841269</v>
          </cell>
          <cell r="AG13">
            <v>1410.8880952380953</v>
          </cell>
          <cell r="AH13">
            <v>1571.9625396825397</v>
          </cell>
          <cell r="AI13">
            <v>1402.9801587301588</v>
          </cell>
          <cell r="AJ13">
            <v>1604.9761904761904</v>
          </cell>
          <cell r="AK13">
            <v>1749.6222222222223</v>
          </cell>
        </row>
        <row r="16">
          <cell r="Z16">
            <v>41.561428571428571</v>
          </cell>
          <cell r="AA16">
            <v>20.935006653620352</v>
          </cell>
          <cell r="AB16">
            <v>55.798667653589931</v>
          </cell>
          <cell r="AC16">
            <v>49.023410087719299</v>
          </cell>
          <cell r="AD16">
            <v>55.137353830645161</v>
          </cell>
          <cell r="AE16">
            <v>63.435242540322584</v>
          </cell>
          <cell r="AF16">
            <v>28.798846153846153</v>
          </cell>
          <cell r="AG16">
            <v>33.378340080971661</v>
          </cell>
          <cell r="AH16">
            <v>36.907490842490844</v>
          </cell>
          <cell r="AI16">
            <v>31.096400778210114</v>
          </cell>
          <cell r="AJ16">
            <v>35.479961089494161</v>
          </cell>
          <cell r="AK16">
            <v>38.703599221789879</v>
          </cell>
        </row>
        <row r="20">
          <cell r="Z20">
            <v>180</v>
          </cell>
          <cell r="AA20">
            <v>180</v>
          </cell>
          <cell r="AB20">
            <v>180</v>
          </cell>
          <cell r="AC20">
            <v>180</v>
          </cell>
          <cell r="AD20">
            <v>180</v>
          </cell>
          <cell r="AE20">
            <v>180</v>
          </cell>
        </row>
        <row r="21">
          <cell r="Z21">
            <v>200</v>
          </cell>
          <cell r="AA21">
            <v>200</v>
          </cell>
          <cell r="AB21">
            <v>200</v>
          </cell>
          <cell r="AC21">
            <v>200</v>
          </cell>
          <cell r="AD21">
            <v>210</v>
          </cell>
          <cell r="AE21">
            <v>210</v>
          </cell>
        </row>
        <row r="23">
          <cell r="Z23">
            <v>164</v>
          </cell>
        </row>
        <row r="26">
          <cell r="Z26">
            <v>615</v>
          </cell>
          <cell r="AA26">
            <v>326.40000000000003</v>
          </cell>
          <cell r="AB26">
            <v>900</v>
          </cell>
          <cell r="AC26">
            <v>869.19999999999993</v>
          </cell>
          <cell r="AD26">
            <v>981.75</v>
          </cell>
          <cell r="AE26">
            <v>1107.162</v>
          </cell>
        </row>
        <row r="27">
          <cell r="Z27">
            <v>11402.1</v>
          </cell>
          <cell r="AA27">
            <v>6051.4560000000001</v>
          </cell>
          <cell r="AB27">
            <v>16830</v>
          </cell>
          <cell r="AC27">
            <v>16514.8</v>
          </cell>
          <cell r="AD27">
            <v>19045.949999999997</v>
          </cell>
          <cell r="AE27">
            <v>21478.942800000001</v>
          </cell>
        </row>
        <row r="46">
          <cell r="Z46">
            <v>150</v>
          </cell>
          <cell r="AA46">
            <v>150</v>
          </cell>
          <cell r="AB46">
            <v>150</v>
          </cell>
          <cell r="AC46">
            <v>150</v>
          </cell>
          <cell r="AD46">
            <v>150</v>
          </cell>
          <cell r="AE46">
            <v>150</v>
          </cell>
          <cell r="AF46">
            <v>190</v>
          </cell>
          <cell r="AG46">
            <v>190</v>
          </cell>
          <cell r="AH46">
            <v>190</v>
          </cell>
          <cell r="AI46">
            <v>220</v>
          </cell>
          <cell r="AJ46">
            <v>220</v>
          </cell>
          <cell r="AK46">
            <v>220</v>
          </cell>
        </row>
        <row r="47">
          <cell r="Z47">
            <v>165</v>
          </cell>
          <cell r="AA47">
            <v>165</v>
          </cell>
          <cell r="AB47">
            <v>165</v>
          </cell>
          <cell r="AC47">
            <v>165</v>
          </cell>
          <cell r="AD47">
            <v>165</v>
          </cell>
          <cell r="AE47">
            <v>165</v>
          </cell>
          <cell r="AF47">
            <v>190</v>
          </cell>
          <cell r="AG47">
            <v>190</v>
          </cell>
          <cell r="AH47">
            <v>190</v>
          </cell>
          <cell r="AI47">
            <v>220</v>
          </cell>
          <cell r="AJ47">
            <v>220</v>
          </cell>
          <cell r="AK47">
            <v>220</v>
          </cell>
        </row>
        <row r="49">
          <cell r="Z49">
            <v>107.25</v>
          </cell>
        </row>
        <row r="52">
          <cell r="Z52">
            <v>214.5</v>
          </cell>
          <cell r="AA52">
            <v>82.5</v>
          </cell>
          <cell r="AB52">
            <v>224.4</v>
          </cell>
          <cell r="AC52">
            <v>207.9</v>
          </cell>
          <cell r="AD52">
            <v>246.67499999999998</v>
          </cell>
          <cell r="AE52">
            <v>309.375</v>
          </cell>
          <cell r="AF52">
            <v>279.3</v>
          </cell>
          <cell r="AG52">
            <v>349.59999999999997</v>
          </cell>
          <cell r="AH52">
            <v>403.75</v>
          </cell>
          <cell r="AI52">
            <v>323.40000000000003</v>
          </cell>
          <cell r="AJ52">
            <v>404.79999999999995</v>
          </cell>
          <cell r="AK52">
            <v>467.5</v>
          </cell>
        </row>
        <row r="53">
          <cell r="Z53">
            <v>3539.25</v>
          </cell>
          <cell r="AA53">
            <v>1361.25</v>
          </cell>
          <cell r="AB53">
            <v>3702.6</v>
          </cell>
          <cell r="AC53">
            <v>3430.35</v>
          </cell>
          <cell r="AD53">
            <v>4070.1374999999998</v>
          </cell>
          <cell r="AE53">
            <v>5104.6875</v>
          </cell>
          <cell r="AF53">
            <v>4608.45</v>
          </cell>
          <cell r="AG53">
            <v>5768.4</v>
          </cell>
          <cell r="AH53">
            <v>6661.875</v>
          </cell>
          <cell r="AI53">
            <v>5336.1</v>
          </cell>
          <cell r="AJ53">
            <v>6679.1999999999989</v>
          </cell>
          <cell r="AK53">
            <v>7713.75</v>
          </cell>
        </row>
        <row r="66">
          <cell r="AC66">
            <v>1126.125</v>
          </cell>
          <cell r="AD66">
            <v>2656.5</v>
          </cell>
          <cell r="AE66">
            <v>3093.75</v>
          </cell>
          <cell r="AF66">
            <v>2091.375</v>
          </cell>
          <cell r="AG66">
            <v>3453.45</v>
          </cell>
          <cell r="AH66">
            <v>3753.75</v>
          </cell>
          <cell r="AI66">
            <v>2091.375</v>
          </cell>
          <cell r="AJ66">
            <v>3453.45</v>
          </cell>
          <cell r="AK66">
            <v>4021.875</v>
          </cell>
        </row>
        <row r="72">
          <cell r="AB72">
            <v>21</v>
          </cell>
          <cell r="AC72">
            <v>21</v>
          </cell>
          <cell r="AD72">
            <v>21</v>
          </cell>
          <cell r="AE72">
            <v>21</v>
          </cell>
          <cell r="AF72">
            <v>21</v>
          </cell>
          <cell r="AG72">
            <v>21</v>
          </cell>
          <cell r="AH72">
            <v>21</v>
          </cell>
          <cell r="AI72">
            <v>21</v>
          </cell>
          <cell r="AJ72">
            <v>21</v>
          </cell>
          <cell r="AK72">
            <v>21</v>
          </cell>
        </row>
        <row r="73">
          <cell r="AB73">
            <v>21</v>
          </cell>
          <cell r="AC73">
            <v>21</v>
          </cell>
          <cell r="AD73">
            <v>21</v>
          </cell>
          <cell r="AE73">
            <v>21</v>
          </cell>
          <cell r="AF73">
            <v>21</v>
          </cell>
          <cell r="AG73">
            <v>21</v>
          </cell>
          <cell r="AH73">
            <v>21</v>
          </cell>
          <cell r="AI73">
            <v>21</v>
          </cell>
          <cell r="AJ73">
            <v>21</v>
          </cell>
          <cell r="AK73">
            <v>21</v>
          </cell>
        </row>
        <row r="78">
          <cell r="AB78">
            <v>27.3</v>
          </cell>
          <cell r="AC78">
            <v>27.3</v>
          </cell>
          <cell r="AD78">
            <v>30.030000000000005</v>
          </cell>
          <cell r="AE78">
            <v>36.75</v>
          </cell>
          <cell r="AF78">
            <v>32.340000000000003</v>
          </cell>
          <cell r="AG78">
            <v>36.75</v>
          </cell>
          <cell r="AH78">
            <v>51.030000000000008</v>
          </cell>
          <cell r="AI78">
            <v>44.099999999999994</v>
          </cell>
          <cell r="AJ78">
            <v>50.400000000000006</v>
          </cell>
          <cell r="AK78">
            <v>66.150000000000006</v>
          </cell>
        </row>
        <row r="79">
          <cell r="AB79">
            <v>491.40000000000003</v>
          </cell>
          <cell r="AC79">
            <v>491.40000000000003</v>
          </cell>
          <cell r="AD79">
            <v>540.54000000000008</v>
          </cell>
          <cell r="AE79">
            <v>661.5</v>
          </cell>
          <cell r="AF79">
            <v>582.12000000000012</v>
          </cell>
          <cell r="AG79">
            <v>661.5</v>
          </cell>
          <cell r="AH79">
            <v>918.54000000000019</v>
          </cell>
          <cell r="AI79">
            <v>815.84999999999991</v>
          </cell>
          <cell r="AJ79">
            <v>932.40000000000009</v>
          </cell>
          <cell r="AK79">
            <v>1256.8500000000001</v>
          </cell>
        </row>
        <row r="92">
          <cell r="AF92">
            <v>12600</v>
          </cell>
          <cell r="AG92">
            <v>12960</v>
          </cell>
          <cell r="AH92">
            <v>13500</v>
          </cell>
          <cell r="AI92">
            <v>13500</v>
          </cell>
          <cell r="AJ92">
            <v>13500</v>
          </cell>
          <cell r="AK92">
            <v>13500</v>
          </cell>
        </row>
        <row r="99">
          <cell r="Z99">
            <v>12.698412698412698</v>
          </cell>
          <cell r="AA99">
            <v>12.698412698412698</v>
          </cell>
          <cell r="AB99">
            <v>19.047619047619047</v>
          </cell>
          <cell r="AC99">
            <v>22</v>
          </cell>
          <cell r="AD99">
            <v>25</v>
          </cell>
          <cell r="AE99">
            <v>25</v>
          </cell>
          <cell r="AF99">
            <v>30</v>
          </cell>
          <cell r="AG99">
            <v>35</v>
          </cell>
          <cell r="AH99">
            <v>40</v>
          </cell>
          <cell r="AI99">
            <v>40</v>
          </cell>
          <cell r="AJ99">
            <v>50</v>
          </cell>
          <cell r="AK99">
            <v>60</v>
          </cell>
        </row>
        <row r="104">
          <cell r="Z104">
            <v>19.047619047619044</v>
          </cell>
          <cell r="AA104">
            <v>12.698412698412698</v>
          </cell>
          <cell r="AB104">
            <v>31.746031746031747</v>
          </cell>
          <cell r="AC104">
            <v>50.793650793650791</v>
          </cell>
          <cell r="AD104">
            <v>63.492063492063494</v>
          </cell>
          <cell r="AE104">
            <v>88.888888888888886</v>
          </cell>
          <cell r="AF104">
            <v>126.98412698412699</v>
          </cell>
          <cell r="AG104">
            <v>95.238095238095227</v>
          </cell>
          <cell r="AH104">
            <v>139.68253968253967</v>
          </cell>
          <cell r="AI104">
            <v>158.73015873015873</v>
          </cell>
          <cell r="AJ104">
            <v>190.47619047619045</v>
          </cell>
          <cell r="AK104">
            <v>222.22222222222223</v>
          </cell>
        </row>
        <row r="105">
          <cell r="Z105">
            <v>228.57142857142856</v>
          </cell>
          <cell r="AA105">
            <v>228.57142857142856</v>
          </cell>
          <cell r="AB105">
            <v>514.28571428571422</v>
          </cell>
          <cell r="AC105">
            <v>792</v>
          </cell>
          <cell r="AD105">
            <v>1034.9999999999998</v>
          </cell>
          <cell r="AE105">
            <v>1125</v>
          </cell>
          <cell r="AF105">
            <v>1458</v>
          </cell>
          <cell r="AG105">
            <v>1890</v>
          </cell>
          <cell r="AH105">
            <v>2514.2857142857142</v>
          </cell>
          <cell r="AI105">
            <v>2232</v>
          </cell>
          <cell r="AJ105">
            <v>2790</v>
          </cell>
          <cell r="AK105">
            <v>3348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.IO.IL cost"/>
      <sheetName val="PD Budget"/>
      <sheetName val="Summary_by Year"/>
      <sheetName val="Comp Projection"/>
      <sheetName val="Summary_by Month"/>
      <sheetName val="2016-2018 Plan_Non-Credit Life"/>
      <sheetName val="Techcombank"/>
      <sheetName val="BacABank"/>
      <sheetName val="2015 Performance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5">
          <cell r="F25">
            <v>5711.9999999999991</v>
          </cell>
          <cell r="G25">
            <v>7395.1950000000006</v>
          </cell>
          <cell r="H25">
            <v>11791.2</v>
          </cell>
          <cell r="I25">
            <v>9710.4</v>
          </cell>
          <cell r="J25">
            <v>11271</v>
          </cell>
          <cell r="K25">
            <v>14198.4</v>
          </cell>
          <cell r="L25">
            <v>10709.999999999998</v>
          </cell>
          <cell r="M25">
            <v>13770</v>
          </cell>
          <cell r="N25">
            <v>16560.72</v>
          </cell>
          <cell r="O25">
            <v>12602.304000000004</v>
          </cell>
          <cell r="P25">
            <v>15797.760000000006</v>
          </cell>
          <cell r="Q25">
            <v>19590.8</v>
          </cell>
        </row>
        <row r="26">
          <cell r="F26">
            <v>2185.92</v>
          </cell>
          <cell r="G26">
            <v>2433.6000000000004</v>
          </cell>
          <cell r="H26">
            <v>2979.2</v>
          </cell>
          <cell r="I26">
            <v>2188.7999999999997</v>
          </cell>
          <cell r="J26">
            <v>2728.7040000000002</v>
          </cell>
          <cell r="K26">
            <v>3515.2128000000002</v>
          </cell>
          <cell r="L26">
            <v>2947.0003200000006</v>
          </cell>
          <cell r="M26">
            <v>3370.4100000000003</v>
          </cell>
          <cell r="N26">
            <v>4752</v>
          </cell>
          <cell r="O26">
            <v>3240</v>
          </cell>
          <cell r="P26">
            <v>3790.8</v>
          </cell>
          <cell r="Q26">
            <v>4665.6000000000004</v>
          </cell>
        </row>
      </sheetData>
      <sheetData sheetId="5" refreshError="1">
        <row r="4">
          <cell r="I4">
            <v>242</v>
          </cell>
          <cell r="J4">
            <v>242</v>
          </cell>
          <cell r="K4">
            <v>242</v>
          </cell>
          <cell r="L4">
            <v>242</v>
          </cell>
          <cell r="M4">
            <v>302</v>
          </cell>
          <cell r="N4">
            <v>380</v>
          </cell>
          <cell r="O4">
            <v>390</v>
          </cell>
          <cell r="P4">
            <v>390</v>
          </cell>
          <cell r="Q4">
            <v>420</v>
          </cell>
          <cell r="R4">
            <v>420</v>
          </cell>
          <cell r="S4">
            <v>420</v>
          </cell>
          <cell r="T4">
            <v>420</v>
          </cell>
        </row>
        <row r="7">
          <cell r="I7">
            <v>0.69679999999999997</v>
          </cell>
          <cell r="J7">
            <v>0.67040000000000011</v>
          </cell>
          <cell r="K7">
            <v>0.80200000000000005</v>
          </cell>
          <cell r="L7">
            <v>0.66800000000000004</v>
          </cell>
          <cell r="M7">
            <v>0.72183544303797464</v>
          </cell>
          <cell r="N7">
            <v>0.75880829015544038</v>
          </cell>
          <cell r="O7">
            <v>0.69545454545454544</v>
          </cell>
          <cell r="P7">
            <v>0.7282828282828282</v>
          </cell>
          <cell r="Q7">
            <v>0.7800699300699302</v>
          </cell>
          <cell r="R7">
            <v>0.73589743589743584</v>
          </cell>
          <cell r="S7">
            <v>0.75641025641025639</v>
          </cell>
          <cell r="T7">
            <v>0.79592074592074591</v>
          </cell>
        </row>
        <row r="9">
          <cell r="I9">
            <v>2.8831228473019519</v>
          </cell>
          <cell r="J9">
            <v>3.427684964200477</v>
          </cell>
          <cell r="K9">
            <v>4.2413965087281795</v>
          </cell>
          <cell r="L9">
            <v>4.1101796407185622</v>
          </cell>
          <cell r="M9">
            <v>4.093231039017974</v>
          </cell>
          <cell r="N9">
            <v>4.1333516558552406</v>
          </cell>
          <cell r="O9">
            <v>3.5772988380537396</v>
          </cell>
          <cell r="P9">
            <v>4.1228675450762839</v>
          </cell>
          <cell r="Q9">
            <v>4.4860667861945309</v>
          </cell>
          <cell r="R9">
            <v>3.8185549938860959</v>
          </cell>
          <cell r="S9">
            <v>4.127255168407804</v>
          </cell>
          <cell r="T9">
            <v>4.7297449712476158</v>
          </cell>
        </row>
        <row r="10">
          <cell r="I10">
            <v>15.725390251672508</v>
          </cell>
          <cell r="J10">
            <v>17.109029034953352</v>
          </cell>
          <cell r="K10">
            <v>17.368767638758232</v>
          </cell>
          <cell r="L10">
            <v>17.335664335664337</v>
          </cell>
          <cell r="M10">
            <v>17.44371541857581</v>
          </cell>
          <cell r="N10">
            <v>18.233766295984161</v>
          </cell>
          <cell r="O10">
            <v>18.261884283823566</v>
          </cell>
          <cell r="P10">
            <v>18.240056011807891</v>
          </cell>
          <cell r="Q10">
            <v>18.392101546548581</v>
          </cell>
          <cell r="R10">
            <v>18.36757616374242</v>
          </cell>
          <cell r="S10">
            <v>19.649381456119521</v>
          </cell>
          <cell r="T10">
            <v>19.664610724097251</v>
          </cell>
        </row>
        <row r="13">
          <cell r="I13">
            <v>7897.9199999999992</v>
          </cell>
          <cell r="J13">
            <v>9828.7950000000019</v>
          </cell>
          <cell r="K13">
            <v>14770.400000000001</v>
          </cell>
          <cell r="L13">
            <v>11899.199999999999</v>
          </cell>
          <cell r="M13">
            <v>16286.603999999999</v>
          </cell>
          <cell r="N13">
            <v>22074.8678</v>
          </cell>
          <cell r="O13">
            <v>17991.391079999998</v>
          </cell>
          <cell r="P13">
            <v>21688.064999999999</v>
          </cell>
          <cell r="Q13">
            <v>27611.367750000001</v>
          </cell>
          <cell r="R13">
            <v>22142.440220757126</v>
          </cell>
          <cell r="S13">
            <v>26316.30462491998</v>
          </cell>
          <cell r="T13">
            <v>31757.784313347478</v>
          </cell>
        </row>
        <row r="15">
          <cell r="I15">
            <v>31.591679999999997</v>
          </cell>
          <cell r="J15">
            <v>39.315180000000005</v>
          </cell>
          <cell r="K15">
            <v>59.081600000000009</v>
          </cell>
          <cell r="L15">
            <v>47.596799999999995</v>
          </cell>
          <cell r="M15">
            <v>51.539886075949362</v>
          </cell>
          <cell r="N15">
            <v>57.188776683937824</v>
          </cell>
          <cell r="O15">
            <v>45.43280575757575</v>
          </cell>
          <cell r="P15">
            <v>54.767840909090907</v>
          </cell>
          <cell r="Q15">
            <v>64.362162587412584</v>
          </cell>
          <cell r="R15">
            <v>51.614079768664631</v>
          </cell>
          <cell r="S15">
            <v>61.343367424055899</v>
          </cell>
          <cell r="T15">
            <v>74.027469261882231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.IO.IL cost"/>
      <sheetName val="PD Budget"/>
      <sheetName val="Spendings"/>
      <sheetName val="Summary_by Year"/>
      <sheetName val="Comp Projection"/>
      <sheetName val="Summary_by Month"/>
      <sheetName val="Plan C Summary (2)"/>
      <sheetName val="2016-2018 Plan_C (2)"/>
      <sheetName val="2016-2018 Plan_B"/>
      <sheetName val="Plan B Summary"/>
      <sheetName val="Summary"/>
      <sheetName val="2017 - 2022 Plan"/>
      <sheetName val="Techcombank"/>
      <sheetName val="BacABank"/>
      <sheetName val="2015 Performance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7">
          <cell r="AF27">
            <v>20795.967777060003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8">
          <cell r="E8">
            <v>2131.0990000000002</v>
          </cell>
        </row>
        <row r="9">
          <cell r="E9">
            <v>1610.384</v>
          </cell>
        </row>
        <row r="10">
          <cell r="E10">
            <v>437.51499999999999</v>
          </cell>
        </row>
        <row r="11">
          <cell r="E11">
            <v>520.73099999999999</v>
          </cell>
        </row>
        <row r="12">
          <cell r="E12">
            <v>324.23599999999999</v>
          </cell>
        </row>
        <row r="13">
          <cell r="E13">
            <v>-17.218</v>
          </cell>
        </row>
        <row r="14">
          <cell r="E14">
            <v>2635.0239999999999</v>
          </cell>
        </row>
        <row r="15">
          <cell r="E15">
            <v>3674.788</v>
          </cell>
        </row>
        <row r="16">
          <cell r="E16">
            <v>11453.928</v>
          </cell>
        </row>
        <row r="17">
          <cell r="E17">
            <v>319.59899999999999</v>
          </cell>
        </row>
      </sheetData>
      <sheetData sheetId="3">
        <row r="7">
          <cell r="N7">
            <v>2997.962</v>
          </cell>
        </row>
        <row r="8">
          <cell r="N8">
            <v>1181.0360000000001</v>
          </cell>
        </row>
        <row r="12">
          <cell r="N12">
            <v>8871.242000000002</v>
          </cell>
        </row>
        <row r="13">
          <cell r="N13">
            <v>8892.4980000000014</v>
          </cell>
        </row>
        <row r="15">
          <cell r="N15">
            <v>98.697000000000003</v>
          </cell>
        </row>
        <row r="16">
          <cell r="N16">
            <v>220.90199999999999</v>
          </cell>
        </row>
        <row r="18">
          <cell r="N18">
            <v>686.98399999999992</v>
          </cell>
        </row>
        <row r="19">
          <cell r="N19">
            <v>157.983</v>
          </cell>
        </row>
        <row r="21">
          <cell r="N21">
            <v>-17.218</v>
          </cell>
        </row>
      </sheetData>
      <sheetData sheetId="4">
        <row r="344">
          <cell r="N344">
            <v>4179.01</v>
          </cell>
          <cell r="O344">
            <v>170.79</v>
          </cell>
          <cell r="P344">
            <v>231</v>
          </cell>
          <cell r="Q344">
            <v>195</v>
          </cell>
        </row>
        <row r="346">
          <cell r="N346">
            <v>844.96999999999991</v>
          </cell>
          <cell r="O346">
            <v>19.63</v>
          </cell>
          <cell r="P346">
            <v>58</v>
          </cell>
          <cell r="Q346">
            <v>27</v>
          </cell>
        </row>
        <row r="347">
          <cell r="N347">
            <v>-17.22</v>
          </cell>
          <cell r="O347">
            <v>-0.54</v>
          </cell>
          <cell r="P347">
            <v>-1</v>
          </cell>
          <cell r="Q347">
            <v>-1</v>
          </cell>
        </row>
        <row r="348">
          <cell r="N348">
            <v>17763.730000000003</v>
          </cell>
          <cell r="O348">
            <v>634.48</v>
          </cell>
          <cell r="P348">
            <v>954</v>
          </cell>
          <cell r="Q348">
            <v>1047</v>
          </cell>
        </row>
        <row r="349">
          <cell r="N349">
            <v>319.60000000000002</v>
          </cell>
          <cell r="O349">
            <v>18.71</v>
          </cell>
          <cell r="P349">
            <v>14</v>
          </cell>
          <cell r="Q349">
            <v>20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_IOIS"/>
      <sheetName val="Active"/>
      <sheetName val="APE_Tenur"/>
      <sheetName val="APE_IOIS"/>
      <sheetName val="APE"/>
      <sheetName val="Sheet5"/>
      <sheetName val="Sheet4"/>
      <sheetName val="Sheet3"/>
      <sheetName val="Sheet2"/>
      <sheetName val="Sheet1"/>
    </sheetNames>
    <sheetDataSet>
      <sheetData sheetId="0"/>
      <sheetData sheetId="1"/>
      <sheetData sheetId="2">
        <row r="7">
          <cell r="E7">
            <v>1589.3720000000001</v>
          </cell>
        </row>
        <row r="8">
          <cell r="E8">
            <v>1889.297</v>
          </cell>
        </row>
        <row r="9">
          <cell r="E9">
            <v>192.05099999999999</v>
          </cell>
        </row>
        <row r="10">
          <cell r="E10">
            <v>507.99700000000001</v>
          </cell>
        </row>
        <row r="11">
          <cell r="E11">
            <v>393.77100000000002</v>
          </cell>
        </row>
        <row r="12">
          <cell r="E12">
            <v>2878.3760000000002</v>
          </cell>
        </row>
        <row r="13">
          <cell r="E13">
            <v>2555.5970000000002</v>
          </cell>
        </row>
        <row r="14">
          <cell r="E14">
            <v>9548.8640000000305</v>
          </cell>
        </row>
        <row r="15">
          <cell r="E15">
            <v>75.894999999999996</v>
          </cell>
        </row>
        <row r="16">
          <cell r="E16">
            <v>340.86500000000001</v>
          </cell>
        </row>
      </sheetData>
      <sheetData sheetId="3">
        <row r="7">
          <cell r="N7">
            <v>2810.0749999999998</v>
          </cell>
        </row>
        <row r="8">
          <cell r="N8">
            <v>860.6450000000001</v>
          </cell>
        </row>
        <row r="12">
          <cell r="N12">
            <v>7529.3360000000021</v>
          </cell>
        </row>
        <row r="13">
          <cell r="N13">
            <v>9682.3079999999991</v>
          </cell>
        </row>
        <row r="15">
          <cell r="N15">
            <v>688.77500000000009</v>
          </cell>
        </row>
        <row r="16">
          <cell r="N16">
            <v>212.99300000000002</v>
          </cell>
        </row>
        <row r="18">
          <cell r="N18">
            <v>75.894999999999996</v>
          </cell>
        </row>
        <row r="20">
          <cell r="N20">
            <v>70.793000000000006</v>
          </cell>
        </row>
        <row r="21">
          <cell r="N21">
            <v>270.072</v>
          </cell>
        </row>
      </sheetData>
      <sheetData sheetId="4">
        <row r="344">
          <cell r="N344">
            <v>3670.7300000000005</v>
          </cell>
          <cell r="O344">
            <v>204.62</v>
          </cell>
          <cell r="P344">
            <v>183</v>
          </cell>
          <cell r="Q344">
            <v>198</v>
          </cell>
        </row>
        <row r="346">
          <cell r="N346">
            <v>901.76</v>
          </cell>
          <cell r="O346">
            <v>95.110000000000014</v>
          </cell>
          <cell r="P346">
            <v>53</v>
          </cell>
          <cell r="Q346">
            <v>72</v>
          </cell>
        </row>
        <row r="347">
          <cell r="N347">
            <v>14982.839999999998</v>
          </cell>
          <cell r="O347">
            <v>1238.1199999999999</v>
          </cell>
          <cell r="P347">
            <v>777</v>
          </cell>
          <cell r="Q347">
            <v>1287</v>
          </cell>
        </row>
        <row r="348">
          <cell r="N348">
            <v>75.900000000000006</v>
          </cell>
          <cell r="O348">
            <v>4.1100000000000003</v>
          </cell>
          <cell r="P348">
            <v>4</v>
          </cell>
          <cell r="Q348">
            <v>3</v>
          </cell>
        </row>
        <row r="349">
          <cell r="N349">
            <v>340.87</v>
          </cell>
          <cell r="O349">
            <v>7.84</v>
          </cell>
          <cell r="P349">
            <v>21</v>
          </cell>
          <cell r="Q349">
            <v>14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rgbClr val="000000"/>
    </a:dk1>
    <a:lt1>
      <a:sysClr val="window" lastClr="FFFFFF"/>
    </a:lt1>
    <a:dk2>
      <a:srgbClr val="FF0000"/>
    </a:dk2>
    <a:lt2>
      <a:srgbClr val="FFC000"/>
    </a:lt2>
    <a:accent1>
      <a:srgbClr val="254D7E"/>
    </a:accent1>
    <a:accent2>
      <a:srgbClr val="1079B4"/>
    </a:accent2>
    <a:accent3>
      <a:srgbClr val="6DC0EA"/>
    </a:accent3>
    <a:accent4>
      <a:srgbClr val="92D050"/>
    </a:accent4>
    <a:accent5>
      <a:srgbClr val="1499D6"/>
    </a:accent5>
    <a:accent6>
      <a:srgbClr val="002060"/>
    </a:accent6>
    <a:hlink>
      <a:srgbClr val="002335"/>
    </a:hlink>
    <a:folHlink>
      <a:srgbClr val="37373E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rgbClr val="000000"/>
    </a:dk1>
    <a:lt1>
      <a:sysClr val="window" lastClr="FFFFFF"/>
    </a:lt1>
    <a:dk2>
      <a:srgbClr val="FF0000"/>
    </a:dk2>
    <a:lt2>
      <a:srgbClr val="FFC000"/>
    </a:lt2>
    <a:accent1>
      <a:srgbClr val="254D7E"/>
    </a:accent1>
    <a:accent2>
      <a:srgbClr val="1079B4"/>
    </a:accent2>
    <a:accent3>
      <a:srgbClr val="6DC0EA"/>
    </a:accent3>
    <a:accent4>
      <a:srgbClr val="92D050"/>
    </a:accent4>
    <a:accent5>
      <a:srgbClr val="1499D6"/>
    </a:accent5>
    <a:accent6>
      <a:srgbClr val="002060"/>
    </a:accent6>
    <a:hlink>
      <a:srgbClr val="002335"/>
    </a:hlink>
    <a:folHlink>
      <a:srgbClr val="37373E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rgbClr val="000000"/>
    </a:dk1>
    <a:lt1>
      <a:sysClr val="window" lastClr="FFFFFF"/>
    </a:lt1>
    <a:dk2>
      <a:srgbClr val="FF0000"/>
    </a:dk2>
    <a:lt2>
      <a:srgbClr val="FFC000"/>
    </a:lt2>
    <a:accent1>
      <a:srgbClr val="254D7E"/>
    </a:accent1>
    <a:accent2>
      <a:srgbClr val="1079B4"/>
    </a:accent2>
    <a:accent3>
      <a:srgbClr val="6DC0EA"/>
    </a:accent3>
    <a:accent4>
      <a:srgbClr val="92D050"/>
    </a:accent4>
    <a:accent5>
      <a:srgbClr val="1499D6"/>
    </a:accent5>
    <a:accent6>
      <a:srgbClr val="002060"/>
    </a:accent6>
    <a:hlink>
      <a:srgbClr val="002335"/>
    </a:hlink>
    <a:folHlink>
      <a:srgbClr val="37373E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rgbClr val="000000"/>
    </a:dk1>
    <a:lt1>
      <a:sysClr val="window" lastClr="FFFFFF"/>
    </a:lt1>
    <a:dk2>
      <a:srgbClr val="FF0000"/>
    </a:dk2>
    <a:lt2>
      <a:srgbClr val="FFC000"/>
    </a:lt2>
    <a:accent1>
      <a:srgbClr val="254D7E"/>
    </a:accent1>
    <a:accent2>
      <a:srgbClr val="1079B4"/>
    </a:accent2>
    <a:accent3>
      <a:srgbClr val="6DC0EA"/>
    </a:accent3>
    <a:accent4>
      <a:srgbClr val="92D050"/>
    </a:accent4>
    <a:accent5>
      <a:srgbClr val="1499D6"/>
    </a:accent5>
    <a:accent6>
      <a:srgbClr val="002060"/>
    </a:accent6>
    <a:hlink>
      <a:srgbClr val="002335"/>
    </a:hlink>
    <a:folHlink>
      <a:srgbClr val="37373E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ustom 1">
    <a:dk1>
      <a:srgbClr val="000000"/>
    </a:dk1>
    <a:lt1>
      <a:sysClr val="window" lastClr="FFFFFF"/>
    </a:lt1>
    <a:dk2>
      <a:srgbClr val="FF0000"/>
    </a:dk2>
    <a:lt2>
      <a:srgbClr val="FFC000"/>
    </a:lt2>
    <a:accent1>
      <a:srgbClr val="254D7E"/>
    </a:accent1>
    <a:accent2>
      <a:srgbClr val="1079B4"/>
    </a:accent2>
    <a:accent3>
      <a:srgbClr val="6DC0EA"/>
    </a:accent3>
    <a:accent4>
      <a:srgbClr val="92D050"/>
    </a:accent4>
    <a:accent5>
      <a:srgbClr val="1499D6"/>
    </a:accent5>
    <a:accent6>
      <a:srgbClr val="002060"/>
    </a:accent6>
    <a:hlink>
      <a:srgbClr val="002335"/>
    </a:hlink>
    <a:folHlink>
      <a:srgbClr val="37373E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ustom 1">
    <a:dk1>
      <a:srgbClr val="000000"/>
    </a:dk1>
    <a:lt1>
      <a:sysClr val="window" lastClr="FFFFFF"/>
    </a:lt1>
    <a:dk2>
      <a:srgbClr val="FF0000"/>
    </a:dk2>
    <a:lt2>
      <a:srgbClr val="FFC000"/>
    </a:lt2>
    <a:accent1>
      <a:srgbClr val="254D7E"/>
    </a:accent1>
    <a:accent2>
      <a:srgbClr val="1079B4"/>
    </a:accent2>
    <a:accent3>
      <a:srgbClr val="6DC0EA"/>
    </a:accent3>
    <a:accent4>
      <a:srgbClr val="92D050"/>
    </a:accent4>
    <a:accent5>
      <a:srgbClr val="1499D6"/>
    </a:accent5>
    <a:accent6>
      <a:srgbClr val="002060"/>
    </a:accent6>
    <a:hlink>
      <a:srgbClr val="002335"/>
    </a:hlink>
    <a:folHlink>
      <a:srgbClr val="37373E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topLeftCell="A13" zoomScale="75" zoomScaleNormal="75" workbookViewId="0">
      <selection activeCell="V18" sqref="V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7:A18"/>
  <sheetViews>
    <sheetView workbookViewId="0">
      <selection activeCell="A8" sqref="A8"/>
    </sheetView>
  </sheetViews>
  <sheetFormatPr defaultRowHeight="15" x14ac:dyDescent="0.25"/>
  <sheetData>
    <row r="7" spans="1:1" x14ac:dyDescent="0.25">
      <c r="A7" t="s">
        <v>21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24</v>
      </c>
    </row>
    <row r="11" spans="1:1" x14ac:dyDescent="0.25">
      <c r="A11" t="s">
        <v>25</v>
      </c>
    </row>
    <row r="12" spans="1:1" x14ac:dyDescent="0.25">
      <c r="A12" t="s">
        <v>26</v>
      </c>
    </row>
    <row r="13" spans="1:1" x14ac:dyDescent="0.25">
      <c r="A13" t="s">
        <v>27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21:W129"/>
  <sheetViews>
    <sheetView showGridLines="0" tabSelected="1" zoomScale="85" zoomScaleNormal="85" workbookViewId="0"/>
  </sheetViews>
  <sheetFormatPr defaultRowHeight="15" x14ac:dyDescent="0.25"/>
  <cols>
    <col min="2" max="2" width="20.42578125" bestFit="1" customWidth="1"/>
    <col min="3" max="3" width="10.42578125" customWidth="1"/>
    <col min="4" max="4" width="11.140625" customWidth="1"/>
    <col min="5" max="5" width="11.42578125" bestFit="1" customWidth="1"/>
    <col min="6" max="7" width="11.42578125" style="2" customWidth="1"/>
  </cols>
  <sheetData>
    <row r="21" ht="18" customHeight="1" x14ac:dyDescent="0.25"/>
    <row r="70" spans="1:23" x14ac:dyDescent="0.25">
      <c r="H70">
        <f>Data_Chart!C34</f>
        <v>0</v>
      </c>
    </row>
    <row r="80" spans="1:23" x14ac:dyDescent="0.25">
      <c r="A80" s="9" t="str">
        <f>Data_Chart!C46</f>
        <v>APE Performance - TCB</v>
      </c>
      <c r="G80" s="9" t="str">
        <f>Data_Chart!C52</f>
        <v>APE Performance - EIB</v>
      </c>
      <c r="I80" s="9"/>
      <c r="J80" s="9"/>
      <c r="K80" s="9"/>
      <c r="L80" s="9"/>
      <c r="M80" s="9"/>
      <c r="N80" s="9"/>
      <c r="O80" s="9" t="str">
        <f>Data_Chart!C58</f>
        <v>APE Performance - OCB</v>
      </c>
      <c r="P80" s="9"/>
      <c r="Q80" s="9"/>
      <c r="R80" s="9"/>
      <c r="S80" s="9"/>
      <c r="T80" s="9"/>
      <c r="U80" s="9"/>
      <c r="V80" s="9"/>
      <c r="W80" s="9" t="str">
        <f>Data_Chart!C64</f>
        <v>APE Performance - CMG</v>
      </c>
    </row>
    <row r="81" spans="1:23" x14ac:dyDescent="0.25">
      <c r="A81" s="9"/>
      <c r="G81"/>
    </row>
    <row r="82" spans="1:23" x14ac:dyDescent="0.25">
      <c r="A82" s="9"/>
      <c r="G82"/>
    </row>
    <row r="83" spans="1:23" x14ac:dyDescent="0.25">
      <c r="A83" s="9"/>
      <c r="G83"/>
    </row>
    <row r="84" spans="1:23" x14ac:dyDescent="0.25">
      <c r="A84" s="9"/>
      <c r="G84"/>
    </row>
    <row r="85" spans="1:23" x14ac:dyDescent="0.25">
      <c r="A85" s="9"/>
      <c r="G85"/>
    </row>
    <row r="86" spans="1:23" x14ac:dyDescent="0.25">
      <c r="A86" s="9"/>
      <c r="G86"/>
    </row>
    <row r="87" spans="1:23" x14ac:dyDescent="0.25">
      <c r="A87" s="9"/>
      <c r="G87"/>
    </row>
    <row r="88" spans="1:23" x14ac:dyDescent="0.25">
      <c r="A88" s="9"/>
      <c r="G88"/>
    </row>
    <row r="89" spans="1:23" x14ac:dyDescent="0.25">
      <c r="A89" s="9"/>
      <c r="G89"/>
    </row>
    <row r="90" spans="1:23" x14ac:dyDescent="0.25">
      <c r="A90" s="9"/>
      <c r="G90"/>
    </row>
    <row r="91" spans="1:23" x14ac:dyDescent="0.25">
      <c r="A91" s="9"/>
      <c r="G91"/>
    </row>
    <row r="92" spans="1:23" x14ac:dyDescent="0.25">
      <c r="A92" s="9"/>
      <c r="G92"/>
    </row>
    <row r="93" spans="1:23" x14ac:dyDescent="0.25">
      <c r="A93" s="9"/>
      <c r="G93"/>
    </row>
    <row r="94" spans="1:23" x14ac:dyDescent="0.25">
      <c r="A94" s="9"/>
      <c r="G94"/>
    </row>
    <row r="95" spans="1:23" x14ac:dyDescent="0.25">
      <c r="A95" s="9"/>
      <c r="G95"/>
    </row>
    <row r="96" spans="1:23" x14ac:dyDescent="0.25">
      <c r="A96" s="9" t="str">
        <f>Data!A100&amp;" - "&amp;Data!A102</f>
        <v>Case/ Active - TCB</v>
      </c>
      <c r="G96" s="9" t="str">
        <f>Data!A100&amp;" - "&amp;Data!A103</f>
        <v>Case/ Active - EIB</v>
      </c>
      <c r="I96" s="9"/>
      <c r="J96" s="9"/>
      <c r="K96" s="9"/>
      <c r="L96" s="9"/>
      <c r="M96" s="9"/>
      <c r="N96" s="9"/>
      <c r="O96" s="9" t="str">
        <f>Data!A100&amp;" - "&amp;Data!A105</f>
        <v>Case/ Active - OCB</v>
      </c>
      <c r="P96" s="9"/>
      <c r="Q96" s="9"/>
      <c r="R96" s="9"/>
      <c r="S96" s="9"/>
      <c r="T96" s="9"/>
      <c r="U96" s="9"/>
      <c r="V96" s="9"/>
      <c r="W96" s="9" t="str">
        <f>Data!A100&amp;" - "&amp;Data!A106</f>
        <v>Case/ Active - CMG</v>
      </c>
    </row>
    <row r="97" spans="1:23" x14ac:dyDescent="0.25">
      <c r="A97" s="9"/>
      <c r="G97"/>
    </row>
    <row r="98" spans="1:23" x14ac:dyDescent="0.25">
      <c r="A98" s="9"/>
      <c r="G98"/>
    </row>
    <row r="99" spans="1:23" x14ac:dyDescent="0.25">
      <c r="A99" s="9"/>
      <c r="G99"/>
    </row>
    <row r="100" spans="1:23" x14ac:dyDescent="0.25">
      <c r="A100" s="9"/>
      <c r="G100"/>
    </row>
    <row r="101" spans="1:23" x14ac:dyDescent="0.25">
      <c r="A101" s="9"/>
      <c r="G101"/>
    </row>
    <row r="102" spans="1:23" x14ac:dyDescent="0.25">
      <c r="A102" s="9"/>
      <c r="G102"/>
    </row>
    <row r="103" spans="1:23" x14ac:dyDescent="0.25">
      <c r="A103" s="9"/>
      <c r="G103"/>
    </row>
    <row r="104" spans="1:23" x14ac:dyDescent="0.25">
      <c r="A104" s="9"/>
      <c r="G104"/>
    </row>
    <row r="105" spans="1:23" x14ac:dyDescent="0.25">
      <c r="A105" s="9"/>
      <c r="G105"/>
    </row>
    <row r="106" spans="1:23" x14ac:dyDescent="0.25">
      <c r="A106" s="9"/>
      <c r="G106"/>
    </row>
    <row r="107" spans="1:23" x14ac:dyDescent="0.25">
      <c r="A107" s="9"/>
      <c r="G107"/>
    </row>
    <row r="108" spans="1:23" x14ac:dyDescent="0.25">
      <c r="A108" s="9"/>
      <c r="G108"/>
    </row>
    <row r="109" spans="1:23" x14ac:dyDescent="0.25">
      <c r="A109" s="9"/>
      <c r="G109"/>
    </row>
    <row r="110" spans="1:23" x14ac:dyDescent="0.25">
      <c r="A110" s="9"/>
      <c r="G110"/>
    </row>
    <row r="111" spans="1:23" x14ac:dyDescent="0.25">
      <c r="A111" s="9"/>
      <c r="G111"/>
    </row>
    <row r="112" spans="1:23" x14ac:dyDescent="0.25">
      <c r="A112" s="9" t="str">
        <f>Data!A118&amp;" - "&amp;Data!A120</f>
        <v>APE/ MP - TCB</v>
      </c>
      <c r="G112" s="9" t="str">
        <f>Data!A118&amp;" - "&amp;Data!A121</f>
        <v>APE/ MP - EIB</v>
      </c>
      <c r="I112" s="9"/>
      <c r="J112" s="9"/>
      <c r="K112" s="9"/>
      <c r="L112" s="9"/>
      <c r="M112" s="9"/>
      <c r="N112" s="9"/>
      <c r="O112" s="9" t="str">
        <f>Data!A118&amp;" - "&amp;Data!A123</f>
        <v>APE/ MP - OCB</v>
      </c>
      <c r="P112" s="9"/>
      <c r="Q112" s="9"/>
      <c r="R112" s="9"/>
      <c r="S112" s="9"/>
      <c r="T112" s="9"/>
      <c r="U112" s="9"/>
      <c r="V112" s="9"/>
      <c r="W112" s="9" t="str">
        <f>Data!A118&amp;" - "&amp;Data!A124</f>
        <v>APE/ MP - CMG</v>
      </c>
    </row>
    <row r="113" spans="1:7" x14ac:dyDescent="0.25">
      <c r="A113" s="9"/>
      <c r="G113"/>
    </row>
    <row r="114" spans="1:7" x14ac:dyDescent="0.25">
      <c r="A114" s="9"/>
      <c r="G114"/>
    </row>
    <row r="115" spans="1:7" x14ac:dyDescent="0.25">
      <c r="A115" s="9"/>
      <c r="G115"/>
    </row>
    <row r="116" spans="1:7" x14ac:dyDescent="0.25">
      <c r="A116" s="9"/>
      <c r="G116"/>
    </row>
    <row r="117" spans="1:7" x14ac:dyDescent="0.25">
      <c r="A117" s="9"/>
      <c r="G117"/>
    </row>
    <row r="118" spans="1:7" x14ac:dyDescent="0.25">
      <c r="A118" s="9"/>
      <c r="G118"/>
    </row>
    <row r="119" spans="1:7" x14ac:dyDescent="0.25">
      <c r="A119" s="9"/>
      <c r="G119"/>
    </row>
    <row r="120" spans="1:7" x14ac:dyDescent="0.25">
      <c r="A120" s="9"/>
      <c r="G120"/>
    </row>
    <row r="121" spans="1:7" x14ac:dyDescent="0.25">
      <c r="A121" s="9"/>
      <c r="G121"/>
    </row>
    <row r="122" spans="1:7" x14ac:dyDescent="0.25">
      <c r="A122" s="9"/>
      <c r="G122"/>
    </row>
    <row r="123" spans="1:7" x14ac:dyDescent="0.25">
      <c r="A123" s="9"/>
      <c r="G123"/>
    </row>
    <row r="124" spans="1:7" x14ac:dyDescent="0.25">
      <c r="A124" s="9"/>
      <c r="G124"/>
    </row>
    <row r="125" spans="1:7" x14ac:dyDescent="0.25">
      <c r="A125" s="9"/>
      <c r="G125"/>
    </row>
    <row r="126" spans="1:7" x14ac:dyDescent="0.25">
      <c r="A126" s="9"/>
      <c r="G126"/>
    </row>
    <row r="127" spans="1:7" x14ac:dyDescent="0.25">
      <c r="A127" s="9"/>
      <c r="G127"/>
    </row>
    <row r="128" spans="1:7" x14ac:dyDescent="0.25">
      <c r="A128" s="9"/>
      <c r="G128"/>
    </row>
    <row r="129" spans="1:23" x14ac:dyDescent="0.25">
      <c r="A129" s="9" t="str">
        <f>"APE by Tenure - "&amp;Data!A207</f>
        <v>APE by Tenure - TCB</v>
      </c>
      <c r="G129" s="9" t="str">
        <f>"APE by Tenure - "&amp;Data!A195</f>
        <v>APE by Tenure - EIB</v>
      </c>
      <c r="I129" s="9"/>
      <c r="J129" s="9"/>
      <c r="K129" s="9"/>
      <c r="L129" s="9"/>
      <c r="M129" s="9"/>
      <c r="N129" s="9"/>
      <c r="O129" s="9" t="str">
        <f>"APE by Tenure - "&amp;Data!A211</f>
        <v>APE by Tenure - OCB</v>
      </c>
      <c r="P129" s="9"/>
      <c r="Q129" s="9"/>
      <c r="R129" s="9"/>
      <c r="S129" s="9"/>
      <c r="T129" s="9"/>
      <c r="U129" s="9"/>
      <c r="V129" s="9"/>
      <c r="W129" s="9" t="str">
        <f>"APE by Tenure - "&amp;Data!A215</f>
        <v>APE by Tenure - CMG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L17"/>
  <sheetViews>
    <sheetView showGridLines="0" workbookViewId="0">
      <selection activeCell="F6" sqref="F6"/>
    </sheetView>
  </sheetViews>
  <sheetFormatPr defaultRowHeight="15" x14ac:dyDescent="0.25"/>
  <cols>
    <col min="2" max="2" width="31.140625" customWidth="1"/>
    <col min="3" max="4" width="13.5703125" customWidth="1"/>
    <col min="5" max="5" width="14.42578125" customWidth="1"/>
    <col min="6" max="8" width="13.5703125" customWidth="1"/>
  </cols>
  <sheetData>
    <row r="2" spans="2:12" x14ac:dyDescent="0.25">
      <c r="B2" s="182" t="s">
        <v>139</v>
      </c>
    </row>
    <row r="4" spans="2:12" ht="23.25" x14ac:dyDescent="0.35">
      <c r="B4" s="226" t="s">
        <v>158</v>
      </c>
      <c r="C4" s="228" t="str">
        <f>"For the month: " &amp; B2</f>
        <v>For the month: Dec '16</v>
      </c>
      <c r="D4" s="229"/>
      <c r="E4" s="230"/>
      <c r="F4" s="228" t="str">
        <f>"YTD: " &amp; B2</f>
        <v>YTD: Dec '16</v>
      </c>
      <c r="G4" s="229"/>
      <c r="H4" s="230"/>
    </row>
    <row r="5" spans="2:12" ht="39" x14ac:dyDescent="0.25">
      <c r="B5" s="227"/>
      <c r="C5" s="191" t="s">
        <v>159</v>
      </c>
      <c r="D5" s="191" t="s">
        <v>160</v>
      </c>
      <c r="E5" s="191" t="s">
        <v>115</v>
      </c>
      <c r="F5" s="191" t="s">
        <v>159</v>
      </c>
      <c r="G5" s="191" t="s">
        <v>160</v>
      </c>
      <c r="H5" s="191" t="s">
        <v>115</v>
      </c>
    </row>
    <row r="6" spans="2:12" ht="19.5" x14ac:dyDescent="0.3">
      <c r="B6" s="172" t="s">
        <v>6</v>
      </c>
      <c r="C6" s="173">
        <f>'Bank Performance'!AD9</f>
        <v>29949.056</v>
      </c>
      <c r="D6" s="174">
        <f>Data!Y$25</f>
        <v>1.4506898920394367</v>
      </c>
      <c r="E6" s="174">
        <f>Data!Y$14</f>
        <v>0.94280027003939759</v>
      </c>
      <c r="F6" s="173">
        <f>'Bank Performance'!$C$9</f>
        <v>192039.4</v>
      </c>
      <c r="G6" s="174">
        <f>Data!$Y$26</f>
        <v>1.555141607390139</v>
      </c>
      <c r="H6" s="174">
        <f>Data!$Y$15</f>
        <v>0.8685877292311972</v>
      </c>
    </row>
    <row r="7" spans="2:12" ht="19.5" x14ac:dyDescent="0.3">
      <c r="B7" s="172" t="s">
        <v>0</v>
      </c>
      <c r="C7" s="175">
        <f>'Bank Performance'!AD4</f>
        <v>385</v>
      </c>
      <c r="D7" s="174">
        <f>C7/Data!M80</f>
        <v>1.5461847389558232</v>
      </c>
      <c r="E7" s="174">
        <f>C7/'[2]2016-2018 Plan_Non-Credit Life'!T$5</f>
        <v>0.89743589743589747</v>
      </c>
      <c r="F7" s="175">
        <f>C7</f>
        <v>385</v>
      </c>
      <c r="G7" s="174">
        <f>F7/Data!M80</f>
        <v>1.5461847389558232</v>
      </c>
      <c r="H7" s="174">
        <f>F7/'[2]2016-2018 Plan_Non-Credit Life'!T$5</f>
        <v>0.89743589743589747</v>
      </c>
    </row>
    <row r="8" spans="2:12" ht="19.5" x14ac:dyDescent="0.3">
      <c r="B8" s="172" t="s">
        <v>3</v>
      </c>
      <c r="C8" s="174">
        <f>'Bank Performance'!AD6</f>
        <v>0.81038961038961044</v>
      </c>
      <c r="D8" s="174">
        <f>C8/Data!M98</f>
        <v>1.0295255764643521</v>
      </c>
      <c r="E8" s="174">
        <f>C8/'[2]2016-2018 Plan_Non-Credit Life'!T$7</f>
        <v>1.0181787753906659</v>
      </c>
      <c r="F8" s="174">
        <f>'Bank Performance'!$C$6</f>
        <v>0.76976057723843883</v>
      </c>
      <c r="G8" s="174">
        <f>Data!Z98/Data!AE98</f>
        <v>1.149642312077888</v>
      </c>
      <c r="H8" s="174">
        <f>F8/(SUM('[2]2016-2018 Plan_Non-Credit Life'!$I$8:$T$8)/SUM('[2]2016-2018 Plan_Non-Credit Life'!$I$5:$T$5))</f>
        <v>1.0418891557914827</v>
      </c>
    </row>
    <row r="9" spans="2:12" ht="19.5" x14ac:dyDescent="0.3">
      <c r="B9" s="172" t="s">
        <v>5</v>
      </c>
      <c r="C9" s="176">
        <f>'Bank Performance'!AD8</f>
        <v>4.9326923076923075</v>
      </c>
      <c r="D9" s="174">
        <f>Data!Y107/Data!M107</f>
        <v>0.81963395691227126</v>
      </c>
      <c r="E9" s="174">
        <f>C9/'[2]2016-2018 Plan_Non-Credit Life'!T$9</f>
        <v>1.0429087271466897</v>
      </c>
      <c r="F9" s="176">
        <f>'Bank Performance'!$C$8</f>
        <v>4.6318704729441844</v>
      </c>
      <c r="G9" s="174">
        <f>Data!Z107/Data!AE107</f>
        <v>1.2960317464727531</v>
      </c>
      <c r="H9" s="174">
        <f>F9/(SUM('[2]2016-2018 Plan_Non-Credit Life'!$I$12:$T$12)/SUM('[2]2016-2018 Plan_Non-Credit Life'!$I$8:$T$8))</f>
        <v>1.1440355733134806</v>
      </c>
    </row>
    <row r="10" spans="2:12" ht="19.5" x14ac:dyDescent="0.3">
      <c r="B10" s="172" t="s">
        <v>7</v>
      </c>
      <c r="C10" s="176">
        <f>'Bank Performance'!AD10</f>
        <v>19.460075373619233</v>
      </c>
      <c r="D10" s="174">
        <f>Data!Y116/Data!M116</f>
        <v>1.0674003792202316</v>
      </c>
      <c r="E10" s="174">
        <f>C10/'[2]2016-2018 Plan_Non-Credit Life'!T$10</f>
        <v>0.98959881009862161</v>
      </c>
      <c r="F10" s="176">
        <f>'Bank Performance'!$C$10</f>
        <v>17.665292981326463</v>
      </c>
      <c r="G10" s="174">
        <f>Data!Z116/Data!AE116</f>
        <v>0.96900553997412953</v>
      </c>
      <c r="H10" s="174">
        <f>F10/(SUM('[2]2016-2018 Plan_Non-Credit Life'!$I$13:$T$13)/SUM('[2]2016-2018 Plan_Non-Credit Life'!$I$12:$T$12))</f>
        <v>0.9661082055884308</v>
      </c>
    </row>
    <row r="11" spans="2:12" ht="19.5" x14ac:dyDescent="0.3">
      <c r="B11" s="172" t="s">
        <v>161</v>
      </c>
      <c r="C11" s="176">
        <f>'Bank Performance'!AD12</f>
        <v>95.990564102564107</v>
      </c>
      <c r="D11" s="174">
        <f>'Bank Performance'!AD12/'Bank Performance'!R12</f>
        <v>0.80576929492359217</v>
      </c>
      <c r="E11" s="174">
        <f>C11/'[2]2016-2018 Plan_Non-Credit Life'!T$14</f>
        <v>1.0320612354258323</v>
      </c>
      <c r="F11" s="176">
        <f>'Bank Performance'!$C$12</f>
        <v>81.823348956114188</v>
      </c>
      <c r="G11" s="174">
        <f>'Bank Performance'!$C$12/'Bank Performance'!$D$12</f>
        <v>1.0967688890963398</v>
      </c>
      <c r="H11" s="174">
        <f>F11/(SUM('[2]2016-2018 Plan_Non-Credit Life'!$I$13:$T$13)/SUM('[2]2016-2018 Plan_Non-Credit Life'!$I$8:$T$8))</f>
        <v>1.1052621548632184</v>
      </c>
      <c r="K11" s="8"/>
      <c r="L11" s="14"/>
    </row>
    <row r="12" spans="2:12" ht="19.5" hidden="1" x14ac:dyDescent="0.3">
      <c r="B12" s="172" t="s">
        <v>162</v>
      </c>
      <c r="C12" s="189">
        <v>0.77900000000000003</v>
      </c>
      <c r="D12" s="174"/>
      <c r="E12" s="174"/>
      <c r="F12" s="189">
        <v>0.77900000000000003</v>
      </c>
      <c r="G12" s="174"/>
      <c r="H12" s="174"/>
    </row>
    <row r="13" spans="2:12" x14ac:dyDescent="0.25">
      <c r="B13" s="177"/>
      <c r="C13" s="177"/>
      <c r="D13" s="177"/>
      <c r="E13" s="177"/>
      <c r="F13" s="177"/>
      <c r="G13" s="177"/>
      <c r="H13" s="177"/>
    </row>
    <row r="14" spans="2:12" hidden="1" x14ac:dyDescent="0.25">
      <c r="B14" s="177"/>
      <c r="C14" s="178"/>
      <c r="D14" s="179" t="s">
        <v>163</v>
      </c>
      <c r="E14" s="180"/>
      <c r="F14" s="177" t="s">
        <v>164</v>
      </c>
      <c r="G14" s="181"/>
      <c r="H14" s="177" t="s">
        <v>165</v>
      </c>
    </row>
    <row r="15" spans="2:12" hidden="1" x14ac:dyDescent="0.25">
      <c r="B15" s="177"/>
      <c r="C15" s="177"/>
      <c r="D15" s="177"/>
      <c r="E15" s="177"/>
      <c r="F15" s="177"/>
      <c r="G15" s="177"/>
      <c r="H15" s="177"/>
    </row>
    <row r="16" spans="2:12" x14ac:dyDescent="0.25">
      <c r="B16" s="177"/>
      <c r="C16" s="177"/>
      <c r="D16" s="177"/>
      <c r="E16" s="177"/>
      <c r="F16" s="177"/>
      <c r="G16" s="177"/>
      <c r="H16" s="177"/>
    </row>
    <row r="17" spans="2:8" x14ac:dyDescent="0.25">
      <c r="B17" s="177"/>
      <c r="C17" s="177"/>
      <c r="D17" s="177"/>
      <c r="E17" s="177"/>
      <c r="F17" s="177"/>
      <c r="G17" s="177"/>
      <c r="H17" s="177"/>
    </row>
  </sheetData>
  <mergeCells count="3">
    <mergeCell ref="B4:B5"/>
    <mergeCell ref="C4:E4"/>
    <mergeCell ref="F4:H4"/>
  </mergeCells>
  <conditionalFormatting sqref="D6:E6 G6:H6 G8:H11 D8:E11">
    <cfRule type="cellIs" dxfId="324" priority="13" operator="lessThan">
      <formula>0.9</formula>
    </cfRule>
    <cfRule type="cellIs" dxfId="323" priority="14" operator="between">
      <formula>0.9</formula>
      <formula>1</formula>
    </cfRule>
    <cfRule type="cellIs" dxfId="322" priority="15" operator="greaterThanOrEqual">
      <formula>1</formula>
    </cfRule>
  </conditionalFormatting>
  <conditionalFormatting sqref="D7">
    <cfRule type="cellIs" dxfId="321" priority="10" operator="lessThan">
      <formula>0.9</formula>
    </cfRule>
    <cfRule type="cellIs" dxfId="320" priority="11" operator="between">
      <formula>0.9</formula>
      <formula>1</formula>
    </cfRule>
    <cfRule type="cellIs" dxfId="319" priority="12" operator="greaterThanOrEqual">
      <formula>1</formula>
    </cfRule>
  </conditionalFormatting>
  <conditionalFormatting sqref="E7">
    <cfRule type="cellIs" dxfId="318" priority="7" operator="lessThan">
      <formula>0.9</formula>
    </cfRule>
    <cfRule type="cellIs" dxfId="317" priority="8" operator="between">
      <formula>0.9</formula>
      <formula>1</formula>
    </cfRule>
    <cfRule type="cellIs" dxfId="316" priority="9" operator="greaterThanOrEqual">
      <formula>1</formula>
    </cfRule>
  </conditionalFormatting>
  <conditionalFormatting sqref="G7">
    <cfRule type="cellIs" dxfId="315" priority="4" operator="lessThan">
      <formula>0.9</formula>
    </cfRule>
    <cfRule type="cellIs" dxfId="314" priority="5" operator="between">
      <formula>0.9</formula>
      <formula>1</formula>
    </cfRule>
    <cfRule type="cellIs" dxfId="313" priority="6" operator="greaterThanOrEqual">
      <formula>1</formula>
    </cfRule>
  </conditionalFormatting>
  <conditionalFormatting sqref="H7">
    <cfRule type="cellIs" dxfId="312" priority="1" operator="lessThan">
      <formula>0.9</formula>
    </cfRule>
    <cfRule type="cellIs" dxfId="311" priority="2" operator="between">
      <formula>0.9</formula>
      <formula>1</formula>
    </cfRule>
    <cfRule type="cellIs" dxfId="310" priority="3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C000"/>
  </sheetPr>
  <dimension ref="A1:AD64"/>
  <sheetViews>
    <sheetView showGridLines="0" zoomScaleNormal="100" workbookViewId="0">
      <pane xSplit="1" ySplit="2" topLeftCell="B3" activePane="bottomRight" state="frozen"/>
      <selection activeCell="F6" sqref="F6"/>
      <selection pane="topRight" activeCell="F6" sqref="F6"/>
      <selection pane="bottomLeft" activeCell="F6" sqref="F6"/>
      <selection pane="bottomRight" activeCell="B5" sqref="B5"/>
    </sheetView>
  </sheetViews>
  <sheetFormatPr defaultRowHeight="15" outlineLevelCol="1" x14ac:dyDescent="0.25"/>
  <cols>
    <col min="1" max="1" width="18.140625" customWidth="1"/>
    <col min="2" max="2" width="14" bestFit="1" customWidth="1"/>
    <col min="5" max="5" width="10.42578125" bestFit="1" customWidth="1"/>
    <col min="7" max="15" width="10" hidden="1" customWidth="1" outlineLevel="1"/>
    <col min="16" max="16" width="11.140625" customWidth="1" collapsed="1"/>
    <col min="17" max="17" width="11.140625" customWidth="1" outlineLevel="1"/>
    <col min="18" max="18" width="11.140625" bestFit="1" customWidth="1"/>
    <col min="19" max="19" width="10" bestFit="1" customWidth="1"/>
    <col min="20" max="23" width="11.140625" bestFit="1" customWidth="1"/>
    <col min="24" max="24" width="11.140625" style="127" bestFit="1" customWidth="1"/>
    <col min="30" max="30" width="9.140625" style="127"/>
  </cols>
  <sheetData>
    <row r="1" spans="1:30" ht="19.5" customHeight="1" x14ac:dyDescent="0.25">
      <c r="A1" s="52">
        <v>12</v>
      </c>
      <c r="B1" s="52"/>
    </row>
    <row r="2" spans="1:30" s="1" customFormat="1" x14ac:dyDescent="0.25">
      <c r="A2" s="1" t="s">
        <v>13</v>
      </c>
      <c r="B2" s="1" t="s">
        <v>112</v>
      </c>
      <c r="C2" s="1" t="s">
        <v>10</v>
      </c>
      <c r="D2" s="1" t="s">
        <v>11</v>
      </c>
      <c r="E2" s="1" t="s">
        <v>12</v>
      </c>
      <c r="G2" s="1">
        <v>42020</v>
      </c>
      <c r="H2" s="1">
        <v>42051</v>
      </c>
      <c r="I2" s="1">
        <v>42079</v>
      </c>
      <c r="J2" s="1">
        <v>42110</v>
      </c>
      <c r="K2" s="1">
        <v>42140</v>
      </c>
      <c r="L2" s="1">
        <v>42171</v>
      </c>
      <c r="M2" s="1">
        <v>42201</v>
      </c>
      <c r="N2" s="1">
        <v>42232</v>
      </c>
      <c r="O2" s="1">
        <v>42263</v>
      </c>
      <c r="P2" s="1">
        <v>42293</v>
      </c>
      <c r="Q2" s="1">
        <v>42324</v>
      </c>
      <c r="R2" s="1">
        <v>42354</v>
      </c>
      <c r="S2" s="1">
        <v>42385</v>
      </c>
      <c r="T2" s="1">
        <v>42416</v>
      </c>
      <c r="U2" s="1">
        <v>42445</v>
      </c>
      <c r="V2" s="1">
        <v>42476</v>
      </c>
      <c r="W2" s="1">
        <v>42506</v>
      </c>
      <c r="X2" s="128">
        <v>42537</v>
      </c>
      <c r="Y2" s="1">
        <v>42567</v>
      </c>
      <c r="Z2" s="1">
        <v>42598</v>
      </c>
      <c r="AA2" s="1">
        <v>42629</v>
      </c>
      <c r="AB2" s="1">
        <v>42659</v>
      </c>
      <c r="AC2" s="1">
        <v>42690</v>
      </c>
      <c r="AD2" s="128">
        <v>42720</v>
      </c>
    </row>
    <row r="3" spans="1:30" x14ac:dyDescent="0.25">
      <c r="A3" s="17" t="s">
        <v>1</v>
      </c>
      <c r="B3" s="150">
        <f>INDEX('[2]2016-2018 Plan_Non-Credit Life'!$I$4:$T$4,1,A1)</f>
        <v>420</v>
      </c>
      <c r="C3" s="11">
        <f>INDEX($S3:$AD3,$A$1)</f>
        <v>302</v>
      </c>
      <c r="D3" s="11">
        <f>INDEX($G3:$R3,$A$1)</f>
        <v>287</v>
      </c>
      <c r="E3" s="14">
        <f t="shared" ref="E3:E12" si="0">C3/D3-1</f>
        <v>5.2264808362369353E-2</v>
      </c>
      <c r="G3" s="37">
        <f>SUM(G16,G29,G42)</f>
        <v>268</v>
      </c>
      <c r="H3">
        <f t="shared" ref="H3:X3" si="1">SUM(H16,H29,H42)</f>
        <v>268</v>
      </c>
      <c r="I3">
        <f t="shared" si="1"/>
        <v>273</v>
      </c>
      <c r="J3">
        <f t="shared" si="1"/>
        <v>274</v>
      </c>
      <c r="K3">
        <f t="shared" si="1"/>
        <v>275</v>
      </c>
      <c r="L3" s="4">
        <f t="shared" si="1"/>
        <v>275</v>
      </c>
      <c r="M3">
        <f t="shared" si="1"/>
        <v>275</v>
      </c>
      <c r="N3">
        <f t="shared" si="1"/>
        <v>276</v>
      </c>
      <c r="O3">
        <f t="shared" si="1"/>
        <v>277</v>
      </c>
      <c r="P3">
        <f t="shared" si="1"/>
        <v>283</v>
      </c>
      <c r="Q3">
        <f t="shared" si="1"/>
        <v>287</v>
      </c>
      <c r="R3" s="4">
        <f t="shared" si="1"/>
        <v>287</v>
      </c>
      <c r="S3">
        <f t="shared" si="1"/>
        <v>287</v>
      </c>
      <c r="T3">
        <f t="shared" si="1"/>
        <v>287</v>
      </c>
      <c r="U3">
        <f t="shared" si="1"/>
        <v>289</v>
      </c>
      <c r="V3">
        <f t="shared" si="1"/>
        <v>290</v>
      </c>
      <c r="W3">
        <f t="shared" si="1"/>
        <v>290</v>
      </c>
      <c r="X3" s="127">
        <f t="shared" si="1"/>
        <v>290</v>
      </c>
      <c r="Y3" s="127">
        <f>SUM(Y16,Y29,Y42)</f>
        <v>173</v>
      </c>
      <c r="Z3" s="134">
        <f t="shared" ref="Z3:AA5" si="2">SUM(Z16,Z29,Z42,Z55)</f>
        <v>304</v>
      </c>
      <c r="AA3">
        <f t="shared" si="2"/>
        <v>302</v>
      </c>
      <c r="AB3">
        <f t="shared" ref="AB3:AC3" si="3">SUM(AB16,AB29,AB42,AB55)</f>
        <v>302</v>
      </c>
      <c r="AC3">
        <f t="shared" si="3"/>
        <v>302</v>
      </c>
      <c r="AD3">
        <f t="shared" ref="AD3" si="4">SUM(AD16,AD29,AD42,AD55)</f>
        <v>302</v>
      </c>
    </row>
    <row r="4" spans="1:30" x14ac:dyDescent="0.25">
      <c r="A4" s="17" t="s">
        <v>0</v>
      </c>
      <c r="B4" s="150">
        <f>INDEX('[2]2016-2018 Plan_Non-Credit Life'!$I$5:$T$5,1,A1)</f>
        <v>429</v>
      </c>
      <c r="C4" s="11">
        <f>INDEX($S4:$AD4,$A$1)</f>
        <v>385</v>
      </c>
      <c r="D4" s="11">
        <f>INDEX($G4:$R4,$A$1)</f>
        <v>170</v>
      </c>
      <c r="E4" s="14">
        <f t="shared" si="0"/>
        <v>1.2647058823529411</v>
      </c>
      <c r="G4">
        <f t="shared" ref="G4:X4" si="5">SUM(G17,G30,G43)</f>
        <v>183</v>
      </c>
      <c r="H4">
        <f t="shared" si="5"/>
        <v>191</v>
      </c>
      <c r="I4">
        <f t="shared" si="5"/>
        <v>199</v>
      </c>
      <c r="J4">
        <f t="shared" si="5"/>
        <v>207</v>
      </c>
      <c r="K4">
        <f t="shared" si="5"/>
        <v>200</v>
      </c>
      <c r="L4" s="4">
        <f t="shared" si="5"/>
        <v>195</v>
      </c>
      <c r="M4">
        <f t="shared" si="5"/>
        <v>200</v>
      </c>
      <c r="N4">
        <f t="shared" si="5"/>
        <v>195</v>
      </c>
      <c r="O4">
        <f t="shared" si="5"/>
        <v>200</v>
      </c>
      <c r="P4">
        <f t="shared" si="5"/>
        <v>169</v>
      </c>
      <c r="Q4">
        <f t="shared" si="5"/>
        <v>167</v>
      </c>
      <c r="R4" s="4">
        <f t="shared" si="5"/>
        <v>170</v>
      </c>
      <c r="S4">
        <f t="shared" si="5"/>
        <v>171</v>
      </c>
      <c r="T4">
        <f t="shared" si="5"/>
        <v>167</v>
      </c>
      <c r="U4">
        <f t="shared" si="5"/>
        <v>168</v>
      </c>
      <c r="V4">
        <f t="shared" si="5"/>
        <v>183</v>
      </c>
      <c r="W4">
        <f t="shared" si="5"/>
        <v>180</v>
      </c>
      <c r="X4" s="127">
        <f t="shared" si="5"/>
        <v>181</v>
      </c>
      <c r="Y4" s="127">
        <f>SUM(Y17,Y30,Y43)</f>
        <v>183</v>
      </c>
      <c r="Z4" s="134">
        <f t="shared" si="2"/>
        <v>320</v>
      </c>
      <c r="AA4">
        <f t="shared" si="2"/>
        <v>314</v>
      </c>
      <c r="AB4">
        <f t="shared" ref="AB4:AC4" si="6">SUM(AB17,AB30,AB43,AB56)</f>
        <v>430</v>
      </c>
      <c r="AC4">
        <f t="shared" si="6"/>
        <v>367</v>
      </c>
      <c r="AD4">
        <f t="shared" ref="AD4" si="7">SUM(AD17,AD30,AD43,AD56)</f>
        <v>385</v>
      </c>
    </row>
    <row r="5" spans="1:30" x14ac:dyDescent="0.25">
      <c r="A5" s="17" t="s">
        <v>2</v>
      </c>
      <c r="B5" s="137" t="e">
        <f ca="1">SUM('[2]2016-2018 Plan_Non-Credit Life'!I8:OFFSET('[2]2016-2018 Plan_Non-Credit Life'!I8, ,A1-1))</f>
        <v>#VALUE!</v>
      </c>
      <c r="C5" s="11">
        <f>SUM($S5:INDEX($S5:$AD5,$A$1))</f>
        <v>2347</v>
      </c>
      <c r="D5" s="11">
        <f>SUM($G5:INDEX($G5:$R5,$A$1))</f>
        <v>1593</v>
      </c>
      <c r="E5" s="14">
        <f t="shared" si="0"/>
        <v>0.47332077840552422</v>
      </c>
      <c r="G5">
        <f t="shared" ref="G5:X9" si="8">SUM(G18,G31,G44)</f>
        <v>115</v>
      </c>
      <c r="H5">
        <f t="shared" si="8"/>
        <v>80</v>
      </c>
      <c r="I5">
        <f t="shared" si="8"/>
        <v>125</v>
      </c>
      <c r="J5">
        <f t="shared" si="8"/>
        <v>135</v>
      </c>
      <c r="K5">
        <f t="shared" si="8"/>
        <v>144</v>
      </c>
      <c r="L5" s="4">
        <f t="shared" si="8"/>
        <v>135</v>
      </c>
      <c r="M5">
        <f t="shared" si="8"/>
        <v>142</v>
      </c>
      <c r="N5">
        <f t="shared" si="8"/>
        <v>147</v>
      </c>
      <c r="O5">
        <f t="shared" si="8"/>
        <v>151</v>
      </c>
      <c r="P5">
        <f t="shared" si="8"/>
        <v>136</v>
      </c>
      <c r="Q5">
        <f t="shared" si="8"/>
        <v>141</v>
      </c>
      <c r="R5" s="4">
        <f t="shared" si="8"/>
        <v>142</v>
      </c>
      <c r="S5">
        <f t="shared" si="8"/>
        <v>132</v>
      </c>
      <c r="T5">
        <f t="shared" si="8"/>
        <v>129</v>
      </c>
      <c r="U5">
        <f t="shared" si="8"/>
        <v>143</v>
      </c>
      <c r="V5">
        <f t="shared" si="8"/>
        <v>150</v>
      </c>
      <c r="W5">
        <f t="shared" si="8"/>
        <v>146</v>
      </c>
      <c r="X5" s="127">
        <f t="shared" si="8"/>
        <v>146</v>
      </c>
      <c r="Y5" s="127">
        <f>SUM(Y18,Y31,Y44)</f>
        <v>145</v>
      </c>
      <c r="Z5" s="135">
        <f t="shared" si="2"/>
        <v>256</v>
      </c>
      <c r="AA5">
        <f t="shared" si="2"/>
        <v>239</v>
      </c>
      <c r="AB5">
        <f t="shared" ref="AB5:AC5" si="9">SUM(AB18,AB31,AB44,AB57)</f>
        <v>288</v>
      </c>
      <c r="AC5">
        <f t="shared" si="9"/>
        <v>261</v>
      </c>
      <c r="AD5">
        <f t="shared" ref="AD5" si="10">SUM(AD18,AD31,AD44,AD57)</f>
        <v>312</v>
      </c>
    </row>
    <row r="6" spans="1:30" x14ac:dyDescent="0.25">
      <c r="A6" s="17" t="s">
        <v>3</v>
      </c>
      <c r="B6" s="151" t="e">
        <f ca="1">B5/SUM('[2]2016-2018 Plan_Non-Credit Life'!I5:OFFSET('[2]2016-2018 Plan_Non-Credit Life'!I5, ,A1-1))</f>
        <v>#VALUE!</v>
      </c>
      <c r="C6" s="14">
        <f>C5/SUM($S4:INDEX($S4:$AD4,$A$1))</f>
        <v>0.76976057723843883</v>
      </c>
      <c r="D6" s="14">
        <f>D5/SUM($G4:INDEX($G4:$R4,$A$1))</f>
        <v>0.69991212653778556</v>
      </c>
      <c r="E6" s="14">
        <f t="shared" si="0"/>
        <v>9.9796028747449306E-2</v>
      </c>
      <c r="G6" s="23">
        <f>G5/G4</f>
        <v>0.62841530054644812</v>
      </c>
      <c r="H6" s="23">
        <f t="shared" ref="H6:X6" si="11">H5/H4</f>
        <v>0.41884816753926701</v>
      </c>
      <c r="I6" s="23">
        <f t="shared" si="11"/>
        <v>0.62814070351758799</v>
      </c>
      <c r="J6" s="23">
        <f t="shared" si="11"/>
        <v>0.65217391304347827</v>
      </c>
      <c r="K6" s="23">
        <f t="shared" si="11"/>
        <v>0.72</v>
      </c>
      <c r="L6" s="41">
        <f t="shared" si="11"/>
        <v>0.69230769230769229</v>
      </c>
      <c r="M6" s="23">
        <f t="shared" si="11"/>
        <v>0.71</v>
      </c>
      <c r="N6" s="23">
        <f t="shared" si="11"/>
        <v>0.75384615384615383</v>
      </c>
      <c r="O6" s="23">
        <f t="shared" si="11"/>
        <v>0.755</v>
      </c>
      <c r="P6" s="23">
        <f t="shared" si="11"/>
        <v>0.80473372781065089</v>
      </c>
      <c r="Q6" s="23">
        <f t="shared" si="11"/>
        <v>0.84431137724550898</v>
      </c>
      <c r="R6" s="41">
        <f t="shared" si="11"/>
        <v>0.83529411764705885</v>
      </c>
      <c r="S6" s="23">
        <f t="shared" si="11"/>
        <v>0.77192982456140347</v>
      </c>
      <c r="T6" s="23">
        <f t="shared" si="11"/>
        <v>0.77245508982035926</v>
      </c>
      <c r="U6" s="23">
        <f t="shared" si="11"/>
        <v>0.85119047619047616</v>
      </c>
      <c r="V6" s="23">
        <f t="shared" si="11"/>
        <v>0.81967213114754101</v>
      </c>
      <c r="W6" s="23">
        <f t="shared" si="11"/>
        <v>0.81111111111111112</v>
      </c>
      <c r="X6" s="129">
        <f t="shared" si="11"/>
        <v>0.8066298342541437</v>
      </c>
      <c r="Y6" s="129">
        <f t="shared" ref="Y6:AD6" si="12">Y5/Y4</f>
        <v>0.79234972677595628</v>
      </c>
      <c r="Z6" s="129">
        <f t="shared" si="12"/>
        <v>0.8</v>
      </c>
      <c r="AA6" s="14">
        <f t="shared" si="12"/>
        <v>0.76114649681528668</v>
      </c>
      <c r="AB6" s="14">
        <f t="shared" si="12"/>
        <v>0.66976744186046511</v>
      </c>
      <c r="AC6" s="14">
        <f t="shared" si="12"/>
        <v>0.71117166212534055</v>
      </c>
      <c r="AD6" s="14">
        <f t="shared" si="12"/>
        <v>0.81038961038961044</v>
      </c>
    </row>
    <row r="7" spans="1:30" x14ac:dyDescent="0.25">
      <c r="A7" s="17" t="s">
        <v>4</v>
      </c>
      <c r="B7" s="137" t="e">
        <f>SUM('[2]2016-2018 Plan_Non-Credit Life'!$I$12:INDEX('[2]2016-2018 Plan_Non-Credit Life'!$I$12:$T$12,,A1))</f>
        <v>#REF!</v>
      </c>
      <c r="C7" s="11">
        <f>SUM($S7:INDEX($S7:$AD7,$A$1))</f>
        <v>10871</v>
      </c>
      <c r="D7" s="11">
        <f>SUM($G7:INDEX($G7:$R7,$A$1))</f>
        <v>6730</v>
      </c>
      <c r="E7" s="14">
        <f t="shared" si="0"/>
        <v>0.61530460624071326</v>
      </c>
      <c r="G7">
        <f t="shared" si="8"/>
        <v>302</v>
      </c>
      <c r="H7">
        <f t="shared" si="8"/>
        <v>187</v>
      </c>
      <c r="I7">
        <f t="shared" si="8"/>
        <v>506</v>
      </c>
      <c r="J7">
        <f t="shared" si="8"/>
        <v>494</v>
      </c>
      <c r="K7">
        <f t="shared" si="8"/>
        <v>429</v>
      </c>
      <c r="L7" s="4">
        <f t="shared" si="8"/>
        <v>581</v>
      </c>
      <c r="M7">
        <f t="shared" si="8"/>
        <v>558</v>
      </c>
      <c r="N7">
        <f t="shared" si="8"/>
        <v>475</v>
      </c>
      <c r="O7">
        <f t="shared" si="8"/>
        <v>607</v>
      </c>
      <c r="P7">
        <f t="shared" si="8"/>
        <v>688</v>
      </c>
      <c r="Q7">
        <f t="shared" si="8"/>
        <v>939</v>
      </c>
      <c r="R7" s="50">
        <f t="shared" si="8"/>
        <v>964</v>
      </c>
      <c r="S7">
        <f t="shared" si="8"/>
        <v>358</v>
      </c>
      <c r="T7">
        <f t="shared" si="8"/>
        <v>528</v>
      </c>
      <c r="U7">
        <f t="shared" si="8"/>
        <v>852</v>
      </c>
      <c r="V7">
        <f t="shared" si="8"/>
        <v>704</v>
      </c>
      <c r="W7">
        <f t="shared" si="8"/>
        <v>873</v>
      </c>
      <c r="X7" s="127">
        <f t="shared" si="8"/>
        <v>900</v>
      </c>
      <c r="Y7" s="127">
        <f>SUM(Y20,Y33,Y46)</f>
        <v>744</v>
      </c>
      <c r="Z7" s="131">
        <f>SUM(Z20,Z33,Z46,Z59)</f>
        <v>1116</v>
      </c>
      <c r="AA7" s="11">
        <f>SUM(AA20,AA33,AA46,AA59)</f>
        <v>1098</v>
      </c>
      <c r="AB7" s="11">
        <f>SUM(AB20,AB33,AB46,AB59)</f>
        <v>1265</v>
      </c>
      <c r="AC7" s="11">
        <f>SUM(AC20,AC33,AC46,AC59)</f>
        <v>894</v>
      </c>
      <c r="AD7" s="11">
        <f>SUM(AD20,AD33,AD46,AD59)</f>
        <v>1539</v>
      </c>
    </row>
    <row r="8" spans="1:30" x14ac:dyDescent="0.25">
      <c r="A8" s="17" t="s">
        <v>5</v>
      </c>
      <c r="B8" s="103" t="e">
        <f ca="1">B7/B5</f>
        <v>#REF!</v>
      </c>
      <c r="C8" s="38">
        <f>C7/C5</f>
        <v>4.6318704729441844</v>
      </c>
      <c r="D8" s="38">
        <f>D7/D5</f>
        <v>4.2247332077840554</v>
      </c>
      <c r="E8" s="14">
        <f t="shared" si="0"/>
        <v>9.6369935126312756E-2</v>
      </c>
      <c r="G8" s="38">
        <f>G7/G5</f>
        <v>2.6260869565217391</v>
      </c>
      <c r="H8" s="38">
        <f t="shared" ref="H8:X8" si="13">H7/H5</f>
        <v>2.3374999999999999</v>
      </c>
      <c r="I8" s="38">
        <f t="shared" si="13"/>
        <v>4.048</v>
      </c>
      <c r="J8" s="38">
        <f t="shared" si="13"/>
        <v>3.6592592592592594</v>
      </c>
      <c r="K8" s="38">
        <f t="shared" si="13"/>
        <v>2.9791666666666665</v>
      </c>
      <c r="L8" s="42">
        <f t="shared" si="13"/>
        <v>4.3037037037037038</v>
      </c>
      <c r="M8" s="38">
        <f t="shared" si="13"/>
        <v>3.9295774647887325</v>
      </c>
      <c r="N8" s="38">
        <f t="shared" si="13"/>
        <v>3.2312925170068025</v>
      </c>
      <c r="O8" s="38">
        <f t="shared" si="13"/>
        <v>4.0198675496688745</v>
      </c>
      <c r="P8" s="38">
        <f t="shared" si="13"/>
        <v>5.0588235294117645</v>
      </c>
      <c r="Q8" s="38">
        <f t="shared" si="13"/>
        <v>6.6595744680851068</v>
      </c>
      <c r="R8" s="42">
        <f t="shared" si="13"/>
        <v>6.788732394366197</v>
      </c>
      <c r="S8" s="38">
        <f t="shared" si="13"/>
        <v>2.7121212121212119</v>
      </c>
      <c r="T8" s="38">
        <f t="shared" si="13"/>
        <v>4.0930232558139537</v>
      </c>
      <c r="U8" s="38">
        <f t="shared" si="13"/>
        <v>5.9580419580419584</v>
      </c>
      <c r="V8" s="38">
        <f t="shared" si="13"/>
        <v>4.6933333333333334</v>
      </c>
      <c r="W8" s="38">
        <f t="shared" si="13"/>
        <v>5.9794520547945202</v>
      </c>
      <c r="X8" s="130">
        <f t="shared" si="13"/>
        <v>6.1643835616438354</v>
      </c>
      <c r="Y8" s="130">
        <f t="shared" ref="Y8:AD8" si="14">Y7/Y5</f>
        <v>5.1310344827586203</v>
      </c>
      <c r="Z8" s="130">
        <f t="shared" si="14"/>
        <v>4.359375</v>
      </c>
      <c r="AA8" s="38">
        <f t="shared" si="14"/>
        <v>4.5941422594142258</v>
      </c>
      <c r="AB8" s="38">
        <f t="shared" si="14"/>
        <v>4.3923611111111107</v>
      </c>
      <c r="AC8" s="38">
        <f t="shared" si="14"/>
        <v>3.4252873563218391</v>
      </c>
      <c r="AD8" s="38">
        <f t="shared" si="14"/>
        <v>4.9326923076923075</v>
      </c>
    </row>
    <row r="9" spans="1:30" x14ac:dyDescent="0.25">
      <c r="A9" s="17" t="s">
        <v>6</v>
      </c>
      <c r="B9" s="137" t="e">
        <f>SUM('[2]2016-2018 Plan_Non-Credit Life'!$I$13:INDEX('[2]2016-2018 Plan_Non-Credit Life'!$I$13:$T$13,,A1))</f>
        <v>#REF!</v>
      </c>
      <c r="C9" s="11">
        <f>SUM($S9:INDEX($S9:$AD9,$A$1))</f>
        <v>192039.4</v>
      </c>
      <c r="D9" s="11">
        <f>SUM($G9:INDEX($G9:$R9,$A$1))</f>
        <v>118844.17600000001</v>
      </c>
      <c r="E9" s="14">
        <f t="shared" si="0"/>
        <v>0.6158923934143814</v>
      </c>
      <c r="F9" s="14" t="e">
        <f>C9/B9</f>
        <v>#REF!</v>
      </c>
      <c r="G9" s="11">
        <f t="shared" si="8"/>
        <v>5188.6629999999996</v>
      </c>
      <c r="H9" s="11">
        <f t="shared" si="8"/>
        <v>3123.3230000000003</v>
      </c>
      <c r="I9" s="11">
        <f t="shared" si="8"/>
        <v>9273.6569999999992</v>
      </c>
      <c r="J9" s="11">
        <f t="shared" si="8"/>
        <v>8375.8829999999998</v>
      </c>
      <c r="K9" s="11">
        <f t="shared" si="8"/>
        <v>7642.2390000000005</v>
      </c>
      <c r="L9" s="50">
        <f t="shared" si="8"/>
        <v>10443.096000000009</v>
      </c>
      <c r="M9" s="11">
        <f t="shared" si="8"/>
        <v>10004.824000000001</v>
      </c>
      <c r="N9" s="11">
        <f t="shared" si="8"/>
        <v>7767.9339999999993</v>
      </c>
      <c r="O9" s="11">
        <f t="shared" si="8"/>
        <v>10991.358000000011</v>
      </c>
      <c r="P9" s="11">
        <f t="shared" si="8"/>
        <v>12458.921</v>
      </c>
      <c r="Q9" s="11">
        <f t="shared" si="8"/>
        <v>16657.947</v>
      </c>
      <c r="R9" s="50">
        <f t="shared" si="8"/>
        <v>16916.330999999998</v>
      </c>
      <c r="S9" s="11">
        <f t="shared" si="8"/>
        <v>5661.8700000000008</v>
      </c>
      <c r="T9" s="11">
        <f t="shared" si="8"/>
        <v>8966.5000000000091</v>
      </c>
      <c r="U9" s="11">
        <f t="shared" si="8"/>
        <v>14161.739</v>
      </c>
      <c r="V9" s="11">
        <f t="shared" si="8"/>
        <v>11771.885</v>
      </c>
      <c r="W9" s="11">
        <f t="shared" si="8"/>
        <v>15183.444</v>
      </c>
      <c r="X9" s="131">
        <f t="shared" si="8"/>
        <v>15985.385</v>
      </c>
      <c r="Y9" s="131">
        <f>SUM(Y22,Y35,Y48)</f>
        <v>12956.3</v>
      </c>
      <c r="Z9" s="131">
        <f>SUM(Z22,Z35,Z48,Z61)</f>
        <v>19452.117000000002</v>
      </c>
      <c r="AA9" s="11">
        <f>SUM(AA22,AA35,AA48,AA61)</f>
        <v>20610.342999999979</v>
      </c>
      <c r="AB9" s="11">
        <f>SUM(AB22,AB35,AB48,AB61)</f>
        <v>21252.087</v>
      </c>
      <c r="AC9" s="11">
        <f>SUM(AC22,AC35,AC48,AC61)</f>
        <v>16088.674000000001</v>
      </c>
      <c r="AD9" s="11">
        <f>SUM(AD22,AD35,AD48,AD61)</f>
        <v>29949.056</v>
      </c>
    </row>
    <row r="10" spans="1:30" x14ac:dyDescent="0.25">
      <c r="A10" s="17" t="s">
        <v>7</v>
      </c>
      <c r="B10" s="152" t="e">
        <f>B9/B7</f>
        <v>#REF!</v>
      </c>
      <c r="C10" s="38">
        <f>C9/C7</f>
        <v>17.665292981326463</v>
      </c>
      <c r="D10" s="38">
        <f>D9/D7</f>
        <v>17.658867161961368</v>
      </c>
      <c r="E10" s="14">
        <f t="shared" si="0"/>
        <v>3.638862734602899E-4</v>
      </c>
      <c r="G10" s="6">
        <f>G9/G7</f>
        <v>17.181003311258277</v>
      </c>
      <c r="H10" s="6">
        <f t="shared" ref="H10:X10" si="15">H9/H7</f>
        <v>16.702262032085564</v>
      </c>
      <c r="I10" s="6">
        <f t="shared" si="15"/>
        <v>18.327385375494071</v>
      </c>
      <c r="J10" s="6">
        <f t="shared" si="15"/>
        <v>16.955228744939269</v>
      </c>
      <c r="K10" s="6">
        <f t="shared" si="15"/>
        <v>17.814076923076925</v>
      </c>
      <c r="L10" s="44">
        <f t="shared" si="15"/>
        <v>17.974347676419981</v>
      </c>
      <c r="M10" s="6">
        <f t="shared" si="15"/>
        <v>17.929792114695342</v>
      </c>
      <c r="N10" s="6">
        <f t="shared" si="15"/>
        <v>16.353545263157894</v>
      </c>
      <c r="O10" s="6">
        <f t="shared" si="15"/>
        <v>18.107673805601337</v>
      </c>
      <c r="P10" s="6">
        <f t="shared" si="15"/>
        <v>18.108896802325582</v>
      </c>
      <c r="Q10" s="6">
        <f t="shared" si="15"/>
        <v>17.740092651757188</v>
      </c>
      <c r="R10" s="44">
        <f t="shared" si="15"/>
        <v>17.548061203319499</v>
      </c>
      <c r="S10" s="6">
        <f t="shared" si="15"/>
        <v>15.815279329608941</v>
      </c>
      <c r="T10" s="6">
        <f t="shared" si="15"/>
        <v>16.982007575757592</v>
      </c>
      <c r="U10" s="6">
        <f t="shared" si="15"/>
        <v>16.621759389671361</v>
      </c>
      <c r="V10" s="6">
        <f t="shared" si="15"/>
        <v>16.721427556818181</v>
      </c>
      <c r="W10" s="6">
        <f t="shared" si="15"/>
        <v>17.392261168384881</v>
      </c>
      <c r="X10" s="132">
        <f t="shared" si="15"/>
        <v>17.761538888888889</v>
      </c>
      <c r="Y10" s="132">
        <f t="shared" ref="Y10:AD10" si="16">Y9/Y7</f>
        <v>17.414381720430107</v>
      </c>
      <c r="Z10" s="132">
        <f t="shared" si="16"/>
        <v>17.430212365591398</v>
      </c>
      <c r="AA10" s="38">
        <f t="shared" si="16"/>
        <v>18.770804189435317</v>
      </c>
      <c r="AB10" s="38">
        <f t="shared" si="16"/>
        <v>16.800068774703558</v>
      </c>
      <c r="AC10" s="38">
        <f t="shared" si="16"/>
        <v>17.996279642058166</v>
      </c>
      <c r="AD10" s="38">
        <f t="shared" si="16"/>
        <v>19.460075373619233</v>
      </c>
    </row>
    <row r="11" spans="1:30" x14ac:dyDescent="0.25">
      <c r="A11" s="17" t="s">
        <v>8</v>
      </c>
      <c r="B11" s="153" t="e">
        <f>B9/SUM('[2]2016-2018 Plan_Non-Credit Life'!$I$5:INDEX('[2]2016-2018 Plan_Non-Credit Life'!$I$5:$T$5,1,A1))</f>
        <v>#REF!</v>
      </c>
      <c r="C11" s="38">
        <f>C9/SUM($S4:INDEX($S4:$AD4,$A$1))</f>
        <v>62.984388324040665</v>
      </c>
      <c r="D11" s="38">
        <f>D9/SUM($G4:INDEX($G4:$R4,$A$1))</f>
        <v>52.216246045694206</v>
      </c>
      <c r="E11" s="14">
        <f t="shared" si="0"/>
        <v>0.20622206868190607</v>
      </c>
      <c r="G11" s="6">
        <f>G9/G4</f>
        <v>28.353349726775953</v>
      </c>
      <c r="H11" s="6">
        <f t="shared" ref="H11:X11" si="17">H9/H4</f>
        <v>16.352476439790578</v>
      </c>
      <c r="I11" s="6">
        <f t="shared" si="17"/>
        <v>46.601291457286429</v>
      </c>
      <c r="J11" s="6">
        <f t="shared" si="17"/>
        <v>40.463202898550726</v>
      </c>
      <c r="K11" s="6">
        <f t="shared" si="17"/>
        <v>38.211195000000004</v>
      </c>
      <c r="L11" s="44">
        <f t="shared" si="17"/>
        <v>53.554338461538507</v>
      </c>
      <c r="M11" s="6">
        <f t="shared" si="17"/>
        <v>50.024120000000003</v>
      </c>
      <c r="N11" s="6">
        <f t="shared" si="17"/>
        <v>39.835558974358968</v>
      </c>
      <c r="O11" s="6">
        <f t="shared" si="17"/>
        <v>54.956790000000055</v>
      </c>
      <c r="P11" s="6">
        <f t="shared" si="17"/>
        <v>73.721426035502958</v>
      </c>
      <c r="Q11" s="6">
        <f t="shared" si="17"/>
        <v>99.748185628742519</v>
      </c>
      <c r="R11" s="44">
        <f t="shared" si="17"/>
        <v>99.507829411764689</v>
      </c>
      <c r="S11" s="6">
        <f t="shared" si="17"/>
        <v>33.110350877192985</v>
      </c>
      <c r="T11" s="6">
        <f t="shared" si="17"/>
        <v>53.691616766467121</v>
      </c>
      <c r="U11" s="6">
        <f t="shared" si="17"/>
        <v>84.296065476190478</v>
      </c>
      <c r="V11" s="6">
        <f t="shared" si="17"/>
        <v>64.327240437158466</v>
      </c>
      <c r="W11" s="6">
        <f t="shared" si="17"/>
        <v>84.352466666666658</v>
      </c>
      <c r="X11" s="132">
        <f t="shared" si="17"/>
        <v>88.317044198895033</v>
      </c>
      <c r="Y11" s="132">
        <f t="shared" ref="Y11:AD11" si="18">Y9/Y4</f>
        <v>70.799453551912563</v>
      </c>
      <c r="Z11" s="132">
        <f t="shared" si="18"/>
        <v>60.787865625000009</v>
      </c>
      <c r="AA11" s="38">
        <f t="shared" si="18"/>
        <v>65.638035031847068</v>
      </c>
      <c r="AB11" s="38">
        <f t="shared" si="18"/>
        <v>49.42345813953488</v>
      </c>
      <c r="AC11" s="38">
        <f t="shared" si="18"/>
        <v>43.838348773841965</v>
      </c>
      <c r="AD11" s="38">
        <f t="shared" si="18"/>
        <v>77.789755844155849</v>
      </c>
    </row>
    <row r="12" spans="1:30" x14ac:dyDescent="0.25">
      <c r="A12" s="17" t="s">
        <v>9</v>
      </c>
      <c r="B12" s="153" t="e">
        <f ca="1">B9/B5</f>
        <v>#REF!</v>
      </c>
      <c r="C12" s="38">
        <f>C9/C5</f>
        <v>81.823348956114188</v>
      </c>
      <c r="D12" s="38">
        <f>D9/D5</f>
        <v>74.604002510985566</v>
      </c>
      <c r="E12" s="14">
        <f t="shared" si="0"/>
        <v>9.676888909633985E-2</v>
      </c>
      <c r="G12" s="6">
        <f>G9/G5</f>
        <v>45.11880869565217</v>
      </c>
      <c r="H12" s="6">
        <f t="shared" ref="H12:X12" si="19">H9/H5</f>
        <v>39.041537500000004</v>
      </c>
      <c r="I12" s="6">
        <f t="shared" si="19"/>
        <v>74.189256</v>
      </c>
      <c r="J12" s="6">
        <f t="shared" si="19"/>
        <v>62.043577777777777</v>
      </c>
      <c r="K12" s="6">
        <f t="shared" si="19"/>
        <v>53.071104166666672</v>
      </c>
      <c r="L12" s="44">
        <f t="shared" si="19"/>
        <v>77.356266666666727</v>
      </c>
      <c r="M12" s="6">
        <f t="shared" si="19"/>
        <v>70.45650704225352</v>
      </c>
      <c r="N12" s="6">
        <f t="shared" si="19"/>
        <v>52.843088435374142</v>
      </c>
      <c r="O12" s="6">
        <f t="shared" si="19"/>
        <v>72.790450331125896</v>
      </c>
      <c r="P12" s="6">
        <f t="shared" si="19"/>
        <v>91.609713235294123</v>
      </c>
      <c r="Q12" s="6">
        <f t="shared" si="19"/>
        <v>118.14146808510638</v>
      </c>
      <c r="R12" s="44">
        <f t="shared" si="19"/>
        <v>119.12909154929577</v>
      </c>
      <c r="S12" s="6">
        <f t="shared" si="19"/>
        <v>42.89295454545455</v>
      </c>
      <c r="T12" s="6">
        <f t="shared" si="19"/>
        <v>69.507751937984565</v>
      </c>
      <c r="U12" s="6">
        <f t="shared" si="19"/>
        <v>99.033139860139855</v>
      </c>
      <c r="V12" s="6">
        <f t="shared" si="19"/>
        <v>78.47923333333334</v>
      </c>
      <c r="W12" s="6">
        <f t="shared" si="19"/>
        <v>103.99619178082192</v>
      </c>
      <c r="X12" s="132">
        <f t="shared" si="19"/>
        <v>109.48893835616438</v>
      </c>
      <c r="Y12" s="132">
        <f t="shared" ref="Y12:AD12" si="20">Y9/Y5</f>
        <v>89.353793103448268</v>
      </c>
      <c r="Z12" s="132">
        <f t="shared" si="20"/>
        <v>75.984832031250008</v>
      </c>
      <c r="AA12" s="38">
        <f t="shared" si="20"/>
        <v>86.235744769874387</v>
      </c>
      <c r="AB12" s="38">
        <f t="shared" si="20"/>
        <v>73.791968749999995</v>
      </c>
      <c r="AC12" s="38">
        <f t="shared" si="20"/>
        <v>61.642429118773947</v>
      </c>
      <c r="AD12" s="38">
        <f t="shared" si="20"/>
        <v>95.990564102564107</v>
      </c>
    </row>
    <row r="15" spans="1:30" s="1" customFormat="1" x14ac:dyDescent="0.25">
      <c r="A15" s="1" t="s">
        <v>47</v>
      </c>
      <c r="B15" s="1" t="str">
        <f>B2</f>
        <v>YTD Target '16</v>
      </c>
      <c r="C15" s="1" t="s">
        <v>10</v>
      </c>
      <c r="D15" s="1" t="s">
        <v>11</v>
      </c>
      <c r="E15" s="1" t="s">
        <v>12</v>
      </c>
      <c r="G15" s="1">
        <v>42020</v>
      </c>
      <c r="H15" s="1">
        <v>42051</v>
      </c>
      <c r="I15" s="1">
        <v>42079</v>
      </c>
      <c r="J15" s="1">
        <v>42110</v>
      </c>
      <c r="K15" s="1">
        <v>42140</v>
      </c>
      <c r="L15" s="1">
        <v>42171</v>
      </c>
      <c r="M15" s="1">
        <v>42201</v>
      </c>
      <c r="N15" s="1">
        <v>42232</v>
      </c>
      <c r="O15" s="1">
        <v>42263</v>
      </c>
      <c r="P15" s="1">
        <v>42293</v>
      </c>
      <c r="Q15" s="1">
        <v>42324</v>
      </c>
      <c r="R15" s="1">
        <v>42354</v>
      </c>
      <c r="S15" s="1">
        <v>42385</v>
      </c>
      <c r="T15" s="1">
        <v>42416</v>
      </c>
      <c r="U15" s="1">
        <v>42445</v>
      </c>
      <c r="V15" s="1">
        <v>42476</v>
      </c>
      <c r="W15" s="1">
        <v>42506</v>
      </c>
      <c r="X15" s="128">
        <v>42537</v>
      </c>
      <c r="Y15" s="1">
        <v>42567</v>
      </c>
      <c r="Z15" s="1">
        <v>42598</v>
      </c>
      <c r="AA15" s="1">
        <v>42629</v>
      </c>
      <c r="AB15" s="1">
        <v>42659</v>
      </c>
      <c r="AC15" s="1">
        <v>42690</v>
      </c>
      <c r="AD15" s="128">
        <v>42720</v>
      </c>
    </row>
    <row r="16" spans="1:30" x14ac:dyDescent="0.25">
      <c r="A16" s="17" t="s">
        <v>1</v>
      </c>
      <c r="B16" s="150">
        <f>'[2]2016-2018 Plan_Non-Credit Life'!$O$19</f>
        <v>170</v>
      </c>
      <c r="C16" s="11">
        <f>INDEX($S16:$AD16,$A$1)</f>
        <v>162</v>
      </c>
      <c r="D16" s="11">
        <f>INDEX($G16:$R16,$A$1)</f>
        <v>188</v>
      </c>
      <c r="E16" s="14">
        <f t="shared" ref="E16:E25" si="21">C16/D16-1</f>
        <v>-0.13829787234042556</v>
      </c>
      <c r="G16">
        <f>Data!B129</f>
        <v>170</v>
      </c>
      <c r="H16">
        <f>Data!C129</f>
        <v>170</v>
      </c>
      <c r="I16">
        <f>Data!D129</f>
        <v>174</v>
      </c>
      <c r="J16">
        <f>Data!E129</f>
        <v>175</v>
      </c>
      <c r="K16">
        <f>Data!F129</f>
        <v>176</v>
      </c>
      <c r="L16" s="4">
        <f>Data!G129</f>
        <v>176</v>
      </c>
      <c r="M16">
        <f>Data!H129</f>
        <v>176</v>
      </c>
      <c r="N16">
        <f>Data!I129</f>
        <v>177</v>
      </c>
      <c r="O16">
        <f>Data!J129</f>
        <v>178</v>
      </c>
      <c r="P16">
        <f>Data!K129</f>
        <v>184</v>
      </c>
      <c r="Q16">
        <f>Data!L129</f>
        <v>188</v>
      </c>
      <c r="R16" s="4">
        <f>Data!M129</f>
        <v>188</v>
      </c>
      <c r="S16">
        <f>Data!N129</f>
        <v>188</v>
      </c>
      <c r="T16">
        <f>Data!O129</f>
        <v>188</v>
      </c>
      <c r="U16">
        <f>Data!P129</f>
        <v>190</v>
      </c>
      <c r="V16">
        <f>Data!Q129</f>
        <v>191</v>
      </c>
      <c r="W16">
        <f>Data!R129</f>
        <v>191</v>
      </c>
      <c r="X16" s="127">
        <f>Data!S129</f>
        <v>191</v>
      </c>
      <c r="Y16" s="127">
        <f>Data!T129</f>
        <v>173</v>
      </c>
      <c r="Z16" s="127">
        <f>Data!U129</f>
        <v>161</v>
      </c>
      <c r="AA16" s="127">
        <f>Data!V129</f>
        <v>162</v>
      </c>
      <c r="AB16" s="127">
        <f>Data!W129</f>
        <v>162</v>
      </c>
      <c r="AC16" s="127">
        <f>Data!X129</f>
        <v>162</v>
      </c>
      <c r="AD16" s="127">
        <f>Data!Y129</f>
        <v>162</v>
      </c>
    </row>
    <row r="17" spans="1:30" x14ac:dyDescent="0.25">
      <c r="A17" s="17" t="s">
        <v>0</v>
      </c>
      <c r="B17" s="137" t="e">
        <f>INDEX('[2]2016-2018 Plan_Non-Credit Life'!$I20:'[2]2016-2018 Plan_Non-Credit Life'!$T20,$A$1)</f>
        <v>#REF!</v>
      </c>
      <c r="C17" s="11">
        <f>INDEX($S17:$AD17,$A$1)</f>
        <v>183</v>
      </c>
      <c r="D17" s="11">
        <f>INDEX($G17:$R17,$A$1)</f>
        <v>170</v>
      </c>
      <c r="E17" s="14">
        <f t="shared" si="21"/>
        <v>7.6470588235294068E-2</v>
      </c>
      <c r="G17">
        <f>Data!B75</f>
        <v>133</v>
      </c>
      <c r="H17">
        <f>Data!C75</f>
        <v>136</v>
      </c>
      <c r="I17">
        <f>Data!D75</f>
        <v>136</v>
      </c>
      <c r="J17">
        <f>Data!E75</f>
        <v>145</v>
      </c>
      <c r="K17">
        <f>Data!F75</f>
        <v>140</v>
      </c>
      <c r="L17" s="4">
        <f>Data!G75</f>
        <v>139</v>
      </c>
      <c r="M17">
        <f>Data!H75</f>
        <v>147</v>
      </c>
      <c r="N17">
        <f>Data!I75</f>
        <v>147</v>
      </c>
      <c r="O17">
        <f>Data!J75</f>
        <v>157</v>
      </c>
      <c r="P17">
        <f>Data!K75</f>
        <v>169</v>
      </c>
      <c r="Q17">
        <f>Data!L75</f>
        <v>167</v>
      </c>
      <c r="R17" s="4">
        <f>Data!M75</f>
        <v>170</v>
      </c>
      <c r="S17">
        <f>Data!N75</f>
        <v>171</v>
      </c>
      <c r="T17">
        <f>Data!O75</f>
        <v>167</v>
      </c>
      <c r="U17">
        <f>Data!P75</f>
        <v>168</v>
      </c>
      <c r="V17">
        <f>Data!Q75</f>
        <v>183</v>
      </c>
      <c r="W17">
        <f>Data!R75</f>
        <v>180</v>
      </c>
      <c r="X17" s="127">
        <f>Data!S75</f>
        <v>181</v>
      </c>
      <c r="Y17" s="127">
        <f>Data!T75</f>
        <v>183</v>
      </c>
      <c r="Z17" s="127">
        <f>Data!U75</f>
        <v>182</v>
      </c>
      <c r="AA17" s="127">
        <f>Data!V75</f>
        <v>166</v>
      </c>
      <c r="AB17" s="127">
        <f>Data!W75</f>
        <v>205</v>
      </c>
      <c r="AC17" s="127">
        <f>Data!X75</f>
        <v>185</v>
      </c>
      <c r="AD17" s="127">
        <f>Data!Y75</f>
        <v>183</v>
      </c>
    </row>
    <row r="18" spans="1:30" x14ac:dyDescent="0.25">
      <c r="A18" s="17" t="s">
        <v>2</v>
      </c>
      <c r="B18" s="137" t="e">
        <f>SUM('[2]2016-2018 Plan_Non-Credit Life'!$I$23:INDEX('[2]2016-2018 Plan_Non-Credit Life'!$I23:'[2]2016-2018 Plan_Non-Credit Life'!$T23,$A$1))</f>
        <v>#REF!</v>
      </c>
      <c r="C18" s="11">
        <f>SUM($S18:INDEX($S18:$AD18,$A$1))</f>
        <v>1773</v>
      </c>
      <c r="D18" s="11">
        <f>SUM($G18:INDEX($G18:$R18,$A$1))</f>
        <v>1274</v>
      </c>
      <c r="E18" s="14">
        <f t="shared" si="21"/>
        <v>0.39167974882260603</v>
      </c>
      <c r="G18">
        <f>Data!B84</f>
        <v>84</v>
      </c>
      <c r="H18">
        <f>Data!C84</f>
        <v>59</v>
      </c>
      <c r="I18">
        <f>Data!D84</f>
        <v>87</v>
      </c>
      <c r="J18">
        <f>Data!E84</f>
        <v>91</v>
      </c>
      <c r="K18">
        <f>Data!F84</f>
        <v>103</v>
      </c>
      <c r="L18" s="4">
        <f>Data!G84</f>
        <v>98</v>
      </c>
      <c r="M18">
        <f>Data!H84</f>
        <v>105</v>
      </c>
      <c r="N18">
        <f>Data!I84</f>
        <v>111</v>
      </c>
      <c r="O18">
        <f>Data!J84</f>
        <v>117</v>
      </c>
      <c r="P18">
        <f>Data!K84</f>
        <v>136</v>
      </c>
      <c r="Q18">
        <f>Data!L84</f>
        <v>141</v>
      </c>
      <c r="R18" s="4">
        <f>Data!M84</f>
        <v>142</v>
      </c>
      <c r="S18">
        <f>Data!N84</f>
        <v>132</v>
      </c>
      <c r="T18">
        <f>Data!O84</f>
        <v>129</v>
      </c>
      <c r="U18">
        <f>Data!P84</f>
        <v>143</v>
      </c>
      <c r="V18">
        <f>Data!Q84</f>
        <v>150</v>
      </c>
      <c r="W18">
        <f>Data!R84</f>
        <v>146</v>
      </c>
      <c r="X18" s="127">
        <f>Data!S84</f>
        <v>146</v>
      </c>
      <c r="Y18" s="127">
        <f>Data!T84</f>
        <v>145</v>
      </c>
      <c r="Z18" s="127">
        <f>Data!U84</f>
        <v>156</v>
      </c>
      <c r="AA18" s="127">
        <f>Data!V84</f>
        <v>148</v>
      </c>
      <c r="AB18" s="127">
        <f>Data!W84</f>
        <v>158</v>
      </c>
      <c r="AC18" s="127">
        <f>Data!X84</f>
        <v>149</v>
      </c>
      <c r="AD18" s="127">
        <f>Data!Y84</f>
        <v>171</v>
      </c>
    </row>
    <row r="19" spans="1:30" x14ac:dyDescent="0.25">
      <c r="A19" s="17" t="s">
        <v>3</v>
      </c>
      <c r="B19" s="146" t="e">
        <f>B18/B17/7</f>
        <v>#REF!</v>
      </c>
      <c r="C19" s="14">
        <f>C18/SUM($S17:INDEX($S17:$AD17,$A$1))</f>
        <v>0.82311977715877438</v>
      </c>
      <c r="D19" s="14">
        <f>D18/SUM($G17:INDEX($G17:$R17,$A$1))</f>
        <v>0.71332586786114227</v>
      </c>
      <c r="E19" s="14">
        <f t="shared" si="21"/>
        <v>0.15391830612682167</v>
      </c>
      <c r="G19" s="23">
        <f t="shared" ref="G19:Y19" si="22">G18/G17</f>
        <v>0.63157894736842102</v>
      </c>
      <c r="H19" s="23">
        <f t="shared" si="22"/>
        <v>0.43382352941176472</v>
      </c>
      <c r="I19" s="23">
        <f t="shared" si="22"/>
        <v>0.63970588235294112</v>
      </c>
      <c r="J19" s="23">
        <f t="shared" si="22"/>
        <v>0.62758620689655176</v>
      </c>
      <c r="K19" s="23">
        <f t="shared" si="22"/>
        <v>0.73571428571428577</v>
      </c>
      <c r="L19" s="41">
        <f t="shared" si="22"/>
        <v>0.70503597122302153</v>
      </c>
      <c r="M19" s="23">
        <f t="shared" si="22"/>
        <v>0.7142857142857143</v>
      </c>
      <c r="N19" s="23">
        <f t="shared" si="22"/>
        <v>0.75510204081632648</v>
      </c>
      <c r="O19" s="23">
        <f t="shared" si="22"/>
        <v>0.74522292993630568</v>
      </c>
      <c r="P19" s="23">
        <f t="shared" si="22"/>
        <v>0.80473372781065089</v>
      </c>
      <c r="Q19" s="23">
        <f t="shared" si="22"/>
        <v>0.84431137724550898</v>
      </c>
      <c r="R19" s="41">
        <f t="shared" si="22"/>
        <v>0.83529411764705885</v>
      </c>
      <c r="S19" s="23">
        <f t="shared" si="22"/>
        <v>0.77192982456140347</v>
      </c>
      <c r="T19" s="23">
        <f t="shared" si="22"/>
        <v>0.77245508982035926</v>
      </c>
      <c r="U19" s="23">
        <f t="shared" si="22"/>
        <v>0.85119047619047616</v>
      </c>
      <c r="V19" s="23">
        <f t="shared" si="22"/>
        <v>0.81967213114754101</v>
      </c>
      <c r="W19" s="23">
        <f t="shared" si="22"/>
        <v>0.81111111111111112</v>
      </c>
      <c r="X19" s="129">
        <f t="shared" si="22"/>
        <v>0.8066298342541437</v>
      </c>
      <c r="Y19" s="129">
        <f t="shared" si="22"/>
        <v>0.79234972677595628</v>
      </c>
      <c r="Z19" s="129">
        <f>Z18/Z17</f>
        <v>0.8571428571428571</v>
      </c>
      <c r="AA19" s="129">
        <f>AA18/AA17</f>
        <v>0.89156626506024095</v>
      </c>
      <c r="AB19" s="129">
        <f>AB18/AB17</f>
        <v>0.77073170731707319</v>
      </c>
      <c r="AC19" s="129">
        <f>AC18/AC17</f>
        <v>0.80540540540540539</v>
      </c>
      <c r="AD19" s="129">
        <f>AD18/AD17</f>
        <v>0.93442622950819676</v>
      </c>
    </row>
    <row r="20" spans="1:30" x14ac:dyDescent="0.25">
      <c r="A20" s="17" t="s">
        <v>4</v>
      </c>
      <c r="B20" s="137" t="e">
        <f>SUM('[2]2016-2018 Plan_Non-Credit Life'!$I$27:INDEX('[2]2016-2018 Plan_Non-Credit Life'!$I27:'[2]2016-2018 Plan_Non-Credit Life'!$T27,$A$1))</f>
        <v>#REF!</v>
      </c>
      <c r="C20" s="11">
        <f>SUM($S20:INDEX($S20:$AD20,$A$1))</f>
        <v>9680</v>
      </c>
      <c r="D20" s="11">
        <f>SUM($G20:INDEX($G20:$R20,$A$1))</f>
        <v>5970</v>
      </c>
      <c r="E20" s="14">
        <f t="shared" si="21"/>
        <v>0.62144053601340032</v>
      </c>
      <c r="G20">
        <f>Data!B48</f>
        <v>224</v>
      </c>
      <c r="H20">
        <f>Data!C48</f>
        <v>131</v>
      </c>
      <c r="I20">
        <f>Data!D48</f>
        <v>413</v>
      </c>
      <c r="J20">
        <f>Data!E48</f>
        <v>388</v>
      </c>
      <c r="K20">
        <f>Data!F48</f>
        <v>356</v>
      </c>
      <c r="L20" s="4">
        <f>Data!G48</f>
        <v>485</v>
      </c>
      <c r="M20">
        <f>Data!H48</f>
        <v>480</v>
      </c>
      <c r="N20">
        <f>Data!I48</f>
        <v>397</v>
      </c>
      <c r="O20">
        <f>Data!J48</f>
        <v>491</v>
      </c>
      <c r="P20">
        <f>Data!K48</f>
        <v>701</v>
      </c>
      <c r="Q20">
        <f>Data!L48</f>
        <v>940</v>
      </c>
      <c r="R20" s="4">
        <f>Data!M48</f>
        <v>964</v>
      </c>
      <c r="S20">
        <f>Data!N48</f>
        <v>359</v>
      </c>
      <c r="T20">
        <f>Data!O48</f>
        <v>528</v>
      </c>
      <c r="U20">
        <f>Data!P48</f>
        <v>853</v>
      </c>
      <c r="V20">
        <f>Data!Q48</f>
        <v>704</v>
      </c>
      <c r="W20">
        <f>Data!R48</f>
        <v>873</v>
      </c>
      <c r="X20" s="127">
        <f>Data!S48</f>
        <v>902</v>
      </c>
      <c r="Y20" s="127">
        <f>Data!T48</f>
        <v>744</v>
      </c>
      <c r="Z20" s="127">
        <f>Data!U48</f>
        <v>906</v>
      </c>
      <c r="AA20" s="127">
        <f>Data!V48</f>
        <v>903</v>
      </c>
      <c r="AB20" s="127">
        <f>Data!W48</f>
        <v>959</v>
      </c>
      <c r="AC20" s="127">
        <f>Data!X48</f>
        <v>693</v>
      </c>
      <c r="AD20" s="127">
        <f>Data!Y48</f>
        <v>1256</v>
      </c>
    </row>
    <row r="21" spans="1:30" x14ac:dyDescent="0.25">
      <c r="A21" s="17" t="s">
        <v>5</v>
      </c>
      <c r="B21" s="144" t="e">
        <f>B20/B18</f>
        <v>#REF!</v>
      </c>
      <c r="C21" s="38">
        <f>C20/C18</f>
        <v>5.4596728708403832</v>
      </c>
      <c r="D21" s="38">
        <f>D20/D18</f>
        <v>4.6860282574568286</v>
      </c>
      <c r="E21" s="14">
        <f t="shared" si="21"/>
        <v>0.16509601967347542</v>
      </c>
      <c r="G21" s="38">
        <f t="shared" ref="G21:Y21" si="23">G20/G18</f>
        <v>2.6666666666666665</v>
      </c>
      <c r="H21" s="38">
        <f t="shared" si="23"/>
        <v>2.2203389830508473</v>
      </c>
      <c r="I21" s="38">
        <f t="shared" si="23"/>
        <v>4.7471264367816088</v>
      </c>
      <c r="J21" s="38">
        <f t="shared" si="23"/>
        <v>4.2637362637362637</v>
      </c>
      <c r="K21" s="38">
        <f t="shared" si="23"/>
        <v>3.4563106796116503</v>
      </c>
      <c r="L21" s="42">
        <f t="shared" si="23"/>
        <v>4.9489795918367347</v>
      </c>
      <c r="M21" s="38">
        <f t="shared" si="23"/>
        <v>4.5714285714285712</v>
      </c>
      <c r="N21" s="38">
        <f t="shared" si="23"/>
        <v>3.5765765765765765</v>
      </c>
      <c r="O21" s="38">
        <f t="shared" si="23"/>
        <v>4.1965811965811968</v>
      </c>
      <c r="P21" s="38">
        <f t="shared" si="23"/>
        <v>5.1544117647058822</v>
      </c>
      <c r="Q21" s="38">
        <f t="shared" si="23"/>
        <v>6.666666666666667</v>
      </c>
      <c r="R21" s="42">
        <f t="shared" si="23"/>
        <v>6.788732394366197</v>
      </c>
      <c r="S21" s="38">
        <f t="shared" si="23"/>
        <v>2.7196969696969697</v>
      </c>
      <c r="T21" s="38">
        <f t="shared" si="23"/>
        <v>4.0930232558139537</v>
      </c>
      <c r="U21" s="38">
        <f t="shared" si="23"/>
        <v>5.965034965034965</v>
      </c>
      <c r="V21" s="38">
        <f t="shared" si="23"/>
        <v>4.6933333333333334</v>
      </c>
      <c r="W21" s="38">
        <f t="shared" si="23"/>
        <v>5.9794520547945202</v>
      </c>
      <c r="X21" s="130">
        <f t="shared" si="23"/>
        <v>6.1780821917808222</v>
      </c>
      <c r="Y21" s="130">
        <f t="shared" si="23"/>
        <v>5.1310344827586203</v>
      </c>
      <c r="Z21" s="130">
        <f>Z20/Z18</f>
        <v>5.8076923076923075</v>
      </c>
      <c r="AA21" s="130">
        <f>AA20/AA18</f>
        <v>6.1013513513513518</v>
      </c>
      <c r="AB21" s="130">
        <f>AB20/AB18</f>
        <v>6.0696202531645573</v>
      </c>
      <c r="AC21" s="130">
        <f>AC20/AC18</f>
        <v>4.651006711409396</v>
      </c>
      <c r="AD21" s="130">
        <f>AD20/AD18</f>
        <v>7.3450292397660819</v>
      </c>
    </row>
    <row r="22" spans="1:30" x14ac:dyDescent="0.25">
      <c r="A22" s="17" t="s">
        <v>6</v>
      </c>
      <c r="B22" s="137">
        <f>SUM(Data!N6:INDEX(Data!$N6:'Data'!$Y6,$A$1))</f>
        <v>149109.77900000001</v>
      </c>
      <c r="C22" s="11">
        <f>SUM($S22:INDEX($S22:$AD22,$A$1))</f>
        <v>172762.77499999997</v>
      </c>
      <c r="D22" s="11">
        <f>SUM($G22:INDEX($G22:$R22,$A$1))</f>
        <v>104605.62500000003</v>
      </c>
      <c r="E22" s="14">
        <f t="shared" si="21"/>
        <v>0.65156295371305251</v>
      </c>
      <c r="G22" s="3">
        <f>Data!B19</f>
        <v>3667.1289999999999</v>
      </c>
      <c r="H22" s="3">
        <f>Data!C19</f>
        <v>2294.451</v>
      </c>
      <c r="I22" s="3">
        <f>Data!D19</f>
        <v>7358.8670000000002</v>
      </c>
      <c r="J22" s="3">
        <f>Data!E19</f>
        <v>6516.1009999999997</v>
      </c>
      <c r="K22" s="3">
        <f>Data!F19</f>
        <v>6568.7520000000004</v>
      </c>
      <c r="L22" s="43">
        <f>Data!G19</f>
        <v>8581.5100000000093</v>
      </c>
      <c r="M22" s="3">
        <f>Data!H19</f>
        <v>8268.277</v>
      </c>
      <c r="N22" s="3">
        <f>Data!I19</f>
        <v>6449.6949999999997</v>
      </c>
      <c r="O22" s="3">
        <f>Data!J19</f>
        <v>8693.0870000000104</v>
      </c>
      <c r="P22" s="3">
        <f>Data!K19</f>
        <v>12623.291999999999</v>
      </c>
      <c r="Q22" s="3">
        <f>Data!L19</f>
        <v>16668.133000000002</v>
      </c>
      <c r="R22" s="43">
        <f>Data!M19</f>
        <v>16916.330999999998</v>
      </c>
      <c r="S22" s="3">
        <f>Data!N19</f>
        <v>5683.9350000000004</v>
      </c>
      <c r="T22" s="3">
        <f>Data!O19</f>
        <v>8966.5000000000091</v>
      </c>
      <c r="U22" s="3">
        <f>Data!P19</f>
        <v>14179.177</v>
      </c>
      <c r="V22" s="3">
        <f>Data!Q19</f>
        <v>11771.885</v>
      </c>
      <c r="W22" s="3">
        <f>Data!R19</f>
        <v>15183.444</v>
      </c>
      <c r="X22" s="133">
        <f>Data!S19</f>
        <v>16008.795</v>
      </c>
      <c r="Y22" s="133">
        <f>Data!T19</f>
        <v>12956.3</v>
      </c>
      <c r="Z22" s="133">
        <f>Data!U19</f>
        <v>16443.667000000001</v>
      </c>
      <c r="AA22" s="133">
        <f>Data!V19</f>
        <v>17583.61599999998</v>
      </c>
      <c r="AB22" s="133">
        <f>Data!W19</f>
        <v>16589.584999999999</v>
      </c>
      <c r="AC22" s="133">
        <f>Data!X19</f>
        <v>12806.273000000001</v>
      </c>
      <c r="AD22" s="133">
        <f>Data!Y19</f>
        <v>24589.598000000002</v>
      </c>
    </row>
    <row r="23" spans="1:30" x14ac:dyDescent="0.25">
      <c r="A23" s="17" t="s">
        <v>7</v>
      </c>
      <c r="B23" s="144" t="e">
        <f>B22/B20</f>
        <v>#REF!</v>
      </c>
      <c r="C23" s="38">
        <f>C22/C20</f>
        <v>17.847394111570246</v>
      </c>
      <c r="D23" s="38">
        <f>D22/D20</f>
        <v>17.521880234505868</v>
      </c>
      <c r="E23" s="14">
        <f t="shared" si="21"/>
        <v>1.8577565461459056E-2</v>
      </c>
      <c r="G23" s="6">
        <f t="shared" ref="G23:Y23" si="24">G22/G20</f>
        <v>16.371111607142858</v>
      </c>
      <c r="H23" s="6">
        <f t="shared" si="24"/>
        <v>17.514893129770993</v>
      </c>
      <c r="I23" s="6">
        <f t="shared" si="24"/>
        <v>17.818079903147702</v>
      </c>
      <c r="J23" s="6">
        <f t="shared" si="24"/>
        <v>16.794074742268041</v>
      </c>
      <c r="K23" s="6">
        <f t="shared" si="24"/>
        <v>18.451550561797752</v>
      </c>
      <c r="L23" s="44">
        <f t="shared" si="24"/>
        <v>17.693835051546412</v>
      </c>
      <c r="M23" s="6">
        <f t="shared" si="24"/>
        <v>17.225577083333334</v>
      </c>
      <c r="N23" s="6">
        <f t="shared" si="24"/>
        <v>16.246083123425691</v>
      </c>
      <c r="O23" s="6">
        <f t="shared" si="24"/>
        <v>17.704861507128332</v>
      </c>
      <c r="P23" s="6">
        <f t="shared" si="24"/>
        <v>18.007549215406563</v>
      </c>
      <c r="Q23" s="6">
        <f t="shared" si="24"/>
        <v>17.732056382978726</v>
      </c>
      <c r="R23" s="44">
        <f t="shared" si="24"/>
        <v>17.548061203319499</v>
      </c>
      <c r="S23" s="6">
        <f t="shared" si="24"/>
        <v>15.832688022284124</v>
      </c>
      <c r="T23" s="6">
        <f t="shared" si="24"/>
        <v>16.982007575757592</v>
      </c>
      <c r="U23" s="6">
        <f t="shared" si="24"/>
        <v>16.6227162954279</v>
      </c>
      <c r="V23" s="6">
        <f t="shared" si="24"/>
        <v>16.721427556818181</v>
      </c>
      <c r="W23" s="6">
        <f t="shared" si="24"/>
        <v>17.392261168384881</v>
      </c>
      <c r="X23" s="132">
        <f t="shared" si="24"/>
        <v>17.748109756097563</v>
      </c>
      <c r="Y23" s="132">
        <f t="shared" si="24"/>
        <v>17.414381720430107</v>
      </c>
      <c r="Z23" s="132">
        <f>Z22/Z20</f>
        <v>18.149742825607067</v>
      </c>
      <c r="AA23" s="132">
        <f>AA22/AA20</f>
        <v>19.472442967884806</v>
      </c>
      <c r="AB23" s="132">
        <f>AB22/AB20</f>
        <v>17.298837330552658</v>
      </c>
      <c r="AC23" s="132">
        <f>AC22/AC20</f>
        <v>18.47947041847042</v>
      </c>
      <c r="AD23" s="132">
        <f>AD22/AD20</f>
        <v>19.57770541401274</v>
      </c>
    </row>
    <row r="24" spans="1:30" x14ac:dyDescent="0.25">
      <c r="A24" s="17" t="s">
        <v>8</v>
      </c>
      <c r="B24" s="145" t="e">
        <f>B22/B17</f>
        <v>#REF!</v>
      </c>
      <c r="C24" s="38">
        <f>C22/SUM($S17:INDEX($S17:$AD17,$A$1))</f>
        <v>80.205559424326822</v>
      </c>
      <c r="D24" s="38">
        <f>D22/SUM($G17:INDEX($G17:$R17,$A$1))</f>
        <v>58.569778835386352</v>
      </c>
      <c r="E24" s="14">
        <f t="shared" si="21"/>
        <v>0.36940178056244743</v>
      </c>
      <c r="G24" s="6">
        <f>G22/G17</f>
        <v>27.572398496240602</v>
      </c>
      <c r="H24" s="6">
        <f t="shared" ref="H24:X24" si="25">H22/H17</f>
        <v>16.870963235294116</v>
      </c>
      <c r="I24" s="6">
        <f t="shared" si="25"/>
        <v>54.109316176470593</v>
      </c>
      <c r="J24" s="6">
        <f t="shared" si="25"/>
        <v>44.938627586206891</v>
      </c>
      <c r="K24" s="6">
        <f t="shared" si="25"/>
        <v>46.919657142857147</v>
      </c>
      <c r="L24" s="44">
        <f t="shared" si="25"/>
        <v>61.737482014388554</v>
      </c>
      <c r="M24" s="6">
        <f t="shared" si="25"/>
        <v>56.24678231292517</v>
      </c>
      <c r="N24" s="6">
        <f t="shared" si="25"/>
        <v>43.875476190476185</v>
      </c>
      <c r="O24" s="6">
        <f t="shared" si="25"/>
        <v>55.369980891719813</v>
      </c>
      <c r="P24" s="6">
        <f t="shared" si="25"/>
        <v>74.69403550295857</v>
      </c>
      <c r="Q24" s="6">
        <f t="shared" si="25"/>
        <v>99.809179640718568</v>
      </c>
      <c r="R24" s="44">
        <f t="shared" si="25"/>
        <v>99.507829411764689</v>
      </c>
      <c r="S24" s="6">
        <f t="shared" si="25"/>
        <v>33.23938596491228</v>
      </c>
      <c r="T24" s="6">
        <f t="shared" si="25"/>
        <v>53.691616766467121</v>
      </c>
      <c r="U24" s="6">
        <f t="shared" si="25"/>
        <v>84.399863095238089</v>
      </c>
      <c r="V24" s="6">
        <f t="shared" si="25"/>
        <v>64.327240437158466</v>
      </c>
      <c r="W24" s="6">
        <f t="shared" si="25"/>
        <v>84.352466666666658</v>
      </c>
      <c r="X24" s="132">
        <f t="shared" si="25"/>
        <v>88.446381215469614</v>
      </c>
      <c r="Y24" s="132">
        <f t="shared" ref="Y24:AD24" si="26">Y22/Y17</f>
        <v>70.799453551912563</v>
      </c>
      <c r="Z24" s="132">
        <f t="shared" si="26"/>
        <v>90.349818681318695</v>
      </c>
      <c r="AA24" s="132">
        <f t="shared" si="26"/>
        <v>105.92539759036133</v>
      </c>
      <c r="AB24" s="132">
        <f t="shared" si="26"/>
        <v>80.924804878048775</v>
      </c>
      <c r="AC24" s="132">
        <f t="shared" si="26"/>
        <v>69.223097297297301</v>
      </c>
      <c r="AD24" s="132">
        <f t="shared" si="26"/>
        <v>134.3693879781421</v>
      </c>
    </row>
    <row r="25" spans="1:30" x14ac:dyDescent="0.25">
      <c r="A25" s="17" t="s">
        <v>9</v>
      </c>
      <c r="B25" s="145" t="e">
        <f>B22/B18</f>
        <v>#REF!</v>
      </c>
      <c r="C25" s="38">
        <f>C22/C18</f>
        <v>97.440933446136469</v>
      </c>
      <c r="D25" s="38">
        <f>D22/D18</f>
        <v>82.108025902668786</v>
      </c>
      <c r="E25" s="14">
        <f t="shared" si="21"/>
        <v>0.18674066724784466</v>
      </c>
      <c r="G25" s="6">
        <f>G22/G18</f>
        <v>43.656297619047621</v>
      </c>
      <c r="H25" s="6">
        <f t="shared" ref="H25:X25" si="27">H22/H18</f>
        <v>38.889000000000003</v>
      </c>
      <c r="I25" s="6">
        <f t="shared" si="27"/>
        <v>84.584678160919538</v>
      </c>
      <c r="J25" s="6">
        <f t="shared" si="27"/>
        <v>71.605505494505493</v>
      </c>
      <c r="K25" s="6">
        <f t="shared" si="27"/>
        <v>63.774291262135925</v>
      </c>
      <c r="L25" s="44">
        <f t="shared" si="27"/>
        <v>87.566428571428673</v>
      </c>
      <c r="M25" s="6">
        <f t="shared" si="27"/>
        <v>78.745495238095245</v>
      </c>
      <c r="N25" s="6">
        <f t="shared" si="27"/>
        <v>58.105360360360358</v>
      </c>
      <c r="O25" s="6">
        <f t="shared" si="27"/>
        <v>74.299888888888972</v>
      </c>
      <c r="P25" s="6">
        <f t="shared" si="27"/>
        <v>92.818323529411757</v>
      </c>
      <c r="Q25" s="6">
        <f t="shared" si="27"/>
        <v>118.21370921985817</v>
      </c>
      <c r="R25" s="44">
        <f t="shared" si="27"/>
        <v>119.12909154929577</v>
      </c>
      <c r="S25" s="6">
        <f t="shared" si="27"/>
        <v>43.060113636363639</v>
      </c>
      <c r="T25" s="6">
        <f t="shared" si="27"/>
        <v>69.507751937984565</v>
      </c>
      <c r="U25" s="6">
        <f t="shared" si="27"/>
        <v>99.15508391608391</v>
      </c>
      <c r="V25" s="6">
        <f t="shared" si="27"/>
        <v>78.47923333333334</v>
      </c>
      <c r="W25" s="6">
        <f t="shared" si="27"/>
        <v>103.99619178082192</v>
      </c>
      <c r="X25" s="132">
        <f t="shared" si="27"/>
        <v>109.64928082191781</v>
      </c>
      <c r="Y25" s="132">
        <f t="shared" ref="Y25:AD25" si="28">Y22/Y18</f>
        <v>89.353793103448268</v>
      </c>
      <c r="Z25" s="132">
        <f t="shared" si="28"/>
        <v>105.4081217948718</v>
      </c>
      <c r="AA25" s="132">
        <f t="shared" si="28"/>
        <v>118.80821621621608</v>
      </c>
      <c r="AB25" s="132">
        <f t="shared" si="28"/>
        <v>104.99737341772152</v>
      </c>
      <c r="AC25" s="132">
        <f t="shared" si="28"/>
        <v>85.948140939597323</v>
      </c>
      <c r="AD25" s="132">
        <f t="shared" si="28"/>
        <v>143.79881871345032</v>
      </c>
    </row>
    <row r="28" spans="1:30" s="1" customFormat="1" x14ac:dyDescent="0.25">
      <c r="A28" s="1" t="s">
        <v>48</v>
      </c>
      <c r="B28" s="1" t="str">
        <f>B15</f>
        <v>YTD Target '16</v>
      </c>
      <c r="C28" s="1" t="s">
        <v>10</v>
      </c>
      <c r="D28" s="1" t="s">
        <v>11</v>
      </c>
      <c r="E28" s="1" t="s">
        <v>12</v>
      </c>
      <c r="G28" s="1">
        <v>42020</v>
      </c>
      <c r="H28" s="1">
        <v>42051</v>
      </c>
      <c r="I28" s="1">
        <v>42079</v>
      </c>
      <c r="J28" s="1">
        <v>42110</v>
      </c>
      <c r="K28" s="1">
        <v>42140</v>
      </c>
      <c r="L28" s="1">
        <v>42171</v>
      </c>
      <c r="M28" s="1">
        <v>42201</v>
      </c>
      <c r="N28" s="1">
        <v>42232</v>
      </c>
      <c r="O28" s="1">
        <v>42263</v>
      </c>
      <c r="P28" s="1">
        <v>42293</v>
      </c>
      <c r="Q28" s="1">
        <v>42324</v>
      </c>
      <c r="R28" s="1">
        <v>42354</v>
      </c>
      <c r="S28" s="1">
        <v>42385</v>
      </c>
      <c r="T28" s="1">
        <v>42416</v>
      </c>
      <c r="U28" s="1">
        <v>42445</v>
      </c>
      <c r="V28" s="1">
        <v>42476</v>
      </c>
      <c r="W28" s="1">
        <v>42506</v>
      </c>
      <c r="X28" s="128">
        <v>42537</v>
      </c>
      <c r="Y28" s="1">
        <v>42567</v>
      </c>
      <c r="Z28" s="1">
        <v>42598</v>
      </c>
      <c r="AA28" s="1">
        <v>42629</v>
      </c>
      <c r="AB28" s="1">
        <v>42659</v>
      </c>
      <c r="AC28" s="1">
        <v>42690</v>
      </c>
      <c r="AD28" s="128">
        <v>42720</v>
      </c>
    </row>
    <row r="29" spans="1:30" x14ac:dyDescent="0.25">
      <c r="A29" s="17" t="s">
        <v>1</v>
      </c>
      <c r="B29" s="150">
        <f>'[2]2016-2018 Plan_Non-Credit Life'!$O$33</f>
        <v>90</v>
      </c>
      <c r="C29" s="11">
        <f>INDEX($S29:$AD29,$A$1)</f>
        <v>0</v>
      </c>
      <c r="D29" s="11">
        <f>INDEX($G29:$R29,$A$1)</f>
        <v>0</v>
      </c>
      <c r="E29" s="14" t="e">
        <f t="shared" ref="E29:E38" si="29">C29/D29-1</f>
        <v>#DIV/0!</v>
      </c>
      <c r="G29" s="37">
        <f>Data!B133</f>
        <v>0</v>
      </c>
      <c r="H29" s="37">
        <f>Data!C133</f>
        <v>0</v>
      </c>
      <c r="I29" s="37">
        <f>Data!D133</f>
        <v>0</v>
      </c>
      <c r="J29" s="37">
        <f>Data!E133</f>
        <v>0</v>
      </c>
      <c r="K29" s="37">
        <f>Data!F133</f>
        <v>0</v>
      </c>
      <c r="L29" s="45">
        <f>Data!G133</f>
        <v>0</v>
      </c>
      <c r="M29" s="37">
        <f>Data!H133</f>
        <v>0</v>
      </c>
      <c r="N29" s="37">
        <f>Data!I133</f>
        <v>0</v>
      </c>
      <c r="O29" s="37">
        <f>Data!J133</f>
        <v>0</v>
      </c>
      <c r="P29" s="37">
        <f>Data!K133</f>
        <v>0</v>
      </c>
      <c r="Q29" s="37">
        <f>Data!L133</f>
        <v>0</v>
      </c>
      <c r="R29" s="45">
        <f>Data!M133</f>
        <v>0</v>
      </c>
      <c r="S29" s="37">
        <f>Data!N133</f>
        <v>0</v>
      </c>
      <c r="T29" s="37">
        <f>Data!O133</f>
        <v>0</v>
      </c>
      <c r="U29" s="37">
        <f>Data!P133</f>
        <v>0</v>
      </c>
      <c r="V29" s="37">
        <f>Data!Q133</f>
        <v>0</v>
      </c>
      <c r="W29" s="37">
        <f>Data!R133</f>
        <v>0</v>
      </c>
      <c r="X29" s="134">
        <f>Data!S133</f>
        <v>0</v>
      </c>
      <c r="Y29" s="134">
        <f>Data!T133</f>
        <v>0</v>
      </c>
      <c r="Z29" s="134">
        <f>Data!U133</f>
        <v>0</v>
      </c>
      <c r="AA29" s="134">
        <f>Data!V133</f>
        <v>0</v>
      </c>
      <c r="AB29" s="134">
        <f>Data!W133</f>
        <v>0</v>
      </c>
      <c r="AC29" s="134">
        <f>Data!X133</f>
        <v>0</v>
      </c>
      <c r="AD29" s="134">
        <f>Data!Y133</f>
        <v>0</v>
      </c>
    </row>
    <row r="30" spans="1:30" x14ac:dyDescent="0.25">
      <c r="A30" s="17" t="s">
        <v>0</v>
      </c>
      <c r="B30" s="150">
        <f>'[2]2016-2018 Plan_Non-Credit Life'!$O$34</f>
        <v>90</v>
      </c>
      <c r="C30" s="11">
        <f>INDEX($S30:$AD30,$A$1)</f>
        <v>0</v>
      </c>
      <c r="D30" s="11">
        <f>INDEX($G30:$R30,$A$1)</f>
        <v>0</v>
      </c>
      <c r="E30" s="14" t="e">
        <f t="shared" si="29"/>
        <v>#DIV/0!</v>
      </c>
      <c r="G30" s="37">
        <f>Data!B79</f>
        <v>0</v>
      </c>
      <c r="H30" s="37">
        <f>Data!C79</f>
        <v>0</v>
      </c>
      <c r="I30" s="37">
        <f>Data!D79</f>
        <v>0</v>
      </c>
      <c r="J30" s="37">
        <f>Data!E79</f>
        <v>0</v>
      </c>
      <c r="K30" s="37">
        <f>Data!F79</f>
        <v>0</v>
      </c>
      <c r="L30" s="45">
        <f>Data!G79</f>
        <v>0</v>
      </c>
      <c r="M30" s="37">
        <f>Data!H79</f>
        <v>0</v>
      </c>
      <c r="N30" s="37">
        <f>Data!I79</f>
        <v>0</v>
      </c>
      <c r="O30" s="37">
        <f>Data!J79</f>
        <v>0</v>
      </c>
      <c r="P30" s="37">
        <f>Data!K79</f>
        <v>0</v>
      </c>
      <c r="Q30" s="37">
        <f>Data!L79</f>
        <v>0</v>
      </c>
      <c r="R30" s="45">
        <f>Data!M79</f>
        <v>0</v>
      </c>
      <c r="S30" s="37">
        <f>Data!N79</f>
        <v>0</v>
      </c>
      <c r="T30" s="37">
        <f>Data!O79</f>
        <v>0</v>
      </c>
      <c r="U30" s="37">
        <f>Data!P79</f>
        <v>0</v>
      </c>
      <c r="V30" s="37">
        <f>Data!Q79</f>
        <v>0</v>
      </c>
      <c r="W30" s="37">
        <f>Data!R79</f>
        <v>0</v>
      </c>
      <c r="X30" s="134">
        <f>Data!S79</f>
        <v>0</v>
      </c>
      <c r="Y30" s="134">
        <f>Data!T79</f>
        <v>0</v>
      </c>
      <c r="Z30" s="134">
        <f>Data!U79</f>
        <v>0</v>
      </c>
      <c r="AA30" s="134">
        <f>Data!V79</f>
        <v>0</v>
      </c>
      <c r="AB30" s="134">
        <f>Data!W79</f>
        <v>0</v>
      </c>
      <c r="AC30" s="134">
        <f>Data!X79</f>
        <v>0</v>
      </c>
      <c r="AD30" s="134">
        <f>Data!Y79</f>
        <v>0</v>
      </c>
    </row>
    <row r="31" spans="1:30" x14ac:dyDescent="0.25">
      <c r="A31" s="17" t="s">
        <v>2</v>
      </c>
      <c r="B31" s="137" t="e">
        <f>SUM('[2]2016-2018 Plan_Non-Credit Life'!$I$37:INDEX('[2]2016-2018 Plan_Non-Credit Life'!$I37:'[2]2016-2018 Plan_Non-Credit Life'!$T37,$A$1))</f>
        <v>#REF!</v>
      </c>
      <c r="C31" s="11">
        <f>SUM($S31:INDEX($S31:$AD31,$A$1))</f>
        <v>0</v>
      </c>
      <c r="D31" s="11">
        <f>SUM($G31:INDEX($G31:$R31,$A$1))</f>
        <v>0</v>
      </c>
      <c r="E31" s="14" t="e">
        <f t="shared" si="29"/>
        <v>#DIV/0!</v>
      </c>
      <c r="G31" s="40">
        <f>Data!B88</f>
        <v>0</v>
      </c>
      <c r="H31" s="40">
        <f>Data!C88</f>
        <v>0</v>
      </c>
      <c r="I31" s="40">
        <f>Data!D88</f>
        <v>0</v>
      </c>
      <c r="J31" s="40">
        <f>Data!E88</f>
        <v>0</v>
      </c>
      <c r="K31" s="40">
        <f>Data!F88</f>
        <v>0</v>
      </c>
      <c r="L31" s="46">
        <f>Data!G88</f>
        <v>0</v>
      </c>
      <c r="M31" s="40">
        <f>Data!H88</f>
        <v>0</v>
      </c>
      <c r="N31" s="40">
        <f>Data!I88</f>
        <v>0</v>
      </c>
      <c r="O31" s="40">
        <f>Data!J88</f>
        <v>0</v>
      </c>
      <c r="P31" s="40">
        <f>Data!K88</f>
        <v>0</v>
      </c>
      <c r="Q31" s="40">
        <f>Data!L88</f>
        <v>0</v>
      </c>
      <c r="R31" s="46">
        <f>Data!M88</f>
        <v>0</v>
      </c>
      <c r="S31" s="40">
        <f>Data!N88</f>
        <v>0</v>
      </c>
      <c r="T31" s="40">
        <f>Data!O88</f>
        <v>0</v>
      </c>
      <c r="U31" s="40">
        <f>Data!P88</f>
        <v>0</v>
      </c>
      <c r="V31" s="40">
        <f>Data!Q88</f>
        <v>0</v>
      </c>
      <c r="W31" s="40">
        <f>Data!R88</f>
        <v>0</v>
      </c>
      <c r="X31" s="135">
        <f>Data!S88</f>
        <v>0</v>
      </c>
      <c r="Y31" s="135">
        <f>Data!T88</f>
        <v>0</v>
      </c>
      <c r="Z31" s="135">
        <f>Data!U88</f>
        <v>0</v>
      </c>
      <c r="AA31" s="135">
        <f>Data!V88</f>
        <v>0</v>
      </c>
      <c r="AB31" s="135">
        <f>Data!W88</f>
        <v>0</v>
      </c>
      <c r="AC31" s="135">
        <f>Data!X88</f>
        <v>0</v>
      </c>
      <c r="AD31" s="135">
        <f>Data!Y88</f>
        <v>0</v>
      </c>
    </row>
    <row r="32" spans="1:30" x14ac:dyDescent="0.25">
      <c r="A32" s="17" t="s">
        <v>3</v>
      </c>
      <c r="B32" s="150"/>
      <c r="C32" s="14" t="e">
        <f>C31/SUM($S30:INDEX($S30:$AD30,$A$1))</f>
        <v>#DIV/0!</v>
      </c>
      <c r="D32" s="14" t="e">
        <f>D31/SUM($G30:INDEX($G30:$R30,$A$1))</f>
        <v>#DIV/0!</v>
      </c>
      <c r="E32" s="14" t="e">
        <f t="shared" si="29"/>
        <v>#DIV/0!</v>
      </c>
      <c r="G32" s="23">
        <f>IFERROR(G31/G30,0)</f>
        <v>0</v>
      </c>
      <c r="H32" s="23">
        <f t="shared" ref="H32:X32" si="30">IFERROR(H31/H30,0)</f>
        <v>0</v>
      </c>
      <c r="I32" s="23">
        <f t="shared" si="30"/>
        <v>0</v>
      </c>
      <c r="J32" s="23">
        <f t="shared" si="30"/>
        <v>0</v>
      </c>
      <c r="K32" s="23">
        <f t="shared" si="30"/>
        <v>0</v>
      </c>
      <c r="L32" s="41">
        <f t="shared" si="30"/>
        <v>0</v>
      </c>
      <c r="M32" s="23">
        <f t="shared" si="30"/>
        <v>0</v>
      </c>
      <c r="N32" s="23">
        <f t="shared" si="30"/>
        <v>0</v>
      </c>
      <c r="O32" s="23">
        <f t="shared" si="30"/>
        <v>0</v>
      </c>
      <c r="P32" s="23">
        <f t="shared" si="30"/>
        <v>0</v>
      </c>
      <c r="Q32" s="23">
        <f t="shared" si="30"/>
        <v>0</v>
      </c>
      <c r="R32" s="41">
        <f t="shared" si="30"/>
        <v>0</v>
      </c>
      <c r="S32" s="23">
        <f t="shared" si="30"/>
        <v>0</v>
      </c>
      <c r="T32" s="23">
        <f t="shared" si="30"/>
        <v>0</v>
      </c>
      <c r="U32" s="23">
        <f t="shared" si="30"/>
        <v>0</v>
      </c>
      <c r="V32" s="23">
        <f t="shared" si="30"/>
        <v>0</v>
      </c>
      <c r="W32" s="23">
        <f t="shared" si="30"/>
        <v>0</v>
      </c>
      <c r="X32" s="129">
        <f t="shared" si="30"/>
        <v>0</v>
      </c>
      <c r="Y32" s="129">
        <f t="shared" ref="Y32:AD32" si="31">IFERROR(Y31/Y30,0)</f>
        <v>0</v>
      </c>
      <c r="Z32" s="129">
        <f t="shared" si="31"/>
        <v>0</v>
      </c>
      <c r="AA32" s="129">
        <f t="shared" si="31"/>
        <v>0</v>
      </c>
      <c r="AB32" s="129">
        <f t="shared" si="31"/>
        <v>0</v>
      </c>
      <c r="AC32" s="129">
        <f t="shared" si="31"/>
        <v>0</v>
      </c>
      <c r="AD32" s="129">
        <f t="shared" si="31"/>
        <v>0</v>
      </c>
    </row>
    <row r="33" spans="1:30" x14ac:dyDescent="0.25">
      <c r="A33" s="17" t="s">
        <v>4</v>
      </c>
      <c r="B33" s="137" t="e">
        <f>SUM('[2]2016-2018 Plan_Non-Credit Life'!$I$41:INDEX('[2]2016-2018 Plan_Non-Credit Life'!$I41:'[2]2016-2018 Plan_Non-Credit Life'!$T41,$A$1))</f>
        <v>#REF!</v>
      </c>
      <c r="C33" s="11">
        <f>SUM($S33:INDEX($S33:$AD33,$A$1))</f>
        <v>0</v>
      </c>
      <c r="D33" s="11">
        <f>SUM($G33:INDEX($G33:$R33,$A$1))</f>
        <v>0</v>
      </c>
      <c r="E33" s="14" t="e">
        <f t="shared" si="29"/>
        <v>#DIV/0!</v>
      </c>
      <c r="G33" s="40">
        <f>Data!B52</f>
        <v>0</v>
      </c>
      <c r="H33" s="40">
        <f>Data!C52</f>
        <v>0</v>
      </c>
      <c r="I33" s="40">
        <f>Data!D52</f>
        <v>0</v>
      </c>
      <c r="J33" s="40">
        <f>Data!E52</f>
        <v>0</v>
      </c>
      <c r="K33" s="40">
        <f>Data!F52</f>
        <v>0</v>
      </c>
      <c r="L33" s="46">
        <f>Data!G52</f>
        <v>0</v>
      </c>
      <c r="M33" s="40">
        <f>Data!H52</f>
        <v>0</v>
      </c>
      <c r="N33" s="40">
        <f>Data!I52</f>
        <v>0</v>
      </c>
      <c r="O33" s="40">
        <f>Data!J52</f>
        <v>0</v>
      </c>
      <c r="P33" s="40">
        <f>Data!K52</f>
        <v>0</v>
      </c>
      <c r="Q33" s="40">
        <f>Data!L52</f>
        <v>0</v>
      </c>
      <c r="R33" s="46">
        <f>Data!M52</f>
        <v>0</v>
      </c>
      <c r="S33" s="40">
        <f>Data!N52</f>
        <v>0</v>
      </c>
      <c r="T33" s="40">
        <f>Data!O52</f>
        <v>0</v>
      </c>
      <c r="U33" s="40">
        <f>Data!P52</f>
        <v>0</v>
      </c>
      <c r="V33" s="40">
        <f>Data!Q52</f>
        <v>0</v>
      </c>
      <c r="W33" s="40">
        <f>Data!R52</f>
        <v>0</v>
      </c>
      <c r="X33" s="135">
        <f>Data!S52</f>
        <v>0</v>
      </c>
      <c r="Y33" s="135">
        <f>Data!T52</f>
        <v>0</v>
      </c>
      <c r="Z33" s="135">
        <f>Data!U52</f>
        <v>0</v>
      </c>
      <c r="AA33" s="135">
        <f>Data!V52</f>
        <v>0</v>
      </c>
      <c r="AB33" s="135">
        <f>Data!W52</f>
        <v>0</v>
      </c>
      <c r="AC33" s="135">
        <f>Data!X52</f>
        <v>0</v>
      </c>
      <c r="AD33" s="135">
        <f>Data!Y52</f>
        <v>0</v>
      </c>
    </row>
    <row r="34" spans="1:30" x14ac:dyDescent="0.25">
      <c r="A34" s="17" t="s">
        <v>5</v>
      </c>
      <c r="B34" s="144" t="e">
        <f>B33/B31</f>
        <v>#REF!</v>
      </c>
      <c r="C34" s="38" t="e">
        <f>C33/C31</f>
        <v>#DIV/0!</v>
      </c>
      <c r="D34" s="38" t="e">
        <f>D33/D31</f>
        <v>#DIV/0!</v>
      </c>
      <c r="E34" s="14" t="e">
        <f t="shared" si="29"/>
        <v>#DIV/0!</v>
      </c>
      <c r="G34" s="39">
        <f>IFERROR(G33/G31,0)</f>
        <v>0</v>
      </c>
      <c r="H34" s="39">
        <f t="shared" ref="H34:X34" si="32">IFERROR(H33/H31,0)</f>
        <v>0</v>
      </c>
      <c r="I34" s="39">
        <f t="shared" si="32"/>
        <v>0</v>
      </c>
      <c r="J34" s="39">
        <f t="shared" si="32"/>
        <v>0</v>
      </c>
      <c r="K34" s="39">
        <f t="shared" si="32"/>
        <v>0</v>
      </c>
      <c r="L34" s="47">
        <f t="shared" si="32"/>
        <v>0</v>
      </c>
      <c r="M34" s="39">
        <f t="shared" si="32"/>
        <v>0</v>
      </c>
      <c r="N34" s="39">
        <f t="shared" si="32"/>
        <v>0</v>
      </c>
      <c r="O34" s="39">
        <f t="shared" si="32"/>
        <v>0</v>
      </c>
      <c r="P34" s="39">
        <f t="shared" si="32"/>
        <v>0</v>
      </c>
      <c r="Q34" s="39">
        <f t="shared" si="32"/>
        <v>0</v>
      </c>
      <c r="R34" s="47">
        <f t="shared" si="32"/>
        <v>0</v>
      </c>
      <c r="S34" s="39">
        <f t="shared" si="32"/>
        <v>0</v>
      </c>
      <c r="T34" s="39">
        <f t="shared" si="32"/>
        <v>0</v>
      </c>
      <c r="U34" s="39">
        <f t="shared" si="32"/>
        <v>0</v>
      </c>
      <c r="V34" s="39">
        <f t="shared" si="32"/>
        <v>0</v>
      </c>
      <c r="W34" s="39">
        <f t="shared" si="32"/>
        <v>0</v>
      </c>
      <c r="X34" s="136">
        <f t="shared" si="32"/>
        <v>0</v>
      </c>
      <c r="Y34" s="136">
        <f t="shared" ref="Y34:AD34" si="33">IFERROR(Y33/Y31,0)</f>
        <v>0</v>
      </c>
      <c r="Z34" s="136">
        <f t="shared" si="33"/>
        <v>0</v>
      </c>
      <c r="AA34" s="136">
        <f t="shared" si="33"/>
        <v>0</v>
      </c>
      <c r="AB34" s="136">
        <f t="shared" si="33"/>
        <v>0</v>
      </c>
      <c r="AC34" s="136">
        <f t="shared" si="33"/>
        <v>0</v>
      </c>
      <c r="AD34" s="136">
        <f t="shared" si="33"/>
        <v>0</v>
      </c>
    </row>
    <row r="35" spans="1:30" x14ac:dyDescent="0.25">
      <c r="A35" s="17" t="s">
        <v>6</v>
      </c>
      <c r="B35" s="137" t="e">
        <f>SUM('[2]2016-2018 Plan_Non-Credit Life'!$I$42:INDEX('[2]2016-2018 Plan_Non-Credit Life'!$I42:'[2]2016-2018 Plan_Non-Credit Life'!$T42,$A$1))</f>
        <v>#REF!</v>
      </c>
      <c r="C35" s="11">
        <f>SUM($S35:INDEX($S35:$AD35,$A$1))</f>
        <v>0</v>
      </c>
      <c r="D35" s="11">
        <f>SUM($G35:INDEX($G35:$R35,$A$1))</f>
        <v>0</v>
      </c>
      <c r="E35" s="14" t="e">
        <f t="shared" si="29"/>
        <v>#DIV/0!</v>
      </c>
      <c r="G35" s="3">
        <f>Data!B23</f>
        <v>0</v>
      </c>
      <c r="H35" s="3">
        <f>Data!C23</f>
        <v>0</v>
      </c>
      <c r="I35" s="3">
        <f>Data!D23</f>
        <v>0</v>
      </c>
      <c r="J35" s="3">
        <f>Data!E23</f>
        <v>0</v>
      </c>
      <c r="K35" s="3">
        <f>Data!F23</f>
        <v>0</v>
      </c>
      <c r="L35" s="43">
        <f>Data!G23</f>
        <v>0</v>
      </c>
      <c r="M35" s="3">
        <f>Data!H23</f>
        <v>0</v>
      </c>
      <c r="N35" s="3">
        <f>Data!I23</f>
        <v>0</v>
      </c>
      <c r="O35" s="3">
        <f>Data!J23</f>
        <v>0</v>
      </c>
      <c r="P35" s="3">
        <f>Data!K23</f>
        <v>0</v>
      </c>
      <c r="Q35" s="3">
        <f>Data!L23</f>
        <v>0</v>
      </c>
      <c r="R35" s="43">
        <f>Data!M23</f>
        <v>0</v>
      </c>
      <c r="S35" s="3">
        <f>Data!N23</f>
        <v>0</v>
      </c>
      <c r="T35" s="3">
        <f>Data!O23</f>
        <v>0</v>
      </c>
      <c r="U35" s="3">
        <f>Data!P23</f>
        <v>0</v>
      </c>
      <c r="V35" s="3">
        <f>Data!Q23</f>
        <v>0</v>
      </c>
      <c r="W35" s="3">
        <f>Data!R23</f>
        <v>0</v>
      </c>
      <c r="X35" s="133">
        <f>Data!S23</f>
        <v>0</v>
      </c>
      <c r="Y35" s="133">
        <f>Data!T23</f>
        <v>0</v>
      </c>
      <c r="Z35" s="133">
        <f>Data!U23</f>
        <v>0</v>
      </c>
      <c r="AA35" s="133">
        <f>Data!V23</f>
        <v>0</v>
      </c>
      <c r="AB35" s="133">
        <f>Data!W23</f>
        <v>0</v>
      </c>
      <c r="AC35" s="133">
        <f>Data!X23</f>
        <v>0</v>
      </c>
      <c r="AD35" s="133">
        <f>Data!Y23</f>
        <v>0</v>
      </c>
    </row>
    <row r="36" spans="1:30" x14ac:dyDescent="0.25">
      <c r="A36" s="17" t="s">
        <v>7</v>
      </c>
      <c r="B36" s="144" t="e">
        <f>B35/B33</f>
        <v>#REF!</v>
      </c>
      <c r="C36" s="38" t="e">
        <f>C35/C33</f>
        <v>#DIV/0!</v>
      </c>
      <c r="D36" s="38" t="e">
        <f>D35/D33</f>
        <v>#DIV/0!</v>
      </c>
      <c r="E36" s="14" t="e">
        <f t="shared" si="29"/>
        <v>#DIV/0!</v>
      </c>
      <c r="G36" s="6">
        <f>IFERROR(G35/G33,0)</f>
        <v>0</v>
      </c>
      <c r="H36" s="6">
        <f t="shared" ref="H36:X36" si="34">IFERROR(H35/H33,0)</f>
        <v>0</v>
      </c>
      <c r="I36" s="6">
        <f t="shared" si="34"/>
        <v>0</v>
      </c>
      <c r="J36" s="6">
        <f t="shared" si="34"/>
        <v>0</v>
      </c>
      <c r="K36" s="6">
        <f t="shared" si="34"/>
        <v>0</v>
      </c>
      <c r="L36" s="44">
        <f t="shared" si="34"/>
        <v>0</v>
      </c>
      <c r="M36" s="6">
        <f t="shared" si="34"/>
        <v>0</v>
      </c>
      <c r="N36" s="6">
        <f t="shared" si="34"/>
        <v>0</v>
      </c>
      <c r="O36" s="6">
        <f t="shared" si="34"/>
        <v>0</v>
      </c>
      <c r="P36" s="6">
        <f t="shared" si="34"/>
        <v>0</v>
      </c>
      <c r="Q36" s="6">
        <f t="shared" si="34"/>
        <v>0</v>
      </c>
      <c r="R36" s="44">
        <f t="shared" si="34"/>
        <v>0</v>
      </c>
      <c r="S36" s="6">
        <f t="shared" si="34"/>
        <v>0</v>
      </c>
      <c r="T36" s="6">
        <f t="shared" si="34"/>
        <v>0</v>
      </c>
      <c r="U36" s="6">
        <f t="shared" si="34"/>
        <v>0</v>
      </c>
      <c r="V36" s="6">
        <f t="shared" si="34"/>
        <v>0</v>
      </c>
      <c r="W36" s="6">
        <f t="shared" si="34"/>
        <v>0</v>
      </c>
      <c r="X36" s="132">
        <f t="shared" si="34"/>
        <v>0</v>
      </c>
      <c r="Y36" s="132">
        <f t="shared" ref="Y36:AD36" si="35">IFERROR(Y35/Y33,0)</f>
        <v>0</v>
      </c>
      <c r="Z36" s="132">
        <f t="shared" si="35"/>
        <v>0</v>
      </c>
      <c r="AA36" s="132">
        <f t="shared" si="35"/>
        <v>0</v>
      </c>
      <c r="AB36" s="132">
        <f t="shared" si="35"/>
        <v>0</v>
      </c>
      <c r="AC36" s="132">
        <f t="shared" si="35"/>
        <v>0</v>
      </c>
      <c r="AD36" s="132">
        <f t="shared" si="35"/>
        <v>0</v>
      </c>
    </row>
    <row r="37" spans="1:30" x14ac:dyDescent="0.25">
      <c r="A37" s="17" t="s">
        <v>8</v>
      </c>
      <c r="B37" s="145" t="e">
        <f>B35/B30</f>
        <v>#REF!</v>
      </c>
      <c r="C37" s="38" t="e">
        <f>C35/SUM($S30:INDEX($S30:$AD30,$A$1))</f>
        <v>#DIV/0!</v>
      </c>
      <c r="D37" t="e">
        <f>D35/SUM($G30:INDEX($G30:$R30,$A$1))</f>
        <v>#DIV/0!</v>
      </c>
      <c r="E37" s="14" t="e">
        <f t="shared" si="29"/>
        <v>#DIV/0!</v>
      </c>
      <c r="G37" s="6">
        <f>IFERROR(G35/G30,0)</f>
        <v>0</v>
      </c>
      <c r="H37" s="6">
        <f t="shared" ref="H37:X37" si="36">IFERROR(H35/H30,0)</f>
        <v>0</v>
      </c>
      <c r="I37" s="6">
        <f t="shared" si="36"/>
        <v>0</v>
      </c>
      <c r="J37" s="6">
        <f t="shared" si="36"/>
        <v>0</v>
      </c>
      <c r="K37" s="6">
        <f t="shared" si="36"/>
        <v>0</v>
      </c>
      <c r="L37" s="44">
        <f t="shared" si="36"/>
        <v>0</v>
      </c>
      <c r="M37" s="6">
        <f t="shared" si="36"/>
        <v>0</v>
      </c>
      <c r="N37" s="6">
        <f t="shared" si="36"/>
        <v>0</v>
      </c>
      <c r="O37" s="6">
        <f t="shared" si="36"/>
        <v>0</v>
      </c>
      <c r="P37" s="6">
        <f t="shared" si="36"/>
        <v>0</v>
      </c>
      <c r="Q37" s="6">
        <f t="shared" si="36"/>
        <v>0</v>
      </c>
      <c r="R37" s="44">
        <f t="shared" si="36"/>
        <v>0</v>
      </c>
      <c r="S37" s="6">
        <f t="shared" si="36"/>
        <v>0</v>
      </c>
      <c r="T37" s="6">
        <f t="shared" si="36"/>
        <v>0</v>
      </c>
      <c r="U37" s="6">
        <f t="shared" si="36"/>
        <v>0</v>
      </c>
      <c r="V37" s="6">
        <f t="shared" si="36"/>
        <v>0</v>
      </c>
      <c r="W37" s="6">
        <f t="shared" si="36"/>
        <v>0</v>
      </c>
      <c r="X37" s="132">
        <f t="shared" si="36"/>
        <v>0</v>
      </c>
      <c r="Y37" s="132">
        <f t="shared" ref="Y37:AD37" si="37">IFERROR(Y35/Y30,0)</f>
        <v>0</v>
      </c>
      <c r="Z37" s="132">
        <f t="shared" si="37"/>
        <v>0</v>
      </c>
      <c r="AA37" s="132">
        <f t="shared" si="37"/>
        <v>0</v>
      </c>
      <c r="AB37" s="132">
        <f t="shared" si="37"/>
        <v>0</v>
      </c>
      <c r="AC37" s="132">
        <f t="shared" si="37"/>
        <v>0</v>
      </c>
      <c r="AD37" s="132">
        <f t="shared" si="37"/>
        <v>0</v>
      </c>
    </row>
    <row r="38" spans="1:30" x14ac:dyDescent="0.25">
      <c r="A38" s="17" t="s">
        <v>9</v>
      </c>
      <c r="B38" s="145" t="e">
        <f>B35/B31</f>
        <v>#REF!</v>
      </c>
      <c r="C38" s="38" t="e">
        <f>C35/C31</f>
        <v>#DIV/0!</v>
      </c>
      <c r="D38" s="38" t="e">
        <f>D35/D31</f>
        <v>#DIV/0!</v>
      </c>
      <c r="E38" s="14" t="e">
        <f t="shared" si="29"/>
        <v>#DIV/0!</v>
      </c>
      <c r="G38" s="6">
        <f>IFERROR(G35/G31,0)</f>
        <v>0</v>
      </c>
      <c r="H38" s="6">
        <f t="shared" ref="H38:X38" si="38">IFERROR(H35/H31,0)</f>
        <v>0</v>
      </c>
      <c r="I38" s="6">
        <f t="shared" si="38"/>
        <v>0</v>
      </c>
      <c r="J38" s="6">
        <f t="shared" si="38"/>
        <v>0</v>
      </c>
      <c r="K38" s="6">
        <f t="shared" si="38"/>
        <v>0</v>
      </c>
      <c r="L38" s="44">
        <f t="shared" si="38"/>
        <v>0</v>
      </c>
      <c r="M38" s="6">
        <f t="shared" si="38"/>
        <v>0</v>
      </c>
      <c r="N38" s="6">
        <f t="shared" si="38"/>
        <v>0</v>
      </c>
      <c r="O38" s="6">
        <f t="shared" si="38"/>
        <v>0</v>
      </c>
      <c r="P38" s="6">
        <f t="shared" si="38"/>
        <v>0</v>
      </c>
      <c r="Q38" s="6">
        <f t="shared" si="38"/>
        <v>0</v>
      </c>
      <c r="R38" s="44">
        <f t="shared" si="38"/>
        <v>0</v>
      </c>
      <c r="S38" s="6">
        <f t="shared" si="38"/>
        <v>0</v>
      </c>
      <c r="T38" s="6">
        <f t="shared" si="38"/>
        <v>0</v>
      </c>
      <c r="U38" s="6">
        <f t="shared" si="38"/>
        <v>0</v>
      </c>
      <c r="V38" s="6">
        <f t="shared" si="38"/>
        <v>0</v>
      </c>
      <c r="W38" s="6">
        <f t="shared" si="38"/>
        <v>0</v>
      </c>
      <c r="X38" s="132">
        <f t="shared" si="38"/>
        <v>0</v>
      </c>
      <c r="Y38" s="132">
        <f t="shared" ref="Y38:AD38" si="39">IFERROR(Y35/Y31,0)</f>
        <v>0</v>
      </c>
      <c r="Z38" s="132">
        <f t="shared" si="39"/>
        <v>0</v>
      </c>
      <c r="AA38" s="132">
        <f t="shared" si="39"/>
        <v>0</v>
      </c>
      <c r="AB38" s="132">
        <f t="shared" si="39"/>
        <v>0</v>
      </c>
      <c r="AC38" s="132">
        <f t="shared" si="39"/>
        <v>0</v>
      </c>
      <c r="AD38" s="132">
        <f t="shared" si="39"/>
        <v>0</v>
      </c>
    </row>
    <row r="39" spans="1:30" x14ac:dyDescent="0.25">
      <c r="B39" s="150"/>
    </row>
    <row r="41" spans="1:30" s="1" customFormat="1" x14ac:dyDescent="0.25">
      <c r="A41" s="1" t="s">
        <v>71</v>
      </c>
      <c r="C41" s="1" t="s">
        <v>10</v>
      </c>
      <c r="D41" s="1" t="s">
        <v>11</v>
      </c>
      <c r="E41" s="1" t="s">
        <v>12</v>
      </c>
      <c r="G41" s="1">
        <v>42020</v>
      </c>
      <c r="H41" s="1">
        <v>42051</v>
      </c>
      <c r="I41" s="1">
        <v>42079</v>
      </c>
      <c r="J41" s="1">
        <v>42110</v>
      </c>
      <c r="K41" s="1">
        <v>42140</v>
      </c>
      <c r="L41" s="1">
        <v>42171</v>
      </c>
      <c r="M41" s="1">
        <v>42201</v>
      </c>
      <c r="N41" s="1">
        <v>42232</v>
      </c>
      <c r="O41" s="1">
        <v>42263</v>
      </c>
      <c r="P41" s="1">
        <v>42293</v>
      </c>
      <c r="Q41" s="1">
        <v>42324</v>
      </c>
      <c r="R41" s="1">
        <v>42354</v>
      </c>
      <c r="S41" s="1">
        <v>42385</v>
      </c>
      <c r="T41" s="1">
        <v>42416</v>
      </c>
      <c r="U41" s="1">
        <v>42445</v>
      </c>
      <c r="V41" s="1">
        <v>42476</v>
      </c>
      <c r="W41" s="1">
        <v>42506</v>
      </c>
      <c r="X41" s="128">
        <v>42537</v>
      </c>
      <c r="Y41" s="1">
        <v>42567</v>
      </c>
      <c r="Z41" s="1">
        <v>42598</v>
      </c>
      <c r="AA41" s="1">
        <v>42629</v>
      </c>
      <c r="AB41" s="1">
        <v>42659</v>
      </c>
      <c r="AC41" s="1">
        <v>42690</v>
      </c>
      <c r="AD41" s="128">
        <v>42720</v>
      </c>
    </row>
    <row r="42" spans="1:30" x14ac:dyDescent="0.25">
      <c r="A42" s="17" t="s">
        <v>1</v>
      </c>
      <c r="B42" s="17"/>
      <c r="C42" s="11">
        <f>INDEX($S42:$AD42,$A$1)</f>
        <v>0</v>
      </c>
      <c r="D42" s="11">
        <f>INDEX($G42:$R42,$A$1)</f>
        <v>99</v>
      </c>
      <c r="E42" s="14">
        <f>C42/D42-1</f>
        <v>-1</v>
      </c>
      <c r="G42">
        <f>Data!B128</f>
        <v>98</v>
      </c>
      <c r="H42">
        <f>Data!C128</f>
        <v>98</v>
      </c>
      <c r="I42">
        <f>Data!D128</f>
        <v>99</v>
      </c>
      <c r="J42">
        <f>Data!E128</f>
        <v>99</v>
      </c>
      <c r="K42">
        <f>Data!F128</f>
        <v>99</v>
      </c>
      <c r="L42" s="4">
        <f>Data!G128</f>
        <v>99</v>
      </c>
      <c r="M42">
        <f>Data!H128</f>
        <v>99</v>
      </c>
      <c r="N42">
        <f>Data!I128</f>
        <v>99</v>
      </c>
      <c r="O42">
        <f>Data!J128</f>
        <v>99</v>
      </c>
      <c r="P42">
        <f>Data!K128</f>
        <v>99</v>
      </c>
      <c r="Q42">
        <f>Data!L128</f>
        <v>99</v>
      </c>
      <c r="R42" s="4">
        <f>Data!M128</f>
        <v>99</v>
      </c>
      <c r="S42">
        <f>Data!N128</f>
        <v>99</v>
      </c>
      <c r="T42">
        <f>Data!O128</f>
        <v>99</v>
      </c>
      <c r="U42">
        <f>Data!P128</f>
        <v>99</v>
      </c>
      <c r="V42">
        <f>Data!Q128</f>
        <v>99</v>
      </c>
      <c r="W42">
        <f>Data!R128</f>
        <v>99</v>
      </c>
      <c r="X42" s="127">
        <f>Data!S128</f>
        <v>99</v>
      </c>
      <c r="Y42" s="127"/>
    </row>
    <row r="43" spans="1:30" x14ac:dyDescent="0.25">
      <c r="A43" s="17" t="s">
        <v>0</v>
      </c>
      <c r="B43" s="17"/>
      <c r="C43" s="11">
        <f>INDEX($S43:$AD43,$A$1)</f>
        <v>0</v>
      </c>
      <c r="D43" s="11">
        <f>INDEX($G43:$R43,$A$1)</f>
        <v>0</v>
      </c>
      <c r="E43" s="14" t="e">
        <f>C43/D43-1</f>
        <v>#DIV/0!</v>
      </c>
      <c r="G43">
        <f>Data!B74</f>
        <v>50</v>
      </c>
      <c r="H43">
        <f>Data!C74</f>
        <v>55</v>
      </c>
      <c r="I43">
        <f>Data!D74</f>
        <v>63</v>
      </c>
      <c r="J43">
        <f>Data!E74</f>
        <v>62</v>
      </c>
      <c r="K43">
        <f>Data!F74</f>
        <v>60</v>
      </c>
      <c r="L43" s="4">
        <f>Data!G74</f>
        <v>56</v>
      </c>
      <c r="M43">
        <f>Data!H74</f>
        <v>53</v>
      </c>
      <c r="N43">
        <f>Data!I74</f>
        <v>48</v>
      </c>
      <c r="O43">
        <f>Data!J74</f>
        <v>43</v>
      </c>
      <c r="R43" s="4"/>
      <c r="Y43" s="127"/>
    </row>
    <row r="44" spans="1:30" x14ac:dyDescent="0.25">
      <c r="A44" s="17" t="s">
        <v>2</v>
      </c>
      <c r="B44" s="17"/>
      <c r="C44" s="11">
        <f>SUM($S44:INDEX($S44:$AD44,$A$1))</f>
        <v>0</v>
      </c>
      <c r="D44" s="11">
        <f>SUM($G44:INDEX($G44:$R44,$A$1))</f>
        <v>319</v>
      </c>
      <c r="E44" s="14">
        <f>C44/D44-1</f>
        <v>-1</v>
      </c>
      <c r="G44">
        <f>Data!B83</f>
        <v>31</v>
      </c>
      <c r="H44">
        <f>Data!C83</f>
        <v>21</v>
      </c>
      <c r="I44">
        <f>Data!D83</f>
        <v>38</v>
      </c>
      <c r="J44">
        <f>Data!E83</f>
        <v>44</v>
      </c>
      <c r="K44">
        <f>Data!F83</f>
        <v>41</v>
      </c>
      <c r="L44" s="4">
        <f>Data!G83</f>
        <v>37</v>
      </c>
      <c r="M44">
        <f>Data!H83</f>
        <v>37</v>
      </c>
      <c r="N44">
        <f>Data!I83</f>
        <v>36</v>
      </c>
      <c r="O44">
        <f>Data!J83</f>
        <v>34</v>
      </c>
      <c r="R44" s="4"/>
      <c r="Y44" s="127"/>
    </row>
    <row r="45" spans="1:30" x14ac:dyDescent="0.25">
      <c r="A45" s="17" t="s">
        <v>3</v>
      </c>
      <c r="B45" s="17"/>
      <c r="C45" s="48" t="str">
        <f>IFERROR(C44/SUM($S43:INDEX($S43:$AD43,$A$1)),"-")</f>
        <v>-</v>
      </c>
      <c r="D45" s="14">
        <f>D44/SUM($G43:INDEX($G43:$R43,$A$1))</f>
        <v>0.65102040816326534</v>
      </c>
      <c r="E45" s="48" t="str">
        <f>IFERROR(C45/D45-1,"-")</f>
        <v>-</v>
      </c>
      <c r="G45" s="23">
        <f t="shared" ref="G45:X45" si="40">IFERROR(G44/G43,0)</f>
        <v>0.62</v>
      </c>
      <c r="H45" s="23">
        <f t="shared" si="40"/>
        <v>0.38181818181818183</v>
      </c>
      <c r="I45" s="23">
        <f t="shared" si="40"/>
        <v>0.60317460317460314</v>
      </c>
      <c r="J45" s="23">
        <f t="shared" si="40"/>
        <v>0.70967741935483875</v>
      </c>
      <c r="K45" s="23">
        <f t="shared" si="40"/>
        <v>0.68333333333333335</v>
      </c>
      <c r="L45" s="41">
        <f t="shared" si="40"/>
        <v>0.6607142857142857</v>
      </c>
      <c r="M45" s="23">
        <f t="shared" si="40"/>
        <v>0.69811320754716977</v>
      </c>
      <c r="N45" s="23">
        <f t="shared" si="40"/>
        <v>0.75</v>
      </c>
      <c r="O45" s="23">
        <f t="shared" si="40"/>
        <v>0.79069767441860461</v>
      </c>
      <c r="P45" s="23">
        <f t="shared" si="40"/>
        <v>0</v>
      </c>
      <c r="Q45" s="23">
        <f t="shared" si="40"/>
        <v>0</v>
      </c>
      <c r="R45" s="41">
        <f t="shared" si="40"/>
        <v>0</v>
      </c>
      <c r="S45" s="23">
        <f t="shared" si="40"/>
        <v>0</v>
      </c>
      <c r="T45" s="23">
        <f t="shared" si="40"/>
        <v>0</v>
      </c>
      <c r="U45" s="23">
        <f t="shared" si="40"/>
        <v>0</v>
      </c>
      <c r="V45" s="23">
        <f t="shared" si="40"/>
        <v>0</v>
      </c>
      <c r="W45" s="23">
        <f t="shared" si="40"/>
        <v>0</v>
      </c>
      <c r="X45" s="129">
        <f t="shared" si="40"/>
        <v>0</v>
      </c>
      <c r="Y45" s="129"/>
    </row>
    <row r="46" spans="1:30" x14ac:dyDescent="0.25">
      <c r="A46" s="17" t="s">
        <v>4</v>
      </c>
      <c r="B46" s="17"/>
      <c r="C46" s="11">
        <f>SUM($S46:INDEX($S46:$AD46,$A$1))</f>
        <v>-4</v>
      </c>
      <c r="D46" s="11">
        <f>SUM($G46:INDEX($G46:$R46,$A$1))</f>
        <v>760</v>
      </c>
      <c r="E46" s="14">
        <f>C46/D46-1</f>
        <v>-1.0052631578947369</v>
      </c>
      <c r="G46">
        <f>Data!B47</f>
        <v>78</v>
      </c>
      <c r="H46">
        <f>Data!C47</f>
        <v>56</v>
      </c>
      <c r="I46">
        <f>Data!D47</f>
        <v>93</v>
      </c>
      <c r="J46">
        <f>Data!E47</f>
        <v>106</v>
      </c>
      <c r="K46">
        <f>Data!F47</f>
        <v>73</v>
      </c>
      <c r="L46" s="4">
        <f>Data!G47</f>
        <v>96</v>
      </c>
      <c r="M46">
        <f>Data!H47</f>
        <v>78</v>
      </c>
      <c r="N46">
        <f>Data!I47</f>
        <v>78</v>
      </c>
      <c r="O46">
        <f>Data!J47</f>
        <v>116</v>
      </c>
      <c r="P46">
        <f>Data!K47</f>
        <v>-13</v>
      </c>
      <c r="Q46">
        <f>Data!L47</f>
        <v>-1</v>
      </c>
      <c r="R46" s="4">
        <f>Data!M47</f>
        <v>0</v>
      </c>
      <c r="S46">
        <f>Data!N47</f>
        <v>-1</v>
      </c>
      <c r="T46">
        <f>Data!O47</f>
        <v>0</v>
      </c>
      <c r="U46">
        <f>Data!P47</f>
        <v>-1</v>
      </c>
      <c r="V46">
        <f>Data!Q47</f>
        <v>0</v>
      </c>
      <c r="W46">
        <f>Data!R47</f>
        <v>0</v>
      </c>
      <c r="X46" s="127">
        <f>Data!S47</f>
        <v>-2</v>
      </c>
      <c r="Y46" s="127"/>
    </row>
    <row r="47" spans="1:30" x14ac:dyDescent="0.25">
      <c r="A47" s="17" t="s">
        <v>5</v>
      </c>
      <c r="B47" s="17"/>
      <c r="C47" s="49" t="str">
        <f>IFERROR(C46/C44,"-")</f>
        <v>-</v>
      </c>
      <c r="D47" s="38">
        <f>D46/D44</f>
        <v>2.3824451410658307</v>
      </c>
      <c r="E47" s="48" t="str">
        <f>IFERROR(C47/D47-1,"-")</f>
        <v>-</v>
      </c>
      <c r="G47" s="39">
        <f t="shared" ref="G47:X47" si="41">IFERROR(G46/G44,0)</f>
        <v>2.5161290322580645</v>
      </c>
      <c r="H47" s="39">
        <f t="shared" si="41"/>
        <v>2.6666666666666665</v>
      </c>
      <c r="I47" s="39">
        <f t="shared" si="41"/>
        <v>2.4473684210526314</v>
      </c>
      <c r="J47" s="39">
        <f t="shared" si="41"/>
        <v>2.4090909090909092</v>
      </c>
      <c r="K47" s="39">
        <f t="shared" si="41"/>
        <v>1.7804878048780488</v>
      </c>
      <c r="L47" s="47">
        <f t="shared" si="41"/>
        <v>2.5945945945945947</v>
      </c>
      <c r="M47" s="39">
        <f t="shared" si="41"/>
        <v>2.1081081081081079</v>
      </c>
      <c r="N47" s="39">
        <f t="shared" si="41"/>
        <v>2.1666666666666665</v>
      </c>
      <c r="O47" s="39">
        <f t="shared" si="41"/>
        <v>3.4117647058823528</v>
      </c>
      <c r="P47" s="39">
        <f t="shared" si="41"/>
        <v>0</v>
      </c>
      <c r="Q47" s="39">
        <f t="shared" si="41"/>
        <v>0</v>
      </c>
      <c r="R47" s="47">
        <f t="shared" si="41"/>
        <v>0</v>
      </c>
      <c r="S47" s="39">
        <f t="shared" si="41"/>
        <v>0</v>
      </c>
      <c r="T47" s="39">
        <f t="shared" si="41"/>
        <v>0</v>
      </c>
      <c r="U47" s="39">
        <f t="shared" si="41"/>
        <v>0</v>
      </c>
      <c r="V47" s="39">
        <f t="shared" si="41"/>
        <v>0</v>
      </c>
      <c r="W47" s="39">
        <f t="shared" si="41"/>
        <v>0</v>
      </c>
      <c r="X47" s="136">
        <f t="shared" si="41"/>
        <v>0</v>
      </c>
      <c r="Y47" s="136"/>
    </row>
    <row r="48" spans="1:30" x14ac:dyDescent="0.25">
      <c r="A48" s="17" t="s">
        <v>6</v>
      </c>
      <c r="B48" s="17"/>
      <c r="C48" s="11">
        <f>SUM($S48:INDEX($S48:$AD48,$A$1))</f>
        <v>-62.912999999999997</v>
      </c>
      <c r="D48" s="11">
        <f>SUM($G48:INDEX($G48:$R48,$A$1))</f>
        <v>14238.550999999999</v>
      </c>
      <c r="E48" s="14">
        <f>C48/D48-1</f>
        <v>-1.0044184973597383</v>
      </c>
      <c r="G48" s="11">
        <f>Data!B18</f>
        <v>1521.5339999999999</v>
      </c>
      <c r="H48" s="11">
        <f>Data!C18</f>
        <v>828.87200000000018</v>
      </c>
      <c r="I48" s="11">
        <f>Data!D18</f>
        <v>1914.7899999999993</v>
      </c>
      <c r="J48" s="11">
        <f>Data!E18</f>
        <v>1859.7819999999999</v>
      </c>
      <c r="K48" s="11">
        <f>Data!F18</f>
        <v>1073.4869999999999</v>
      </c>
      <c r="L48" s="50">
        <f>Data!G18</f>
        <v>1861.5859999999989</v>
      </c>
      <c r="M48" s="11">
        <f>Data!H18</f>
        <v>1736.5470000000003</v>
      </c>
      <c r="N48" s="11">
        <f>Data!I18</f>
        <v>1318.239</v>
      </c>
      <c r="O48" s="11">
        <f>Data!J18</f>
        <v>2298.2710000000002</v>
      </c>
      <c r="P48" s="11">
        <f>Data!K18</f>
        <v>-164.37100000000001</v>
      </c>
      <c r="Q48" s="11">
        <f>Data!L18</f>
        <v>-10.186</v>
      </c>
      <c r="R48" s="50">
        <f>Data!M18</f>
        <v>0</v>
      </c>
      <c r="S48" s="11">
        <f>Data!N18</f>
        <v>-22.065000000000001</v>
      </c>
      <c r="T48" s="11">
        <f>Data!O18</f>
        <v>0</v>
      </c>
      <c r="U48" s="11">
        <f>Data!P18</f>
        <v>-17.437999999999999</v>
      </c>
      <c r="V48" s="11">
        <f>Data!Q18</f>
        <v>0</v>
      </c>
      <c r="W48" s="11">
        <f>Data!R18</f>
        <v>0</v>
      </c>
      <c r="X48" s="131">
        <f>Data!S18</f>
        <v>-23.41</v>
      </c>
      <c r="Y48" s="131"/>
    </row>
    <row r="49" spans="1:30" x14ac:dyDescent="0.25">
      <c r="A49" s="17" t="s">
        <v>7</v>
      </c>
      <c r="B49" s="17"/>
      <c r="C49" s="38">
        <f>C48/C46</f>
        <v>15.728249999999999</v>
      </c>
      <c r="D49" s="38">
        <f>D48/D46</f>
        <v>18.734935526315788</v>
      </c>
      <c r="E49" s="14">
        <f>C49/D49-1</f>
        <v>-0.16048550164971132</v>
      </c>
      <c r="G49" s="6">
        <f t="shared" ref="G49:X49" si="42">IFERROR(G48/G46,0)</f>
        <v>19.506846153846151</v>
      </c>
      <c r="H49" s="6">
        <f t="shared" si="42"/>
        <v>14.801285714285717</v>
      </c>
      <c r="I49" s="6">
        <f t="shared" si="42"/>
        <v>20.58913978494623</v>
      </c>
      <c r="J49" s="6">
        <f t="shared" si="42"/>
        <v>17.545113207547168</v>
      </c>
      <c r="K49" s="6">
        <f t="shared" si="42"/>
        <v>14.705301369863012</v>
      </c>
      <c r="L49" s="44">
        <f t="shared" si="42"/>
        <v>19.39152083333332</v>
      </c>
      <c r="M49" s="6">
        <f t="shared" si="42"/>
        <v>22.263423076923079</v>
      </c>
      <c r="N49" s="6">
        <f t="shared" si="42"/>
        <v>16.900500000000001</v>
      </c>
      <c r="O49" s="6">
        <f t="shared" si="42"/>
        <v>19.812681034482761</v>
      </c>
      <c r="P49" s="6">
        <f t="shared" si="42"/>
        <v>12.643923076923077</v>
      </c>
      <c r="Q49" s="6">
        <f t="shared" si="42"/>
        <v>10.186</v>
      </c>
      <c r="R49" s="44">
        <f t="shared" si="42"/>
        <v>0</v>
      </c>
      <c r="S49" s="6">
        <f t="shared" si="42"/>
        <v>22.065000000000001</v>
      </c>
      <c r="T49" s="6">
        <f t="shared" si="42"/>
        <v>0</v>
      </c>
      <c r="U49" s="6">
        <f t="shared" si="42"/>
        <v>17.437999999999999</v>
      </c>
      <c r="V49" s="6">
        <f t="shared" si="42"/>
        <v>0</v>
      </c>
      <c r="W49" s="6">
        <f t="shared" si="42"/>
        <v>0</v>
      </c>
      <c r="X49" s="132">
        <f t="shared" si="42"/>
        <v>11.705</v>
      </c>
      <c r="Y49" s="132"/>
    </row>
    <row r="50" spans="1:30" x14ac:dyDescent="0.25">
      <c r="A50" s="17" t="s">
        <v>8</v>
      </c>
      <c r="B50" s="17"/>
      <c r="C50" s="49" t="str">
        <f>IFERROR(C48/SUM($S43:INDEX($S43:$AD43,$A$1)),"-")</f>
        <v>-</v>
      </c>
      <c r="D50" s="38">
        <f>D48/SUM($G43:INDEX($G43:$R43,$A$1))</f>
        <v>29.058267346938774</v>
      </c>
      <c r="E50" s="48" t="str">
        <f>IFERROR(C50/D50-1,"-")</f>
        <v>-</v>
      </c>
      <c r="G50" s="6">
        <f>IFERROR(G48/G43,0)</f>
        <v>30.430679999999999</v>
      </c>
      <c r="H50" s="6">
        <f t="shared" ref="H50:X50" si="43">IFERROR(H48/H43,0)</f>
        <v>15.070400000000003</v>
      </c>
      <c r="I50" s="6">
        <f t="shared" si="43"/>
        <v>30.393492063492051</v>
      </c>
      <c r="J50" s="6">
        <f t="shared" si="43"/>
        <v>29.99648387096774</v>
      </c>
      <c r="K50" s="6">
        <f t="shared" si="43"/>
        <v>17.891449999999999</v>
      </c>
      <c r="L50" s="44">
        <f t="shared" si="43"/>
        <v>33.242607142857125</v>
      </c>
      <c r="M50" s="6">
        <f t="shared" si="43"/>
        <v>32.765037735849063</v>
      </c>
      <c r="N50" s="6">
        <f t="shared" si="43"/>
        <v>27.463312500000001</v>
      </c>
      <c r="O50" s="6">
        <f t="shared" si="43"/>
        <v>53.44816279069768</v>
      </c>
      <c r="P50" s="6">
        <f t="shared" si="43"/>
        <v>0</v>
      </c>
      <c r="Q50" s="6">
        <f t="shared" si="43"/>
        <v>0</v>
      </c>
      <c r="R50" s="44">
        <f t="shared" si="43"/>
        <v>0</v>
      </c>
      <c r="S50" s="6">
        <f t="shared" si="43"/>
        <v>0</v>
      </c>
      <c r="T50" s="6">
        <f t="shared" si="43"/>
        <v>0</v>
      </c>
      <c r="U50" s="6">
        <f t="shared" si="43"/>
        <v>0</v>
      </c>
      <c r="V50" s="6">
        <f t="shared" si="43"/>
        <v>0</v>
      </c>
      <c r="W50" s="6">
        <f t="shared" si="43"/>
        <v>0</v>
      </c>
      <c r="X50" s="132">
        <f t="shared" si="43"/>
        <v>0</v>
      </c>
      <c r="Y50" s="132"/>
    </row>
    <row r="51" spans="1:30" x14ac:dyDescent="0.25">
      <c r="A51" s="17" t="s">
        <v>9</v>
      </c>
      <c r="B51" s="17"/>
      <c r="C51" s="49" t="str">
        <f>IFERROR(C48/C44,"-")</f>
        <v>-</v>
      </c>
      <c r="D51" s="38">
        <f>D48/D44</f>
        <v>44.634956112852663</v>
      </c>
      <c r="E51" s="48" t="str">
        <f>IFERROR(C51/D51-1,"-")</f>
        <v>-</v>
      </c>
      <c r="G51" s="6">
        <f>IFERROR(G48/G44,0)</f>
        <v>49.081741935483869</v>
      </c>
      <c r="H51" s="6">
        <f t="shared" ref="H51:X51" si="44">IFERROR(H48/H44,0)</f>
        <v>39.470095238095247</v>
      </c>
      <c r="I51" s="6">
        <f t="shared" si="44"/>
        <v>50.389210526315772</v>
      </c>
      <c r="J51" s="6">
        <f t="shared" si="44"/>
        <v>42.267772727272728</v>
      </c>
      <c r="K51" s="6">
        <f t="shared" si="44"/>
        <v>26.182609756097559</v>
      </c>
      <c r="L51" s="44">
        <f t="shared" si="44"/>
        <v>50.313135135135106</v>
      </c>
      <c r="M51" s="6">
        <f t="shared" si="44"/>
        <v>46.93370270270271</v>
      </c>
      <c r="N51" s="6">
        <f t="shared" si="44"/>
        <v>36.617750000000001</v>
      </c>
      <c r="O51" s="6">
        <f t="shared" si="44"/>
        <v>67.596205882352947</v>
      </c>
      <c r="P51" s="6">
        <f t="shared" si="44"/>
        <v>0</v>
      </c>
      <c r="Q51" s="6">
        <f t="shared" si="44"/>
        <v>0</v>
      </c>
      <c r="R51" s="44">
        <f t="shared" si="44"/>
        <v>0</v>
      </c>
      <c r="S51" s="6">
        <f t="shared" si="44"/>
        <v>0</v>
      </c>
      <c r="T51" s="6">
        <f t="shared" si="44"/>
        <v>0</v>
      </c>
      <c r="U51" s="6">
        <f t="shared" si="44"/>
        <v>0</v>
      </c>
      <c r="V51" s="6">
        <f t="shared" si="44"/>
        <v>0</v>
      </c>
      <c r="W51" s="6">
        <f t="shared" si="44"/>
        <v>0</v>
      </c>
      <c r="X51" s="132">
        <f t="shared" si="44"/>
        <v>0</v>
      </c>
      <c r="Y51" s="132"/>
    </row>
    <row r="54" spans="1:30" s="1" customFormat="1" x14ac:dyDescent="0.25">
      <c r="A54" s="1" t="s">
        <v>116</v>
      </c>
      <c r="C54" s="1" t="s">
        <v>10</v>
      </c>
      <c r="D54" s="1" t="s">
        <v>11</v>
      </c>
      <c r="E54" s="1" t="s">
        <v>12</v>
      </c>
      <c r="G54" s="1">
        <v>42020</v>
      </c>
      <c r="H54" s="1">
        <v>42051</v>
      </c>
      <c r="I54" s="1">
        <v>42079</v>
      </c>
      <c r="J54" s="1">
        <v>42110</v>
      </c>
      <c r="K54" s="1">
        <v>42140</v>
      </c>
      <c r="L54" s="1">
        <v>42171</v>
      </c>
      <c r="M54" s="1">
        <v>42201</v>
      </c>
      <c r="N54" s="1">
        <v>42232</v>
      </c>
      <c r="O54" s="1">
        <v>42263</v>
      </c>
      <c r="P54" s="1">
        <v>42293</v>
      </c>
      <c r="Q54" s="1">
        <v>42324</v>
      </c>
      <c r="R54" s="1">
        <v>42354</v>
      </c>
      <c r="S54" s="1">
        <v>42385</v>
      </c>
      <c r="T54" s="1">
        <v>42416</v>
      </c>
      <c r="U54" s="1">
        <v>42445</v>
      </c>
      <c r="V54" s="1">
        <v>42476</v>
      </c>
      <c r="W54" s="1">
        <v>42506</v>
      </c>
      <c r="X54" s="128">
        <v>42537</v>
      </c>
      <c r="Y54" s="1">
        <v>42567</v>
      </c>
      <c r="Z54" s="1">
        <v>42598</v>
      </c>
      <c r="AA54" s="1">
        <v>42629</v>
      </c>
      <c r="AB54" s="1">
        <v>42659</v>
      </c>
      <c r="AC54" s="1">
        <v>42690</v>
      </c>
      <c r="AD54" s="128">
        <v>42720</v>
      </c>
    </row>
    <row r="55" spans="1:30" x14ac:dyDescent="0.25">
      <c r="A55" s="17" t="s">
        <v>1</v>
      </c>
      <c r="B55" s="150">
        <f>'[2]2016-2018 Plan_Non-Credit Life'!$O$47</f>
        <v>60</v>
      </c>
      <c r="C55" s="11">
        <f>INDEX($S55:$AD55,$A$1)</f>
        <v>140</v>
      </c>
      <c r="D55" s="11"/>
      <c r="E55" s="14"/>
      <c r="L55" s="4"/>
      <c r="R55" s="4"/>
      <c r="Y55" s="127"/>
      <c r="Z55" s="131">
        <f>Data!U130</f>
        <v>143</v>
      </c>
      <c r="AA55" s="131">
        <f>Data!V130</f>
        <v>140</v>
      </c>
      <c r="AB55" s="131">
        <f>Data!W130</f>
        <v>140</v>
      </c>
      <c r="AC55" s="131">
        <f>Data!X130</f>
        <v>140</v>
      </c>
      <c r="AD55" s="131">
        <f>Data!Y130</f>
        <v>140</v>
      </c>
    </row>
    <row r="56" spans="1:30" x14ac:dyDescent="0.25">
      <c r="A56" s="17" t="s">
        <v>0</v>
      </c>
      <c r="B56" s="137" t="e">
        <f>INDEX('[2]2016-2018 Plan_Non-Credit Life'!$I48:'[2]2016-2018 Plan_Non-Credit Life'!$T48,$A$1)</f>
        <v>#REF!</v>
      </c>
      <c r="C56" s="11">
        <f>INDEX($S56:$AD56,$A$1)</f>
        <v>202</v>
      </c>
      <c r="D56" s="11"/>
      <c r="E56" s="14"/>
      <c r="L56" s="4"/>
      <c r="R56" s="4"/>
      <c r="Y56" s="127"/>
      <c r="Z56" s="127">
        <f>Data!U$76</f>
        <v>138</v>
      </c>
      <c r="AA56" s="127">
        <f>Data!V$76</f>
        <v>148</v>
      </c>
      <c r="AB56" s="127">
        <f>Data!W$76</f>
        <v>225</v>
      </c>
      <c r="AC56" s="127">
        <f>Data!X$76</f>
        <v>182</v>
      </c>
      <c r="AD56" s="127">
        <f>Data!Y$76</f>
        <v>202</v>
      </c>
    </row>
    <row r="57" spans="1:30" x14ac:dyDescent="0.25">
      <c r="A57" s="17" t="s">
        <v>2</v>
      </c>
      <c r="B57" s="137" t="e">
        <f>SUM('[2]2016-2018 Plan_Non-Credit Life'!$I$51:INDEX('[2]2016-2018 Plan_Non-Credit Life'!$I51:'[2]2016-2018 Plan_Non-Credit Life'!$T51,$A$1))</f>
        <v>#REF!</v>
      </c>
      <c r="C57" s="11">
        <f>SUM($S57:INDEX($S57:$AD57,$A$1))</f>
        <v>574</v>
      </c>
      <c r="D57" s="11"/>
      <c r="E57" s="14"/>
      <c r="L57" s="4"/>
      <c r="R57" s="4"/>
      <c r="Y57" s="127"/>
      <c r="Z57" s="131">
        <f>Data!U85</f>
        <v>100</v>
      </c>
      <c r="AA57" s="131">
        <f>Data!V85</f>
        <v>91</v>
      </c>
      <c r="AB57" s="131">
        <f>Data!W85</f>
        <v>130</v>
      </c>
      <c r="AC57" s="131">
        <f>Data!X85</f>
        <v>112</v>
      </c>
      <c r="AD57" s="131">
        <f>Data!Y85</f>
        <v>141</v>
      </c>
    </row>
    <row r="58" spans="1:30" x14ac:dyDescent="0.25">
      <c r="A58" s="17" t="s">
        <v>3</v>
      </c>
      <c r="B58" s="146" t="e">
        <f>B57/B56/7</f>
        <v>#REF!</v>
      </c>
      <c r="C58" s="48">
        <f>IFERROR(C57/SUM($S56:INDEX($S56:$AD56,$A$1)),"-")</f>
        <v>0.64134078212290502</v>
      </c>
      <c r="D58" s="14"/>
      <c r="E58" s="48"/>
      <c r="G58" s="23"/>
      <c r="H58" s="23"/>
      <c r="I58" s="23"/>
      <c r="J58" s="23"/>
      <c r="K58" s="23"/>
      <c r="L58" s="41"/>
      <c r="M58" s="23"/>
      <c r="N58" s="23"/>
      <c r="O58" s="23"/>
      <c r="P58" s="23"/>
      <c r="Q58" s="23"/>
      <c r="R58" s="41"/>
      <c r="S58" s="23"/>
      <c r="T58" s="23"/>
      <c r="U58" s="23"/>
      <c r="V58" s="23"/>
      <c r="W58" s="23"/>
      <c r="X58" s="129"/>
      <c r="Y58" s="129"/>
      <c r="Z58" s="129">
        <f>Z57/Z56</f>
        <v>0.72463768115942029</v>
      </c>
      <c r="AA58" s="129">
        <f>AA57/AA56</f>
        <v>0.61486486486486491</v>
      </c>
      <c r="AB58" s="129">
        <f>AB57/AB56</f>
        <v>0.57777777777777772</v>
      </c>
      <c r="AC58" s="129">
        <f>AC57/AC56</f>
        <v>0.61538461538461542</v>
      </c>
      <c r="AD58" s="129">
        <f>AD57/AD56</f>
        <v>0.69801980198019797</v>
      </c>
    </row>
    <row r="59" spans="1:30" x14ac:dyDescent="0.25">
      <c r="A59" s="17" t="s">
        <v>4</v>
      </c>
      <c r="B59" s="137" t="e">
        <f>SUM('[2]2016-2018 Plan_Non-Credit Life'!$I$55:INDEX('[2]2016-2018 Plan_Non-Credit Life'!$I55:'[2]2016-2018 Plan_Non-Credit Life'!$T55,$A$1))</f>
        <v>#REF!</v>
      </c>
      <c r="C59" s="11">
        <f>SUM($S59:INDEX($S59:$AD59,$A$1))</f>
        <v>1195</v>
      </c>
      <c r="D59" s="11"/>
      <c r="E59" s="14"/>
      <c r="L59" s="4"/>
      <c r="R59" s="4"/>
      <c r="Y59" s="127"/>
      <c r="Z59" s="127">
        <f>Data!U49</f>
        <v>210</v>
      </c>
      <c r="AA59" s="127">
        <f>Data!V49</f>
        <v>195</v>
      </c>
      <c r="AB59" s="127">
        <f>Data!W49</f>
        <v>306</v>
      </c>
      <c r="AC59" s="127">
        <f>Data!X49</f>
        <v>201</v>
      </c>
      <c r="AD59" s="127">
        <f>Data!Y49</f>
        <v>283</v>
      </c>
    </row>
    <row r="60" spans="1:30" x14ac:dyDescent="0.25">
      <c r="A60" s="17" t="s">
        <v>5</v>
      </c>
      <c r="B60" s="144" t="e">
        <f>B59/B57</f>
        <v>#REF!</v>
      </c>
      <c r="C60" s="49">
        <f>IFERROR(C59/C57,"-")</f>
        <v>2.0818815331010452</v>
      </c>
      <c r="D60" s="38"/>
      <c r="E60" s="48"/>
      <c r="G60" s="39"/>
      <c r="H60" s="39"/>
      <c r="I60" s="39"/>
      <c r="J60" s="39"/>
      <c r="K60" s="39"/>
      <c r="L60" s="47"/>
      <c r="M60" s="39"/>
      <c r="N60" s="39"/>
      <c r="O60" s="39"/>
      <c r="P60" s="39"/>
      <c r="Q60" s="39"/>
      <c r="R60" s="47"/>
      <c r="S60" s="39"/>
      <c r="T60" s="39"/>
      <c r="U60" s="39"/>
      <c r="V60" s="39"/>
      <c r="W60" s="39"/>
      <c r="X60" s="136"/>
      <c r="Y60" s="136"/>
      <c r="Z60" s="136">
        <f>IFERROR(Z59/Z57,0)</f>
        <v>2.1</v>
      </c>
      <c r="AA60" s="136">
        <f>IFERROR(AA59/AA57,0)</f>
        <v>2.1428571428571428</v>
      </c>
      <c r="AB60" s="136">
        <f>IFERROR(AB59/AB57,0)</f>
        <v>2.3538461538461539</v>
      </c>
      <c r="AC60" s="136">
        <f>IFERROR(AC59/AC57,0)</f>
        <v>1.7946428571428572</v>
      </c>
      <c r="AD60" s="136">
        <f>IFERROR(AD59/AD57,0)</f>
        <v>2.0070921985815602</v>
      </c>
    </row>
    <row r="61" spans="1:30" x14ac:dyDescent="0.25">
      <c r="A61" s="17" t="s">
        <v>6</v>
      </c>
      <c r="B61" s="137">
        <f>SUM(Data!N8:INDEX(Data!$N8:'Data'!$Y8,$A$1))</f>
        <v>26941.288963399569</v>
      </c>
      <c r="C61" s="11">
        <f>SUM($S61:INDEX($S61:$AD61,$A$1))</f>
        <v>19339.538</v>
      </c>
      <c r="D61" s="11"/>
      <c r="E61" s="14"/>
      <c r="G61" s="11"/>
      <c r="H61" s="11"/>
      <c r="I61" s="11"/>
      <c r="J61" s="11"/>
      <c r="K61" s="11"/>
      <c r="L61" s="50"/>
      <c r="M61" s="11"/>
      <c r="N61" s="11"/>
      <c r="O61" s="11"/>
      <c r="P61" s="11"/>
      <c r="Q61" s="11"/>
      <c r="R61" s="50"/>
      <c r="S61" s="11"/>
      <c r="T61" s="11"/>
      <c r="U61" s="11"/>
      <c r="V61" s="11"/>
      <c r="W61" s="11"/>
      <c r="X61" s="131"/>
      <c r="Y61" s="131"/>
      <c r="Z61" s="131">
        <f>Data!U20</f>
        <v>3008.45</v>
      </c>
      <c r="AA61" s="131">
        <f>Data!V20</f>
        <v>3026.7269999999999</v>
      </c>
      <c r="AB61" s="131">
        <f>Data!W20</f>
        <v>4662.5019999999995</v>
      </c>
      <c r="AC61" s="131">
        <f>Data!X20</f>
        <v>3282.4009999999994</v>
      </c>
      <c r="AD61" s="131">
        <f>Data!Y20</f>
        <v>5359.4579999999996</v>
      </c>
    </row>
    <row r="62" spans="1:30" x14ac:dyDescent="0.25">
      <c r="A62" s="17" t="s">
        <v>7</v>
      </c>
      <c r="B62" s="144" t="e">
        <f>B61/B59</f>
        <v>#REF!</v>
      </c>
      <c r="C62" s="38">
        <f>C61/C59</f>
        <v>16.18371380753138</v>
      </c>
      <c r="D62" s="38"/>
      <c r="E62" s="14"/>
      <c r="G62" s="6"/>
      <c r="H62" s="6"/>
      <c r="I62" s="6"/>
      <c r="J62" s="6"/>
      <c r="K62" s="6"/>
      <c r="L62" s="44"/>
      <c r="M62" s="6"/>
      <c r="N62" s="6"/>
      <c r="O62" s="6"/>
      <c r="P62" s="6"/>
      <c r="Q62" s="6"/>
      <c r="R62" s="44"/>
      <c r="S62" s="6"/>
      <c r="T62" s="6"/>
      <c r="U62" s="6"/>
      <c r="V62" s="6"/>
      <c r="W62" s="6"/>
      <c r="X62" s="132"/>
      <c r="Y62" s="132"/>
      <c r="Z62" s="132">
        <f>IFERROR(Z61/Z59,0)</f>
        <v>14.32595238095238</v>
      </c>
      <c r="AA62" s="132">
        <f>IFERROR(AA61/AA59,0)</f>
        <v>15.521676923076923</v>
      </c>
      <c r="AB62" s="132">
        <f>IFERROR(AB61/AB59,0)</f>
        <v>15.236934640522874</v>
      </c>
      <c r="AC62" s="132">
        <f>IFERROR(AC61/AC59,0)</f>
        <v>16.330353233830841</v>
      </c>
      <c r="AD62" s="132">
        <f>IFERROR(AD61/AD59,0)</f>
        <v>18.938014134275615</v>
      </c>
    </row>
    <row r="63" spans="1:30" x14ac:dyDescent="0.25">
      <c r="A63" s="17" t="s">
        <v>8</v>
      </c>
      <c r="B63" s="145" t="e">
        <f>B61/B56</f>
        <v>#REF!</v>
      </c>
      <c r="C63" s="49">
        <f>IFERROR(C61/SUM($S56:INDEX($S56:$AD56,$A$1)),"-")</f>
        <v>21.608422346368716</v>
      </c>
      <c r="D63" s="38"/>
      <c r="E63" s="48"/>
      <c r="G63" s="6"/>
      <c r="H63" s="6"/>
      <c r="I63" s="6"/>
      <c r="J63" s="6"/>
      <c r="K63" s="6"/>
      <c r="L63" s="44"/>
      <c r="M63" s="6"/>
      <c r="N63" s="6"/>
      <c r="O63" s="6"/>
      <c r="P63" s="6"/>
      <c r="Q63" s="6"/>
      <c r="R63" s="44"/>
      <c r="S63" s="6"/>
      <c r="T63" s="6"/>
      <c r="U63" s="6"/>
      <c r="V63" s="6"/>
      <c r="W63" s="6"/>
      <c r="X63" s="132"/>
      <c r="Y63" s="132"/>
      <c r="Z63" s="132">
        <f>IFERROR(Z61/Z56,0)</f>
        <v>21.800362318840577</v>
      </c>
      <c r="AA63" s="132">
        <f>IFERROR(AA61/AA56,0)</f>
        <v>20.450858108108108</v>
      </c>
      <c r="AB63" s="132">
        <f>IFERROR(AB61/AB56,0)</f>
        <v>20.72223111111111</v>
      </c>
      <c r="AC63" s="132">
        <f>IFERROR(AC61/AC56,0)</f>
        <v>18.035170329670326</v>
      </c>
      <c r="AD63" s="132">
        <f>IFERROR(AD61/AD56,0)</f>
        <v>26.531970297029702</v>
      </c>
    </row>
    <row r="64" spans="1:30" x14ac:dyDescent="0.25">
      <c r="A64" s="17" t="s">
        <v>9</v>
      </c>
      <c r="B64" s="145" t="e">
        <f>B61/B57</f>
        <v>#REF!</v>
      </c>
      <c r="C64" s="49">
        <f>IFERROR(C61/C57,"-")</f>
        <v>33.692574912891985</v>
      </c>
      <c r="D64" s="38"/>
      <c r="E64" s="48"/>
      <c r="G64" s="6"/>
      <c r="H64" s="6"/>
      <c r="I64" s="6"/>
      <c r="J64" s="6"/>
      <c r="K64" s="6"/>
      <c r="L64" s="44"/>
      <c r="M64" s="6"/>
      <c r="N64" s="6"/>
      <c r="O64" s="6"/>
      <c r="P64" s="6"/>
      <c r="Q64" s="6"/>
      <c r="R64" s="44"/>
      <c r="S64" s="6"/>
      <c r="T64" s="6"/>
      <c r="U64" s="6"/>
      <c r="V64" s="6"/>
      <c r="W64" s="6"/>
      <c r="X64" s="132"/>
      <c r="Y64" s="132"/>
      <c r="Z64" s="132">
        <f>IFERROR(Z61/Z57,0)</f>
        <v>30.084499999999998</v>
      </c>
      <c r="AA64" s="132">
        <f>IFERROR(AA61/AA57,0)</f>
        <v>33.260736263736263</v>
      </c>
      <c r="AB64" s="132">
        <f>IFERROR(AB61/AB57,0)</f>
        <v>35.865399999999994</v>
      </c>
      <c r="AC64" s="132">
        <f>IFERROR(AC61/AC57,0)</f>
        <v>29.307151785714279</v>
      </c>
      <c r="AD64" s="132">
        <f>IFERROR(AD61/AD57,0)</f>
        <v>38.010340425531915</v>
      </c>
    </row>
  </sheetData>
  <conditionalFormatting sqref="S42:AD51 S3:AD12 S16:AD25 S29:AD38">
    <cfRule type="expression" dxfId="309" priority="16">
      <formula>IF($A$1=MONTH(S$2),TRUE,FALSE)</formula>
    </cfRule>
  </conditionalFormatting>
  <conditionalFormatting sqref="Y2">
    <cfRule type="expression" dxfId="308" priority="15">
      <formula>IF($A$1=MONTH(Y$2),TRUE,FALSE)</formula>
    </cfRule>
  </conditionalFormatting>
  <conditionalFormatting sqref="Y15">
    <cfRule type="expression" dxfId="307" priority="14">
      <formula>IF($A$1=MONTH(Y$2),TRUE,FALSE)</formula>
    </cfRule>
  </conditionalFormatting>
  <conditionalFormatting sqref="Y28">
    <cfRule type="expression" dxfId="306" priority="13">
      <formula>IF($A$1=MONTH(Y$2),TRUE,FALSE)</formula>
    </cfRule>
  </conditionalFormatting>
  <conditionalFormatting sqref="Y41">
    <cfRule type="expression" dxfId="305" priority="12">
      <formula>IF($A$1=MONTH(Y$2),TRUE,FALSE)</formula>
    </cfRule>
  </conditionalFormatting>
  <conditionalFormatting sqref="S55:Z56 S60:Z64 S57:Y59">
    <cfRule type="expression" dxfId="304" priority="11">
      <formula>IF($A$1=MONTH(S$2),TRUE,FALSE)</formula>
    </cfRule>
  </conditionalFormatting>
  <conditionalFormatting sqref="Y54">
    <cfRule type="expression" dxfId="303" priority="10">
      <formula>IF($A$1=MONTH(Y$2),TRUE,FALSE)</formula>
    </cfRule>
  </conditionalFormatting>
  <conditionalFormatting sqref="Z57:Z59">
    <cfRule type="expression" dxfId="302" priority="9">
      <formula>IF($A$1=MONTH(Z$2),TRUE,FALSE)</formula>
    </cfRule>
  </conditionalFormatting>
  <conditionalFormatting sqref="AA55:AA56 AA60:AA64">
    <cfRule type="expression" dxfId="301" priority="8">
      <formula>IF($A$1=MONTH(AA$2),TRUE,FALSE)</formula>
    </cfRule>
  </conditionalFormatting>
  <conditionalFormatting sqref="AA57:AA59">
    <cfRule type="expression" dxfId="300" priority="7">
      <formula>IF($A$1=MONTH(AA$2),TRUE,FALSE)</formula>
    </cfRule>
  </conditionalFormatting>
  <conditionalFormatting sqref="AB55:AB56 AB60:AB64">
    <cfRule type="expression" dxfId="299" priority="6">
      <formula>IF($A$1=MONTH(AB$2),TRUE,FALSE)</formula>
    </cfRule>
  </conditionalFormatting>
  <conditionalFormatting sqref="AB57:AB59">
    <cfRule type="expression" dxfId="298" priority="5">
      <formula>IF($A$1=MONTH(AB$2),TRUE,FALSE)</formula>
    </cfRule>
  </conditionalFormatting>
  <conditionalFormatting sqref="AC55:AC56 AC60:AC64">
    <cfRule type="expression" dxfId="297" priority="4">
      <formula>IF($A$1=MONTH(AC$2),TRUE,FALSE)</formula>
    </cfRule>
  </conditionalFormatting>
  <conditionalFormatting sqref="AC57:AC59">
    <cfRule type="expression" dxfId="296" priority="3">
      <formula>IF($A$1=MONTH(AC$2),TRUE,FALSE)</formula>
    </cfRule>
  </conditionalFormatting>
  <conditionalFormatting sqref="AD55:AD56 AD60:AD64">
    <cfRule type="expression" dxfId="295" priority="2">
      <formula>IF($A$1=MONTH(AD$2),TRUE,FALSE)</formula>
    </cfRule>
  </conditionalFormatting>
  <conditionalFormatting sqref="AD57:AD59">
    <cfRule type="expression" dxfId="294" priority="1">
      <formula>IF($A$1=MONTH(AD$2),TRUE,FALSE)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0</xdr:col>
                    <xdr:colOff>133350</xdr:colOff>
                    <xdr:row>0</xdr:row>
                    <xdr:rowOff>19050</xdr:rowOff>
                  </from>
                  <to>
                    <xdr:col>0</xdr:col>
                    <xdr:colOff>847725</xdr:colOff>
                    <xdr:row>0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70C0"/>
  </sheetPr>
  <dimension ref="A1:AC39"/>
  <sheetViews>
    <sheetView showGridLines="0" zoomScale="90" zoomScaleNormal="90" workbookViewId="0">
      <pane xSplit="1" ySplit="2" topLeftCell="B3" activePane="bottomRight" state="frozen"/>
      <selection activeCell="F6" sqref="F6"/>
      <selection pane="topRight" activeCell="F6" sqref="F6"/>
      <selection pane="bottomLeft" activeCell="F6" sqref="F6"/>
      <selection pane="bottomRight" activeCell="F6" sqref="F6"/>
    </sheetView>
  </sheetViews>
  <sheetFormatPr defaultRowHeight="15" outlineLevelCol="1" x14ac:dyDescent="0.25"/>
  <cols>
    <col min="1" max="1" width="14.140625" bestFit="1" customWidth="1"/>
    <col min="4" max="4" width="11.42578125" bestFit="1" customWidth="1"/>
    <col min="7" max="16" width="0" hidden="1" customWidth="1" outlineLevel="1"/>
    <col min="17" max="17" width="9.140625" collapsed="1"/>
    <col min="19" max="24" width="9.140625" outlineLevel="1"/>
  </cols>
  <sheetData>
    <row r="1" spans="1:29" ht="27" customHeight="1" x14ac:dyDescent="0.25">
      <c r="A1" s="51">
        <v>12</v>
      </c>
    </row>
    <row r="2" spans="1:29" s="1" customFormat="1" x14ac:dyDescent="0.25">
      <c r="A2" s="1" t="s">
        <v>13</v>
      </c>
      <c r="B2" s="1" t="s">
        <v>10</v>
      </c>
      <c r="C2" s="1" t="s">
        <v>11</v>
      </c>
      <c r="D2" s="1" t="s">
        <v>12</v>
      </c>
      <c r="F2" s="1">
        <v>42020</v>
      </c>
      <c r="G2" s="1">
        <v>42051</v>
      </c>
      <c r="H2" s="1">
        <v>42079</v>
      </c>
      <c r="I2" s="1">
        <v>42110</v>
      </c>
      <c r="J2" s="1">
        <v>42140</v>
      </c>
      <c r="K2" s="1">
        <v>42171</v>
      </c>
      <c r="L2" s="1">
        <v>42201</v>
      </c>
      <c r="M2" s="1">
        <v>42232</v>
      </c>
      <c r="N2" s="1">
        <v>42263</v>
      </c>
      <c r="O2" s="1">
        <v>42293</v>
      </c>
      <c r="P2" s="1">
        <v>42324</v>
      </c>
      <c r="Q2" s="1">
        <v>42354</v>
      </c>
      <c r="R2" s="1">
        <v>42385</v>
      </c>
      <c r="S2" s="1">
        <v>42416</v>
      </c>
      <c r="T2" s="1">
        <v>42445</v>
      </c>
      <c r="U2" s="1">
        <v>42476</v>
      </c>
      <c r="V2" s="1">
        <v>42506</v>
      </c>
      <c r="W2" s="1">
        <v>42537</v>
      </c>
      <c r="X2" s="1">
        <v>42552</v>
      </c>
      <c r="Y2" s="1">
        <v>42583</v>
      </c>
      <c r="Z2" s="1">
        <v>42614</v>
      </c>
      <c r="AA2" s="1">
        <v>42644</v>
      </c>
      <c r="AB2" s="1">
        <v>42675</v>
      </c>
      <c r="AC2" s="1">
        <v>42705</v>
      </c>
    </row>
    <row r="3" spans="1:29" x14ac:dyDescent="0.25">
      <c r="A3" t="s">
        <v>14</v>
      </c>
      <c r="B3" s="11">
        <f>SUM($R3:INDEX($R3:$AC3,$A$1))</f>
        <v>5576.0709999999999</v>
      </c>
      <c r="C3" s="11">
        <f>SUM($F3:INDEX($F3:$Q3,$A$1))</f>
        <v>2861.9449999999997</v>
      </c>
      <c r="D3" s="14">
        <f>B3/C3-1</f>
        <v>0.94835016046779397</v>
      </c>
      <c r="F3" s="11">
        <f>F13+F23</f>
        <v>101.892</v>
      </c>
      <c r="G3" s="11">
        <f t="shared" ref="G3:W4" si="0">G13+G23</f>
        <v>83.787000000000006</v>
      </c>
      <c r="H3" s="11">
        <f t="shared" si="0"/>
        <v>200.8</v>
      </c>
      <c r="I3" s="11">
        <f t="shared" si="0"/>
        <v>177.84299999999999</v>
      </c>
      <c r="J3" s="11">
        <f t="shared" si="0"/>
        <v>195.822</v>
      </c>
      <c r="K3" s="11">
        <f t="shared" si="0"/>
        <v>219.447</v>
      </c>
      <c r="L3" s="11">
        <f t="shared" si="0"/>
        <v>217.387</v>
      </c>
      <c r="M3" s="11">
        <f t="shared" si="0"/>
        <v>179.44</v>
      </c>
      <c r="N3" s="11">
        <f t="shared" si="0"/>
        <v>236.262</v>
      </c>
      <c r="O3" s="11">
        <f t="shared" si="0"/>
        <v>367.661</v>
      </c>
      <c r="P3" s="11">
        <f t="shared" si="0"/>
        <v>466.71</v>
      </c>
      <c r="Q3" s="11">
        <f t="shared" si="0"/>
        <v>414.89400000000001</v>
      </c>
      <c r="R3" s="11">
        <f t="shared" si="0"/>
        <v>144.62200000000001</v>
      </c>
      <c r="S3" s="11">
        <f t="shared" si="0"/>
        <v>270.697</v>
      </c>
      <c r="T3" s="11">
        <f t="shared" si="0"/>
        <v>349.08300000000003</v>
      </c>
      <c r="U3" s="11">
        <f t="shared" si="0"/>
        <v>339.31099999999998</v>
      </c>
      <c r="V3" s="11">
        <f t="shared" si="0"/>
        <v>444.81099999999998</v>
      </c>
      <c r="W3" s="11">
        <f t="shared" si="0"/>
        <v>411.91500000000099</v>
      </c>
      <c r="X3" s="11">
        <f>X13+X23</f>
        <v>384.75099999999998</v>
      </c>
      <c r="Y3" s="11">
        <f t="shared" ref="Y3:AA4" si="1">Y13+Y23+Y33</f>
        <v>578.46199999999999</v>
      </c>
      <c r="Z3" s="11">
        <f t="shared" si="1"/>
        <v>616.18599999999913</v>
      </c>
      <c r="AA3" s="11">
        <f t="shared" si="1"/>
        <v>659.47900000000004</v>
      </c>
      <c r="AB3" s="11">
        <f t="shared" ref="AB3:AC3" si="2">AB13+AB23+AB33</f>
        <v>472.37900000000002</v>
      </c>
      <c r="AC3" s="11">
        <f t="shared" si="2"/>
        <v>904.375</v>
      </c>
    </row>
    <row r="4" spans="1:29" x14ac:dyDescent="0.25">
      <c r="A4" t="s">
        <v>15</v>
      </c>
      <c r="B4" s="11">
        <f>SUM($R4:INDEX($R4:$AC4,$A$1))</f>
        <v>192102.31299999999</v>
      </c>
      <c r="C4" s="11">
        <f>SUM($F4:INDEX($F4:$Q4,$A$1))</f>
        <v>104605.62500000003</v>
      </c>
      <c r="D4" s="14">
        <f>B4/C4-1</f>
        <v>0.83644343217680639</v>
      </c>
      <c r="F4" s="11">
        <f>F14+F24</f>
        <v>3667.1289999999999</v>
      </c>
      <c r="G4" s="11">
        <f t="shared" si="0"/>
        <v>2294.451</v>
      </c>
      <c r="H4" s="11">
        <f t="shared" si="0"/>
        <v>7358.8670000000002</v>
      </c>
      <c r="I4" s="11">
        <f t="shared" si="0"/>
        <v>6516.1009999999997</v>
      </c>
      <c r="J4" s="11">
        <f t="shared" si="0"/>
        <v>6568.7520000000004</v>
      </c>
      <c r="K4" s="11">
        <f t="shared" si="0"/>
        <v>8581.5100000000093</v>
      </c>
      <c r="L4" s="11">
        <f t="shared" si="0"/>
        <v>8268.277</v>
      </c>
      <c r="M4" s="11">
        <f t="shared" si="0"/>
        <v>6449.6949999999997</v>
      </c>
      <c r="N4" s="11">
        <f t="shared" si="0"/>
        <v>8693.0870000000104</v>
      </c>
      <c r="O4" s="11">
        <f t="shared" si="0"/>
        <v>12623.291999999999</v>
      </c>
      <c r="P4" s="11">
        <f t="shared" si="0"/>
        <v>16668.133000000002</v>
      </c>
      <c r="Q4" s="11">
        <f t="shared" si="0"/>
        <v>16916.330999999998</v>
      </c>
      <c r="R4" s="11">
        <f t="shared" si="0"/>
        <v>5683.9350000000004</v>
      </c>
      <c r="S4" s="11">
        <f t="shared" si="0"/>
        <v>8966.5000000000091</v>
      </c>
      <c r="T4" s="11">
        <f t="shared" si="0"/>
        <v>14179.177</v>
      </c>
      <c r="U4" s="11">
        <f t="shared" si="0"/>
        <v>11771.885</v>
      </c>
      <c r="V4" s="11">
        <f t="shared" si="0"/>
        <v>15183.444</v>
      </c>
      <c r="W4" s="11">
        <f t="shared" si="0"/>
        <v>16008.795</v>
      </c>
      <c r="X4" s="11">
        <f>X14+X24</f>
        <v>12956.3</v>
      </c>
      <c r="Y4" s="11">
        <f t="shared" si="1"/>
        <v>19452.117000000002</v>
      </c>
      <c r="Z4" s="11">
        <f t="shared" si="1"/>
        <v>20610.342999999979</v>
      </c>
      <c r="AA4" s="11">
        <f t="shared" si="1"/>
        <v>21252.087</v>
      </c>
      <c r="AB4" s="11">
        <f t="shared" ref="AB4:AC4" si="3">AB14+AB24+AB34</f>
        <v>16088.674000000001</v>
      </c>
      <c r="AC4" s="11">
        <f t="shared" si="3"/>
        <v>29949.056</v>
      </c>
    </row>
    <row r="5" spans="1:29" x14ac:dyDescent="0.25">
      <c r="A5" t="s">
        <v>16</v>
      </c>
      <c r="B5" s="14">
        <f>IFERROR(B3/B4,"")</f>
        <v>2.9026568774317675E-2</v>
      </c>
      <c r="C5" s="14">
        <f>IFERROR(C3/C4,"")</f>
        <v>2.735937957447316E-2</v>
      </c>
      <c r="D5" s="14">
        <f>B5/C5-1</f>
        <v>6.0936659594431619E-2</v>
      </c>
      <c r="F5" s="14">
        <f t="shared" ref="F5:X5" si="4">IFERROR(F3/F4,"")</f>
        <v>2.778522380859795E-2</v>
      </c>
      <c r="G5" s="14">
        <f t="shared" si="4"/>
        <v>3.6517232226794122E-2</v>
      </c>
      <c r="H5" s="14">
        <f t="shared" si="4"/>
        <v>2.7286809232997419E-2</v>
      </c>
      <c r="I5" s="14">
        <f t="shared" si="4"/>
        <v>2.7292855037084292E-2</v>
      </c>
      <c r="J5" s="14">
        <f t="shared" si="4"/>
        <v>2.9811142207834911E-2</v>
      </c>
      <c r="K5" s="14">
        <f t="shared" si="4"/>
        <v>2.5572072980163136E-2</v>
      </c>
      <c r="L5" s="14">
        <f t="shared" si="4"/>
        <v>2.6291692936750908E-2</v>
      </c>
      <c r="M5" s="14">
        <f t="shared" si="4"/>
        <v>2.7821470627680846E-2</v>
      </c>
      <c r="N5" s="14">
        <f t="shared" si="4"/>
        <v>2.7178147417597422E-2</v>
      </c>
      <c r="O5" s="14">
        <f t="shared" si="4"/>
        <v>2.9125603685631295E-2</v>
      </c>
      <c r="P5" s="14">
        <f t="shared" si="4"/>
        <v>2.8000136547986505E-2</v>
      </c>
      <c r="Q5" s="14">
        <f t="shared" si="4"/>
        <v>2.452624035318297E-2</v>
      </c>
      <c r="R5" s="14">
        <f t="shared" si="4"/>
        <v>2.5443992586122115E-2</v>
      </c>
      <c r="S5" s="14">
        <f t="shared" si="4"/>
        <v>3.0189817654603216E-2</v>
      </c>
      <c r="T5" s="14">
        <f t="shared" si="4"/>
        <v>2.4619411972923395E-2</v>
      </c>
      <c r="U5" s="14">
        <f t="shared" si="4"/>
        <v>2.8823845968593814E-2</v>
      </c>
      <c r="V5" s="14">
        <f t="shared" si="4"/>
        <v>2.9295790862731801E-2</v>
      </c>
      <c r="W5" s="14">
        <f t="shared" si="4"/>
        <v>2.5730543741737024E-2</v>
      </c>
      <c r="X5" s="14">
        <f t="shared" si="4"/>
        <v>2.9696055200944715E-2</v>
      </c>
      <c r="Y5" s="14">
        <f>IFERROR(Y3/Y4,"")</f>
        <v>2.9737740113325452E-2</v>
      </c>
      <c r="Z5" s="14">
        <f>IFERROR(Z3/Z4,"")</f>
        <v>2.9896930875919908E-2</v>
      </c>
      <c r="AA5" s="14">
        <f>IFERROR(AA3/AA4,"")</f>
        <v>3.1031258247719393E-2</v>
      </c>
      <c r="AB5" s="14">
        <f>IFERROR(AB3/AB4,"")</f>
        <v>2.9360965359855013E-2</v>
      </c>
      <c r="AC5" s="14">
        <f>IFERROR(AC3/AC4,"")</f>
        <v>3.0197112055885836E-2</v>
      </c>
    </row>
    <row r="7" spans="1:29" x14ac:dyDescent="0.25">
      <c r="A7" t="s">
        <v>4</v>
      </c>
      <c r="B7" s="11">
        <f>SUM($R7:INDEX($R7:$AC7,$A$1))</f>
        <v>10875</v>
      </c>
      <c r="C7" s="11">
        <f>SUM($F7:INDEX($F7:$Q7,$A$1))</f>
        <v>5970</v>
      </c>
      <c r="D7" s="14">
        <f>B7/C7-1</f>
        <v>0.82160804020100509</v>
      </c>
      <c r="F7" s="11">
        <f>F17+F27</f>
        <v>224</v>
      </c>
      <c r="G7" s="11">
        <f t="shared" ref="G7:W7" si="5">G17+G27</f>
        <v>131</v>
      </c>
      <c r="H7" s="11">
        <f t="shared" si="5"/>
        <v>413</v>
      </c>
      <c r="I7" s="11">
        <f t="shared" si="5"/>
        <v>388</v>
      </c>
      <c r="J7" s="11">
        <f t="shared" si="5"/>
        <v>356</v>
      </c>
      <c r="K7" s="11">
        <f t="shared" si="5"/>
        <v>485</v>
      </c>
      <c r="L7" s="11">
        <f t="shared" si="5"/>
        <v>480</v>
      </c>
      <c r="M7" s="11">
        <f t="shared" si="5"/>
        <v>397</v>
      </c>
      <c r="N7" s="11">
        <f t="shared" si="5"/>
        <v>491</v>
      </c>
      <c r="O7" s="11">
        <f t="shared" si="5"/>
        <v>701</v>
      </c>
      <c r="P7" s="11">
        <f t="shared" si="5"/>
        <v>940</v>
      </c>
      <c r="Q7" s="11">
        <f t="shared" si="5"/>
        <v>964</v>
      </c>
      <c r="R7" s="11">
        <f t="shared" si="5"/>
        <v>359</v>
      </c>
      <c r="S7" s="11">
        <f t="shared" si="5"/>
        <v>528</v>
      </c>
      <c r="T7" s="11">
        <f t="shared" si="5"/>
        <v>853</v>
      </c>
      <c r="U7" s="11">
        <f t="shared" si="5"/>
        <v>704</v>
      </c>
      <c r="V7" s="11">
        <f t="shared" si="5"/>
        <v>873</v>
      </c>
      <c r="W7" s="11">
        <f t="shared" si="5"/>
        <v>902</v>
      </c>
      <c r="X7" s="11">
        <f>X17+X27</f>
        <v>744</v>
      </c>
      <c r="Y7" s="11">
        <f t="shared" ref="Y7:AA8" si="6">Y17+Y27+Y37</f>
        <v>1116</v>
      </c>
      <c r="Z7" s="11">
        <f t="shared" si="6"/>
        <v>1098</v>
      </c>
      <c r="AA7" s="11">
        <f t="shared" si="6"/>
        <v>1265</v>
      </c>
      <c r="AB7" s="11">
        <f t="shared" ref="AB7:AC7" si="7">AB17+AB27+AB37</f>
        <v>894</v>
      </c>
      <c r="AC7" s="11">
        <f t="shared" si="7"/>
        <v>1539</v>
      </c>
    </row>
    <row r="8" spans="1:29" x14ac:dyDescent="0.25">
      <c r="A8" t="s">
        <v>17</v>
      </c>
      <c r="B8" s="11">
        <f>SUM($R8:INDEX($R8:$AC8,$A$1))</f>
        <v>11028</v>
      </c>
      <c r="C8" s="11">
        <f>SUM($F8:INDEX($F8:$Q8,$A$1))</f>
        <v>5800</v>
      </c>
      <c r="D8" s="14">
        <f>B8/C8-1</f>
        <v>0.90137931034482754</v>
      </c>
      <c r="F8" s="11">
        <f>F18+F28</f>
        <v>230</v>
      </c>
      <c r="G8" s="11">
        <f t="shared" ref="G8:W8" si="8">G18+G28</f>
        <v>155</v>
      </c>
      <c r="H8" s="11">
        <f t="shared" si="8"/>
        <v>414</v>
      </c>
      <c r="I8" s="11">
        <f t="shared" si="8"/>
        <v>372</v>
      </c>
      <c r="J8" s="11">
        <f t="shared" si="8"/>
        <v>365</v>
      </c>
      <c r="K8" s="11">
        <f t="shared" si="8"/>
        <v>469</v>
      </c>
      <c r="L8" s="11">
        <f t="shared" si="8"/>
        <v>481</v>
      </c>
      <c r="M8" s="11">
        <f t="shared" si="8"/>
        <v>383</v>
      </c>
      <c r="N8" s="11">
        <f t="shared" si="8"/>
        <v>463</v>
      </c>
      <c r="O8" s="11">
        <f t="shared" si="8"/>
        <v>698</v>
      </c>
      <c r="P8" s="11">
        <f t="shared" si="8"/>
        <v>904</v>
      </c>
      <c r="Q8" s="11">
        <f t="shared" si="8"/>
        <v>866</v>
      </c>
      <c r="R8" s="11">
        <f t="shared" si="8"/>
        <v>334</v>
      </c>
      <c r="S8" s="11">
        <f t="shared" si="8"/>
        <v>633</v>
      </c>
      <c r="T8" s="11">
        <f t="shared" si="8"/>
        <v>797</v>
      </c>
      <c r="U8" s="11">
        <f t="shared" si="8"/>
        <v>709</v>
      </c>
      <c r="V8" s="11">
        <f t="shared" si="8"/>
        <v>880</v>
      </c>
      <c r="W8" s="11">
        <f t="shared" si="8"/>
        <v>873</v>
      </c>
      <c r="X8" s="11">
        <f>X18+X28</f>
        <v>778</v>
      </c>
      <c r="Y8" s="11">
        <f t="shared" si="6"/>
        <v>1149</v>
      </c>
      <c r="Z8" s="11">
        <f t="shared" si="6"/>
        <v>1142</v>
      </c>
      <c r="AA8" s="11">
        <f t="shared" si="6"/>
        <v>1252</v>
      </c>
      <c r="AB8" s="11">
        <f t="shared" ref="AB8:AC8" si="9">AB18+AB28+AB38</f>
        <v>914</v>
      </c>
      <c r="AC8" s="11">
        <f t="shared" si="9"/>
        <v>1567</v>
      </c>
    </row>
    <row r="9" spans="1:29" x14ac:dyDescent="0.25">
      <c r="A9" t="s">
        <v>18</v>
      </c>
      <c r="B9" s="8">
        <f>IFERROR(B7/B8,"")</f>
        <v>0.98612622415669204</v>
      </c>
      <c r="C9" s="8">
        <f>IFERROR(C7/C8,"")</f>
        <v>1.0293103448275862</v>
      </c>
      <c r="D9" s="14">
        <f>B9/C9-1</f>
        <v>-4.1954422092326027E-2</v>
      </c>
      <c r="F9" s="8">
        <f t="shared" ref="F9:X9" si="10">IFERROR(F7/F8,"")</f>
        <v>0.97391304347826091</v>
      </c>
      <c r="G9" s="8">
        <f t="shared" si="10"/>
        <v>0.84516129032258069</v>
      </c>
      <c r="H9" s="8">
        <f t="shared" si="10"/>
        <v>0.99758454106280192</v>
      </c>
      <c r="I9" s="8">
        <f t="shared" si="10"/>
        <v>1.043010752688172</v>
      </c>
      <c r="J9" s="8">
        <f t="shared" si="10"/>
        <v>0.97534246575342465</v>
      </c>
      <c r="K9" s="8">
        <f t="shared" si="10"/>
        <v>1.0341151385927505</v>
      </c>
      <c r="L9" s="8">
        <f t="shared" si="10"/>
        <v>0.99792099792099798</v>
      </c>
      <c r="M9" s="8">
        <f t="shared" si="10"/>
        <v>1.0365535248041775</v>
      </c>
      <c r="N9" s="8">
        <f t="shared" si="10"/>
        <v>1.0604751619870409</v>
      </c>
      <c r="O9" s="8">
        <f t="shared" si="10"/>
        <v>1.0042979942693411</v>
      </c>
      <c r="P9" s="8">
        <f t="shared" si="10"/>
        <v>1.0398230088495575</v>
      </c>
      <c r="Q9" s="8">
        <f t="shared" si="10"/>
        <v>1.1131639722863742</v>
      </c>
      <c r="R9" s="8">
        <f t="shared" si="10"/>
        <v>1.0748502994011977</v>
      </c>
      <c r="S9" s="8">
        <f t="shared" si="10"/>
        <v>0.83412322274881512</v>
      </c>
      <c r="T9" s="8">
        <f t="shared" si="10"/>
        <v>1.070263488080301</v>
      </c>
      <c r="U9" s="8">
        <f t="shared" si="10"/>
        <v>0.99294781382228492</v>
      </c>
      <c r="V9" s="8">
        <f t="shared" si="10"/>
        <v>0.99204545454545456</v>
      </c>
      <c r="W9" s="8">
        <f t="shared" si="10"/>
        <v>1.0332187857961055</v>
      </c>
      <c r="X9" s="8">
        <f t="shared" si="10"/>
        <v>0.95629820051413883</v>
      </c>
      <c r="Y9" s="8">
        <f>IFERROR(Y7/Y8,"")</f>
        <v>0.97127937336814618</v>
      </c>
      <c r="Z9" s="8">
        <f>IFERROR(Z7/Z8,"")</f>
        <v>0.96147110332749564</v>
      </c>
      <c r="AA9" s="8">
        <f>IFERROR(AA7/AA8,"")</f>
        <v>1.0103833865814698</v>
      </c>
      <c r="AB9" s="8">
        <f>IFERROR(AB7/AB8,"")</f>
        <v>0.97811816192560175</v>
      </c>
      <c r="AC9" s="8">
        <f>IFERROR(AC7/AC8,"")</f>
        <v>0.98213146139119334</v>
      </c>
    </row>
    <row r="12" spans="1:29" s="1" customFormat="1" x14ac:dyDescent="0.25">
      <c r="A12" s="1" t="s">
        <v>47</v>
      </c>
      <c r="B12" s="1" t="s">
        <v>10</v>
      </c>
      <c r="C12" s="1" t="s">
        <v>11</v>
      </c>
      <c r="D12" s="1" t="s">
        <v>12</v>
      </c>
      <c r="F12" s="1">
        <v>42020</v>
      </c>
      <c r="G12" s="1">
        <v>42051</v>
      </c>
      <c r="H12" s="1">
        <v>42079</v>
      </c>
      <c r="I12" s="1">
        <v>42110</v>
      </c>
      <c r="J12" s="1">
        <v>42140</v>
      </c>
      <c r="K12" s="1">
        <v>42171</v>
      </c>
      <c r="L12" s="1">
        <v>42201</v>
      </c>
      <c r="M12" s="1">
        <v>42232</v>
      </c>
      <c r="N12" s="1">
        <v>42263</v>
      </c>
      <c r="O12" s="1">
        <v>42293</v>
      </c>
      <c r="P12" s="1">
        <v>42324</v>
      </c>
      <c r="Q12" s="1">
        <v>42354</v>
      </c>
      <c r="R12" s="1">
        <v>42385</v>
      </c>
      <c r="S12" s="1">
        <v>42416</v>
      </c>
      <c r="T12" s="1">
        <v>42445</v>
      </c>
      <c r="U12" s="1">
        <v>42476</v>
      </c>
      <c r="V12" s="1">
        <v>42506</v>
      </c>
      <c r="W12" s="1">
        <v>42537</v>
      </c>
      <c r="X12" s="1">
        <v>42567</v>
      </c>
      <c r="Y12" s="1">
        <v>42583</v>
      </c>
      <c r="Z12" s="1">
        <f>$Z$2</f>
        <v>42614</v>
      </c>
      <c r="AA12" s="1">
        <f>AA$2</f>
        <v>42644</v>
      </c>
      <c r="AB12" s="1">
        <f t="shared" ref="AB12:AC12" si="11">AB$2</f>
        <v>42675</v>
      </c>
      <c r="AC12" s="1">
        <f t="shared" si="11"/>
        <v>42705</v>
      </c>
    </row>
    <row r="13" spans="1:29" x14ac:dyDescent="0.25">
      <c r="A13" t="s">
        <v>14</v>
      </c>
      <c r="B13" s="11">
        <f>SUM($R13:INDEX($R13:$AC13,$A$1))</f>
        <v>4844.5959999999995</v>
      </c>
      <c r="C13" s="11">
        <f>SUM($F13:INDEX($F13:$Q13,$A$1))</f>
        <v>2861.9449999999997</v>
      </c>
      <c r="D13" s="14">
        <f>B13/C13-1</f>
        <v>0.69276348776793406</v>
      </c>
      <c r="F13" s="11">
        <f>Data!B30</f>
        <v>101.892</v>
      </c>
      <c r="G13" s="11">
        <f>Data!C30</f>
        <v>83.787000000000006</v>
      </c>
      <c r="H13" s="11">
        <f>Data!D30</f>
        <v>200.8</v>
      </c>
      <c r="I13" s="11">
        <f>Data!E30</f>
        <v>177.84299999999999</v>
      </c>
      <c r="J13" s="11">
        <f>Data!F30</f>
        <v>195.822</v>
      </c>
      <c r="K13" s="11">
        <f>Data!G30</f>
        <v>219.447</v>
      </c>
      <c r="L13" s="11">
        <f>Data!H30</f>
        <v>217.387</v>
      </c>
      <c r="M13" s="11">
        <f>Data!I30</f>
        <v>179.44</v>
      </c>
      <c r="N13" s="11">
        <f>Data!J30</f>
        <v>236.262</v>
      </c>
      <c r="O13" s="11">
        <f>Data!K30</f>
        <v>367.661</v>
      </c>
      <c r="P13" s="11">
        <f>Data!L30</f>
        <v>466.71</v>
      </c>
      <c r="Q13" s="11">
        <f>Data!M30</f>
        <v>414.89400000000001</v>
      </c>
      <c r="R13" s="11">
        <f>Data!N30</f>
        <v>144.62200000000001</v>
      </c>
      <c r="S13" s="11">
        <f>Data!O30</f>
        <v>270.697</v>
      </c>
      <c r="T13" s="11">
        <f>Data!P30</f>
        <v>349.08300000000003</v>
      </c>
      <c r="U13" s="11">
        <f>Data!Q30</f>
        <v>339.31099999999998</v>
      </c>
      <c r="V13" s="11">
        <f>Data!R30</f>
        <v>444.81099999999998</v>
      </c>
      <c r="W13" s="11">
        <f>Data!S30</f>
        <v>411.91500000000099</v>
      </c>
      <c r="X13" s="11">
        <f>Data!T30</f>
        <v>384.75099999999998</v>
      </c>
      <c r="Y13" s="11">
        <f>Data!U30</f>
        <v>437.78899999999999</v>
      </c>
      <c r="Z13" s="11">
        <f>Data!V30</f>
        <v>483.17499999999899</v>
      </c>
      <c r="AA13" s="11">
        <f>Data!W30</f>
        <v>473.74900000000002</v>
      </c>
      <c r="AB13" s="11">
        <f>Data!X30</f>
        <v>366.95499999999998</v>
      </c>
      <c r="AC13" s="11">
        <f>Data!Y30</f>
        <v>737.73800000000006</v>
      </c>
    </row>
    <row r="14" spans="1:29" x14ac:dyDescent="0.25">
      <c r="A14" t="s">
        <v>15</v>
      </c>
      <c r="B14" s="11">
        <f>SUM($R14:INDEX($R14:$AC14,$A$1))</f>
        <v>172762.77499999997</v>
      </c>
      <c r="C14" s="11">
        <f>SUM($F14:INDEX($F14:$Q14,$A$1))</f>
        <v>104605.62500000003</v>
      </c>
      <c r="D14" s="14">
        <f>B14/C14-1</f>
        <v>0.65156295371305251</v>
      </c>
      <c r="F14" s="11">
        <f>Data!B19</f>
        <v>3667.1289999999999</v>
      </c>
      <c r="G14" s="11">
        <f>Data!C19</f>
        <v>2294.451</v>
      </c>
      <c r="H14" s="11">
        <f>Data!D19</f>
        <v>7358.8670000000002</v>
      </c>
      <c r="I14" s="11">
        <f>Data!E19</f>
        <v>6516.1009999999997</v>
      </c>
      <c r="J14" s="11">
        <f>Data!F19</f>
        <v>6568.7520000000004</v>
      </c>
      <c r="K14" s="11">
        <f>Data!G19</f>
        <v>8581.5100000000093</v>
      </c>
      <c r="L14" s="11">
        <f>Data!H19</f>
        <v>8268.277</v>
      </c>
      <c r="M14" s="11">
        <f>Data!I19</f>
        <v>6449.6949999999997</v>
      </c>
      <c r="N14" s="11">
        <f>Data!J19</f>
        <v>8693.0870000000104</v>
      </c>
      <c r="O14" s="11">
        <f>Data!K19</f>
        <v>12623.291999999999</v>
      </c>
      <c r="P14" s="11">
        <f>Data!L19</f>
        <v>16668.133000000002</v>
      </c>
      <c r="Q14" s="11">
        <f>Data!M19</f>
        <v>16916.330999999998</v>
      </c>
      <c r="R14" s="11">
        <f>Data!N19</f>
        <v>5683.9350000000004</v>
      </c>
      <c r="S14" s="11">
        <f>Data!O19</f>
        <v>8966.5000000000091</v>
      </c>
      <c r="T14" s="11">
        <f>Data!P19</f>
        <v>14179.177</v>
      </c>
      <c r="U14" s="11">
        <f>Data!Q19</f>
        <v>11771.885</v>
      </c>
      <c r="V14" s="11">
        <f>Data!R19</f>
        <v>15183.444</v>
      </c>
      <c r="W14" s="11">
        <f>Data!S19</f>
        <v>16008.795</v>
      </c>
      <c r="X14" s="11">
        <f>Data!T19</f>
        <v>12956.3</v>
      </c>
      <c r="Y14" s="11">
        <f>Data!U19</f>
        <v>16443.667000000001</v>
      </c>
      <c r="Z14" s="11">
        <f>Data!V19</f>
        <v>17583.61599999998</v>
      </c>
      <c r="AA14" s="11">
        <f>Data!W19</f>
        <v>16589.584999999999</v>
      </c>
      <c r="AB14" s="11">
        <f>Data!X19</f>
        <v>12806.273000000001</v>
      </c>
      <c r="AC14" s="11">
        <f>Data!Y19</f>
        <v>24589.598000000002</v>
      </c>
    </row>
    <row r="15" spans="1:29" x14ac:dyDescent="0.25">
      <c r="A15" t="s">
        <v>16</v>
      </c>
      <c r="B15" s="14">
        <f>IFERROR(B13/B14,"")</f>
        <v>2.8041897335812072E-2</v>
      </c>
      <c r="C15" s="14">
        <f>IFERROR(C13/C14,"")</f>
        <v>2.735937957447316E-2</v>
      </c>
      <c r="D15" s="14">
        <f>B15/C15-1</f>
        <v>2.4946390303956845E-2</v>
      </c>
      <c r="F15" s="14">
        <f>F13/F14</f>
        <v>2.778522380859795E-2</v>
      </c>
      <c r="G15" s="14">
        <f t="shared" ref="G15:W15" si="12">G13/G14</f>
        <v>3.6517232226794122E-2</v>
      </c>
      <c r="H15" s="14">
        <f t="shared" si="12"/>
        <v>2.7286809232997419E-2</v>
      </c>
      <c r="I15" s="14">
        <f t="shared" si="12"/>
        <v>2.7292855037084292E-2</v>
      </c>
      <c r="J15" s="14">
        <f t="shared" si="12"/>
        <v>2.9811142207834911E-2</v>
      </c>
      <c r="K15" s="14">
        <f t="shared" si="12"/>
        <v>2.5572072980163136E-2</v>
      </c>
      <c r="L15" s="14">
        <f t="shared" si="12"/>
        <v>2.6291692936750908E-2</v>
      </c>
      <c r="M15" s="14">
        <f t="shared" si="12"/>
        <v>2.7821470627680846E-2</v>
      </c>
      <c r="N15" s="14">
        <f t="shared" si="12"/>
        <v>2.7178147417597422E-2</v>
      </c>
      <c r="O15" s="14">
        <f t="shared" si="12"/>
        <v>2.9125603685631295E-2</v>
      </c>
      <c r="P15" s="14">
        <f t="shared" si="12"/>
        <v>2.8000136547986505E-2</v>
      </c>
      <c r="Q15" s="14">
        <f t="shared" si="12"/>
        <v>2.452624035318297E-2</v>
      </c>
      <c r="R15" s="14">
        <f t="shared" si="12"/>
        <v>2.5443992586122115E-2</v>
      </c>
      <c r="S15" s="14">
        <f t="shared" si="12"/>
        <v>3.0189817654603216E-2</v>
      </c>
      <c r="T15" s="14">
        <f t="shared" si="12"/>
        <v>2.4619411972923395E-2</v>
      </c>
      <c r="U15" s="14">
        <f t="shared" si="12"/>
        <v>2.8823845968593814E-2</v>
      </c>
      <c r="V15" s="14">
        <f t="shared" si="12"/>
        <v>2.9295790862731801E-2</v>
      </c>
      <c r="W15" s="14">
        <f t="shared" si="12"/>
        <v>2.5730543741737024E-2</v>
      </c>
      <c r="X15" s="14">
        <f t="shared" ref="X15:AC15" si="13">X13/X14</f>
        <v>2.9696055200944715E-2</v>
      </c>
      <c r="Y15" s="14">
        <f t="shared" si="13"/>
        <v>2.6623562736949123E-2</v>
      </c>
      <c r="Z15" s="14">
        <f t="shared" si="13"/>
        <v>2.7478705176455148E-2</v>
      </c>
      <c r="AA15" s="14">
        <f t="shared" si="13"/>
        <v>2.8557013330954333E-2</v>
      </c>
      <c r="AB15" s="14">
        <f t="shared" si="13"/>
        <v>2.8654316521286086E-2</v>
      </c>
      <c r="AC15" s="14">
        <f t="shared" si="13"/>
        <v>3.0002035820187057E-2</v>
      </c>
    </row>
    <row r="17" spans="1:29" x14ac:dyDescent="0.25">
      <c r="A17" t="s">
        <v>4</v>
      </c>
      <c r="B17" s="11">
        <f>SUM($R17:INDEX($R17:$AC17,$A$1))</f>
        <v>9680</v>
      </c>
      <c r="C17" s="11">
        <f>SUM($F17:INDEX($F17:$Q17,$A$1))</f>
        <v>5970</v>
      </c>
      <c r="D17" s="14">
        <f>B17/C17-1</f>
        <v>0.62144053601340032</v>
      </c>
      <c r="F17">
        <f>Data!B48</f>
        <v>224</v>
      </c>
      <c r="G17">
        <f>Data!C48</f>
        <v>131</v>
      </c>
      <c r="H17">
        <f>Data!D48</f>
        <v>413</v>
      </c>
      <c r="I17">
        <f>Data!E48</f>
        <v>388</v>
      </c>
      <c r="J17">
        <f>Data!F48</f>
        <v>356</v>
      </c>
      <c r="K17">
        <f>Data!G48</f>
        <v>485</v>
      </c>
      <c r="L17">
        <f>Data!H48</f>
        <v>480</v>
      </c>
      <c r="M17">
        <f>Data!I48</f>
        <v>397</v>
      </c>
      <c r="N17">
        <f>Data!J48</f>
        <v>491</v>
      </c>
      <c r="O17">
        <f>Data!K48</f>
        <v>701</v>
      </c>
      <c r="P17">
        <f>Data!L48</f>
        <v>940</v>
      </c>
      <c r="Q17">
        <f>Data!M48</f>
        <v>964</v>
      </c>
      <c r="R17">
        <f>Data!N48</f>
        <v>359</v>
      </c>
      <c r="S17">
        <f>Data!O48</f>
        <v>528</v>
      </c>
      <c r="T17">
        <f>Data!P48</f>
        <v>853</v>
      </c>
      <c r="U17">
        <f>Data!Q48</f>
        <v>704</v>
      </c>
      <c r="V17">
        <f>Data!R48</f>
        <v>873</v>
      </c>
      <c r="W17">
        <f>Data!S48</f>
        <v>902</v>
      </c>
      <c r="X17">
        <f>Data!T48</f>
        <v>744</v>
      </c>
      <c r="Y17">
        <f>Data!U48</f>
        <v>906</v>
      </c>
      <c r="Z17">
        <f>Data!V48</f>
        <v>903</v>
      </c>
      <c r="AA17">
        <f>Data!W48</f>
        <v>959</v>
      </c>
      <c r="AB17">
        <f>Data!X48</f>
        <v>693</v>
      </c>
      <c r="AC17">
        <f>Data!Y48</f>
        <v>1256</v>
      </c>
    </row>
    <row r="18" spans="1:29" x14ac:dyDescent="0.25">
      <c r="A18" t="s">
        <v>17</v>
      </c>
      <c r="B18" s="11">
        <f>SUM($R18:INDEX($R18:$AC18,$A$1))</f>
        <v>9748</v>
      </c>
      <c r="C18" s="11">
        <f>SUM($F18:INDEX($F18:$Q18,$A$1))</f>
        <v>5800</v>
      </c>
      <c r="D18" s="14">
        <f>B18/C18-1</f>
        <v>0.68068965517241375</v>
      </c>
      <c r="F18">
        <f>Data!B57</f>
        <v>230</v>
      </c>
      <c r="G18">
        <f>Data!C57</f>
        <v>155</v>
      </c>
      <c r="H18">
        <f>Data!D57</f>
        <v>414</v>
      </c>
      <c r="I18">
        <f>Data!E57</f>
        <v>372</v>
      </c>
      <c r="J18">
        <f>Data!F57</f>
        <v>365</v>
      </c>
      <c r="K18">
        <f>Data!G57</f>
        <v>469</v>
      </c>
      <c r="L18">
        <f>Data!H57</f>
        <v>481</v>
      </c>
      <c r="M18">
        <f>Data!I57</f>
        <v>383</v>
      </c>
      <c r="N18">
        <f>Data!J57</f>
        <v>463</v>
      </c>
      <c r="O18">
        <f>Data!K57</f>
        <v>698</v>
      </c>
      <c r="P18">
        <f>Data!L57</f>
        <v>904</v>
      </c>
      <c r="Q18">
        <f>Data!M57</f>
        <v>866</v>
      </c>
      <c r="R18">
        <f>Data!N57</f>
        <v>334</v>
      </c>
      <c r="S18">
        <f>Data!O57</f>
        <v>633</v>
      </c>
      <c r="T18">
        <f>Data!P57</f>
        <v>797</v>
      </c>
      <c r="U18">
        <f>Data!Q57</f>
        <v>709</v>
      </c>
      <c r="V18">
        <f>Data!R57</f>
        <v>880</v>
      </c>
      <c r="W18">
        <f>Data!S57</f>
        <v>873</v>
      </c>
      <c r="X18">
        <f>Data!T57</f>
        <v>778</v>
      </c>
      <c r="Y18">
        <f>Data!U57</f>
        <v>874</v>
      </c>
      <c r="Z18">
        <f>Data!V57</f>
        <v>925</v>
      </c>
      <c r="AA18">
        <f>Data!W57</f>
        <v>928</v>
      </c>
      <c r="AB18">
        <f>Data!X57</f>
        <v>731</v>
      </c>
      <c r="AC18">
        <f>Data!Y57</f>
        <v>1286</v>
      </c>
    </row>
    <row r="19" spans="1:29" x14ac:dyDescent="0.25">
      <c r="A19" t="s">
        <v>18</v>
      </c>
      <c r="B19" s="8">
        <f>IFERROR(B17/B18,"")</f>
        <v>0.99302421009437836</v>
      </c>
      <c r="C19" s="8">
        <f>IFERROR(C17/C18,"")</f>
        <v>1.0293103448275862</v>
      </c>
      <c r="D19" s="14">
        <f>B19/C19-1</f>
        <v>-3.5252861214841835E-2</v>
      </c>
      <c r="F19" s="8">
        <f t="shared" ref="F19:X19" si="14">F17/F18</f>
        <v>0.97391304347826091</v>
      </c>
      <c r="G19" s="8">
        <f t="shared" si="14"/>
        <v>0.84516129032258069</v>
      </c>
      <c r="H19" s="8">
        <f t="shared" si="14"/>
        <v>0.99758454106280192</v>
      </c>
      <c r="I19" s="8">
        <f t="shared" si="14"/>
        <v>1.043010752688172</v>
      </c>
      <c r="J19" s="8">
        <f t="shared" si="14"/>
        <v>0.97534246575342465</v>
      </c>
      <c r="K19" s="8">
        <f t="shared" si="14"/>
        <v>1.0341151385927505</v>
      </c>
      <c r="L19" s="8">
        <f t="shared" si="14"/>
        <v>0.99792099792099798</v>
      </c>
      <c r="M19" s="8">
        <f t="shared" si="14"/>
        <v>1.0365535248041775</v>
      </c>
      <c r="N19" s="8">
        <f t="shared" si="14"/>
        <v>1.0604751619870409</v>
      </c>
      <c r="O19" s="8">
        <f t="shared" si="14"/>
        <v>1.0042979942693411</v>
      </c>
      <c r="P19" s="8">
        <f t="shared" si="14"/>
        <v>1.0398230088495575</v>
      </c>
      <c r="Q19" s="8">
        <f t="shared" si="14"/>
        <v>1.1131639722863742</v>
      </c>
      <c r="R19" s="8">
        <f t="shared" si="14"/>
        <v>1.0748502994011977</v>
      </c>
      <c r="S19" s="8">
        <f t="shared" si="14"/>
        <v>0.83412322274881512</v>
      </c>
      <c r="T19" s="8">
        <f t="shared" si="14"/>
        <v>1.070263488080301</v>
      </c>
      <c r="U19" s="8">
        <f t="shared" si="14"/>
        <v>0.99294781382228492</v>
      </c>
      <c r="V19" s="8">
        <f t="shared" si="14"/>
        <v>0.99204545454545456</v>
      </c>
      <c r="W19" s="8">
        <f t="shared" si="14"/>
        <v>1.0332187857961055</v>
      </c>
      <c r="X19" s="8">
        <f t="shared" si="14"/>
        <v>0.95629820051413883</v>
      </c>
      <c r="Y19" s="8">
        <f>Y17/Y18</f>
        <v>1.0366132723112129</v>
      </c>
      <c r="Z19" s="8">
        <f>Z17/Z18</f>
        <v>0.97621621621621624</v>
      </c>
      <c r="AA19" s="8">
        <f>AA17/AA18</f>
        <v>1.0334051724137931</v>
      </c>
      <c r="AB19" s="8">
        <f>AB17/AB18</f>
        <v>0.94801641586867302</v>
      </c>
      <c r="AC19" s="8">
        <f>AC17/AC18</f>
        <v>0.97667185069984452</v>
      </c>
    </row>
    <row r="22" spans="1:29" s="1" customFormat="1" x14ac:dyDescent="0.25">
      <c r="A22" s="1" t="s">
        <v>48</v>
      </c>
      <c r="B22" s="1" t="s">
        <v>10</v>
      </c>
      <c r="C22" s="1" t="s">
        <v>11</v>
      </c>
      <c r="D22" s="1" t="s">
        <v>12</v>
      </c>
      <c r="F22" s="1">
        <v>42020</v>
      </c>
      <c r="G22" s="1">
        <v>42051</v>
      </c>
      <c r="H22" s="1">
        <v>42079</v>
      </c>
      <c r="I22" s="1">
        <v>42110</v>
      </c>
      <c r="J22" s="1">
        <v>42140</v>
      </c>
      <c r="K22" s="1">
        <v>42171</v>
      </c>
      <c r="L22" s="1">
        <v>42201</v>
      </c>
      <c r="M22" s="1">
        <v>42232</v>
      </c>
      <c r="N22" s="1">
        <v>42263</v>
      </c>
      <c r="O22" s="1">
        <v>42293</v>
      </c>
      <c r="P22" s="1">
        <v>42324</v>
      </c>
      <c r="Q22" s="1">
        <v>42354</v>
      </c>
      <c r="R22" s="1">
        <v>42385</v>
      </c>
      <c r="S22" s="1">
        <v>42416</v>
      </c>
      <c r="T22" s="1">
        <v>42445</v>
      </c>
      <c r="U22" s="1">
        <v>42476</v>
      </c>
      <c r="V22" s="1">
        <v>42506</v>
      </c>
      <c r="W22" s="1">
        <v>42537</v>
      </c>
      <c r="X22" s="1">
        <v>42567</v>
      </c>
      <c r="Y22" s="1">
        <v>42583</v>
      </c>
      <c r="Z22" s="1">
        <f>Z$2</f>
        <v>42614</v>
      </c>
      <c r="AA22" s="1">
        <f>AA$2</f>
        <v>42644</v>
      </c>
      <c r="AB22" s="1">
        <f t="shared" ref="AB22:AC22" si="15">AB$2</f>
        <v>42675</v>
      </c>
      <c r="AC22" s="1">
        <f t="shared" si="15"/>
        <v>42705</v>
      </c>
    </row>
    <row r="23" spans="1:29" x14ac:dyDescent="0.25">
      <c r="A23" t="s">
        <v>14</v>
      </c>
      <c r="B23" s="11">
        <f>SUM($R23:INDEX($R23:$AC23,$A$1))</f>
        <v>0</v>
      </c>
      <c r="C23" s="11">
        <f>SUM($F23:INDEX($F23:$Q23,$A$1))</f>
        <v>0</v>
      </c>
      <c r="D23" s="14" t="e">
        <f>B23/C23-1</f>
        <v>#DIV/0!</v>
      </c>
      <c r="F23" s="36">
        <f>Data!B34</f>
        <v>0</v>
      </c>
      <c r="G23" s="36">
        <f>Data!C34</f>
        <v>0</v>
      </c>
      <c r="H23" s="36">
        <f>Data!D34</f>
        <v>0</v>
      </c>
      <c r="I23" s="36">
        <f>Data!E34</f>
        <v>0</v>
      </c>
      <c r="J23" s="36">
        <f>Data!F34</f>
        <v>0</v>
      </c>
      <c r="K23" s="36">
        <f>Data!G34</f>
        <v>0</v>
      </c>
      <c r="L23" s="36">
        <f>Data!H34</f>
        <v>0</v>
      </c>
      <c r="M23" s="36">
        <f>Data!I34</f>
        <v>0</v>
      </c>
      <c r="N23" s="36">
        <f>Data!J34</f>
        <v>0</v>
      </c>
      <c r="O23" s="36">
        <f>Data!K34</f>
        <v>0</v>
      </c>
      <c r="P23" s="36">
        <f>Data!L34</f>
        <v>0</v>
      </c>
      <c r="Q23" s="36">
        <f>Data!M34</f>
        <v>0</v>
      </c>
      <c r="R23" s="36">
        <f>Data!N34</f>
        <v>0</v>
      </c>
      <c r="S23" s="36">
        <f>Data!O34</f>
        <v>0</v>
      </c>
      <c r="T23" s="36">
        <f>Data!P34</f>
        <v>0</v>
      </c>
      <c r="U23" s="36">
        <f>Data!Q34</f>
        <v>0</v>
      </c>
      <c r="V23" s="36">
        <f>Data!R34</f>
        <v>0</v>
      </c>
      <c r="W23" s="36">
        <f>Data!S34</f>
        <v>0</v>
      </c>
      <c r="X23" s="36">
        <f>Data!T34</f>
        <v>0</v>
      </c>
      <c r="Y23" s="36">
        <f>Data!U34</f>
        <v>0</v>
      </c>
      <c r="Z23" s="36">
        <f>Data!V34</f>
        <v>0</v>
      </c>
      <c r="AA23" s="36">
        <f>Data!W34</f>
        <v>0</v>
      </c>
      <c r="AB23" s="36">
        <f>Data!X34</f>
        <v>0</v>
      </c>
      <c r="AC23" s="36">
        <f>Data!Y34</f>
        <v>0</v>
      </c>
    </row>
    <row r="24" spans="1:29" x14ac:dyDescent="0.25">
      <c r="A24" t="s">
        <v>15</v>
      </c>
      <c r="B24" s="11">
        <f>SUM($R24:INDEX($R24:$AC24,$A$1))</f>
        <v>0</v>
      </c>
      <c r="C24" s="11">
        <f>SUM($F24:INDEX($F24:$Q24,$A$1))</f>
        <v>0</v>
      </c>
      <c r="D24" s="14" t="e">
        <f>B24/C24-1</f>
        <v>#DIV/0!</v>
      </c>
      <c r="F24" s="36">
        <f>Data!B23</f>
        <v>0</v>
      </c>
      <c r="G24" s="36">
        <f>Data!C23</f>
        <v>0</v>
      </c>
      <c r="H24" s="36">
        <f>Data!D23</f>
        <v>0</v>
      </c>
      <c r="I24" s="36">
        <f>Data!E23</f>
        <v>0</v>
      </c>
      <c r="J24" s="36">
        <f>Data!F23</f>
        <v>0</v>
      </c>
      <c r="K24" s="36">
        <f>Data!G23</f>
        <v>0</v>
      </c>
      <c r="L24" s="36">
        <f>Data!H23</f>
        <v>0</v>
      </c>
      <c r="M24" s="36">
        <f>Data!I23</f>
        <v>0</v>
      </c>
      <c r="N24" s="36">
        <f>Data!J23</f>
        <v>0</v>
      </c>
      <c r="O24" s="36">
        <f>Data!K23</f>
        <v>0</v>
      </c>
      <c r="P24" s="36">
        <f>Data!L23</f>
        <v>0</v>
      </c>
      <c r="Q24" s="36">
        <f>Data!M23</f>
        <v>0</v>
      </c>
      <c r="R24" s="36">
        <f>Data!N23</f>
        <v>0</v>
      </c>
      <c r="S24" s="36">
        <f>Data!O23</f>
        <v>0</v>
      </c>
      <c r="T24" s="36">
        <f>Data!P23</f>
        <v>0</v>
      </c>
      <c r="U24" s="36">
        <f>Data!Q23</f>
        <v>0</v>
      </c>
      <c r="V24" s="36">
        <f>Data!R23</f>
        <v>0</v>
      </c>
      <c r="W24" s="36">
        <f>Data!S23</f>
        <v>0</v>
      </c>
      <c r="X24" s="36">
        <f>Data!T23</f>
        <v>0</v>
      </c>
      <c r="Y24" s="36">
        <f>Data!U23</f>
        <v>0</v>
      </c>
      <c r="Z24" s="36">
        <f>Data!V23</f>
        <v>0</v>
      </c>
      <c r="AA24" s="36">
        <f>Data!W23</f>
        <v>0</v>
      </c>
      <c r="AB24" s="36">
        <f>Data!X23</f>
        <v>0</v>
      </c>
      <c r="AC24" s="36">
        <f>Data!Y23</f>
        <v>0</v>
      </c>
    </row>
    <row r="25" spans="1:29" x14ac:dyDescent="0.25">
      <c r="A25" t="s">
        <v>16</v>
      </c>
      <c r="B25" s="14" t="str">
        <f>IFERROR(B23/B24,"")</f>
        <v/>
      </c>
      <c r="C25" s="14" t="str">
        <f>IFERROR(C23/C24,"")</f>
        <v/>
      </c>
      <c r="D25" s="14" t="e">
        <f>B25/C25-1</f>
        <v>#VALUE!</v>
      </c>
      <c r="F25" s="14" t="str">
        <f>IFERROR(F23/F24,"")</f>
        <v/>
      </c>
      <c r="G25" s="14" t="str">
        <f t="shared" ref="G25:W25" si="16">IFERROR(G23/G24,"")</f>
        <v/>
      </c>
      <c r="H25" s="14" t="str">
        <f t="shared" si="16"/>
        <v/>
      </c>
      <c r="I25" s="14" t="str">
        <f t="shared" si="16"/>
        <v/>
      </c>
      <c r="J25" s="14" t="str">
        <f t="shared" si="16"/>
        <v/>
      </c>
      <c r="K25" s="14" t="str">
        <f t="shared" si="16"/>
        <v/>
      </c>
      <c r="L25" s="14" t="str">
        <f t="shared" si="16"/>
        <v/>
      </c>
      <c r="M25" s="14" t="str">
        <f t="shared" si="16"/>
        <v/>
      </c>
      <c r="N25" s="14" t="str">
        <f t="shared" si="16"/>
        <v/>
      </c>
      <c r="O25" s="14" t="str">
        <f t="shared" si="16"/>
        <v/>
      </c>
      <c r="P25" s="14" t="str">
        <f t="shared" si="16"/>
        <v/>
      </c>
      <c r="Q25" s="14" t="str">
        <f t="shared" si="16"/>
        <v/>
      </c>
      <c r="R25" s="14" t="str">
        <f t="shared" si="16"/>
        <v/>
      </c>
      <c r="S25" s="14" t="str">
        <f t="shared" si="16"/>
        <v/>
      </c>
      <c r="T25" s="14" t="str">
        <f t="shared" si="16"/>
        <v/>
      </c>
      <c r="U25" s="14" t="str">
        <f t="shared" si="16"/>
        <v/>
      </c>
      <c r="V25" s="14" t="str">
        <f t="shared" si="16"/>
        <v/>
      </c>
      <c r="W25" s="14" t="str">
        <f t="shared" si="16"/>
        <v/>
      </c>
      <c r="X25" s="14" t="str">
        <f>IFERROR(X23/X24,"")</f>
        <v/>
      </c>
      <c r="Y25" s="14" t="str">
        <f t="shared" ref="Y25:AB25" si="17">IFERROR(Y23/Y24,"")</f>
        <v/>
      </c>
      <c r="Z25" s="14" t="str">
        <f t="shared" si="17"/>
        <v/>
      </c>
      <c r="AA25" s="14" t="str">
        <f t="shared" si="17"/>
        <v/>
      </c>
      <c r="AB25" s="14" t="str">
        <f t="shared" si="17"/>
        <v/>
      </c>
      <c r="AC25" s="14" t="str">
        <f t="shared" ref="AC25" si="18">IFERROR(AC23/AC24,"")</f>
        <v/>
      </c>
    </row>
    <row r="27" spans="1:29" x14ac:dyDescent="0.25">
      <c r="A27" t="s">
        <v>4</v>
      </c>
      <c r="B27" s="11">
        <f>SUM($R27:INDEX($R27:$AC27,$A$1))</f>
        <v>0</v>
      </c>
      <c r="C27" s="11">
        <f>SUM($F27:INDEX($F27:$Q27,$A$1))</f>
        <v>0</v>
      </c>
      <c r="D27" s="14" t="e">
        <f>B27/C27-1</f>
        <v>#DIV/0!</v>
      </c>
      <c r="F27" s="36">
        <f>Data!B52</f>
        <v>0</v>
      </c>
      <c r="G27" s="36">
        <f>Data!C52</f>
        <v>0</v>
      </c>
      <c r="H27" s="36">
        <f>Data!D52</f>
        <v>0</v>
      </c>
      <c r="I27" s="36">
        <f>Data!E52</f>
        <v>0</v>
      </c>
      <c r="J27" s="36">
        <f>Data!F52</f>
        <v>0</v>
      </c>
      <c r="K27" s="36">
        <f>Data!G52</f>
        <v>0</v>
      </c>
      <c r="L27" s="36">
        <f>Data!H52</f>
        <v>0</v>
      </c>
      <c r="M27" s="36">
        <f>Data!I52</f>
        <v>0</v>
      </c>
      <c r="N27" s="36">
        <f>Data!J52</f>
        <v>0</v>
      </c>
      <c r="O27" s="36">
        <f>Data!K52</f>
        <v>0</v>
      </c>
      <c r="P27" s="36">
        <f>Data!L52</f>
        <v>0</v>
      </c>
      <c r="Q27" s="36">
        <f>Data!M52</f>
        <v>0</v>
      </c>
      <c r="R27" s="36">
        <f>Data!N52</f>
        <v>0</v>
      </c>
      <c r="S27" s="36">
        <f>Data!O52</f>
        <v>0</v>
      </c>
      <c r="T27" s="36">
        <f>Data!P52</f>
        <v>0</v>
      </c>
      <c r="U27" s="36">
        <f>Data!Q52</f>
        <v>0</v>
      </c>
      <c r="V27" s="36">
        <f>Data!R52</f>
        <v>0</v>
      </c>
      <c r="W27" s="36">
        <f>Data!S52</f>
        <v>0</v>
      </c>
      <c r="X27" s="36">
        <f>Data!T52</f>
        <v>0</v>
      </c>
      <c r="Y27" s="36">
        <f>Data!U52</f>
        <v>0</v>
      </c>
      <c r="Z27" s="36">
        <f>Data!V52</f>
        <v>0</v>
      </c>
      <c r="AA27" s="36">
        <f>Data!W52</f>
        <v>0</v>
      </c>
      <c r="AB27" s="36">
        <f>Data!X52</f>
        <v>0</v>
      </c>
      <c r="AC27" s="36">
        <f>Data!Y52</f>
        <v>0</v>
      </c>
    </row>
    <row r="28" spans="1:29" x14ac:dyDescent="0.25">
      <c r="A28" t="s">
        <v>17</v>
      </c>
      <c r="B28" s="11">
        <f>SUM($R28:INDEX($R28:$AC28,$A$1))</f>
        <v>0</v>
      </c>
      <c r="C28" s="11">
        <f>SUM($F28:INDEX($F28:$Q28,$A$1))</f>
        <v>0</v>
      </c>
      <c r="D28" s="14" t="e">
        <f>B28/C28-1</f>
        <v>#DIV/0!</v>
      </c>
      <c r="F28" s="36">
        <f>Data!B61</f>
        <v>0</v>
      </c>
      <c r="G28" s="36">
        <f>Data!C61</f>
        <v>0</v>
      </c>
      <c r="H28" s="36">
        <f>Data!D61</f>
        <v>0</v>
      </c>
      <c r="I28" s="36">
        <f>Data!E61</f>
        <v>0</v>
      </c>
      <c r="J28" s="36">
        <f>Data!F61</f>
        <v>0</v>
      </c>
      <c r="K28" s="36">
        <f>Data!G61</f>
        <v>0</v>
      </c>
      <c r="L28" s="36">
        <f>Data!H61</f>
        <v>0</v>
      </c>
      <c r="M28" s="36">
        <f>Data!I61</f>
        <v>0</v>
      </c>
      <c r="N28" s="36">
        <f>Data!J61</f>
        <v>0</v>
      </c>
      <c r="O28" s="36">
        <f>Data!K61</f>
        <v>0</v>
      </c>
      <c r="P28" s="36">
        <f>Data!L61</f>
        <v>0</v>
      </c>
      <c r="Q28" s="36">
        <f>Data!M61</f>
        <v>0</v>
      </c>
      <c r="R28" s="36">
        <f>Data!N61</f>
        <v>0</v>
      </c>
      <c r="S28" s="36">
        <f>Data!O61</f>
        <v>0</v>
      </c>
      <c r="T28" s="36">
        <f>Data!P61</f>
        <v>0</v>
      </c>
      <c r="U28" s="36">
        <f>Data!Q61</f>
        <v>0</v>
      </c>
      <c r="V28" s="36">
        <f>Data!R61</f>
        <v>0</v>
      </c>
      <c r="W28" s="36">
        <f>Data!S61</f>
        <v>0</v>
      </c>
      <c r="X28" s="36">
        <f>Data!T61</f>
        <v>0</v>
      </c>
      <c r="Y28" s="36">
        <f>Data!U61</f>
        <v>0</v>
      </c>
      <c r="Z28" s="36">
        <f>Data!V61</f>
        <v>0</v>
      </c>
      <c r="AA28" s="36">
        <f>Data!W61</f>
        <v>0</v>
      </c>
      <c r="AB28" s="36">
        <f>Data!X61</f>
        <v>0</v>
      </c>
      <c r="AC28" s="36">
        <f>Data!Y61</f>
        <v>0</v>
      </c>
    </row>
    <row r="29" spans="1:29" x14ac:dyDescent="0.25">
      <c r="A29" t="s">
        <v>18</v>
      </c>
      <c r="B29" s="8" t="str">
        <f>IFERROR(B27/B28,"")</f>
        <v/>
      </c>
      <c r="C29" s="8" t="str">
        <f>IFERROR(C27/C28,"")</f>
        <v/>
      </c>
      <c r="D29" s="14" t="e">
        <f>B29/C29-1</f>
        <v>#VALUE!</v>
      </c>
      <c r="F29" s="8" t="str">
        <f>IFERROR(F27/F28,"")</f>
        <v/>
      </c>
      <c r="G29" s="8" t="str">
        <f t="shared" ref="G29:W29" si="19">IFERROR(G27/G28,"")</f>
        <v/>
      </c>
      <c r="H29" s="8" t="str">
        <f t="shared" si="19"/>
        <v/>
      </c>
      <c r="I29" s="8" t="str">
        <f t="shared" si="19"/>
        <v/>
      </c>
      <c r="J29" s="8" t="str">
        <f t="shared" si="19"/>
        <v/>
      </c>
      <c r="K29" s="8" t="str">
        <f t="shared" si="19"/>
        <v/>
      </c>
      <c r="L29" s="8" t="str">
        <f t="shared" si="19"/>
        <v/>
      </c>
      <c r="M29" s="8" t="str">
        <f t="shared" si="19"/>
        <v/>
      </c>
      <c r="N29" s="8" t="str">
        <f t="shared" si="19"/>
        <v/>
      </c>
      <c r="O29" s="8" t="str">
        <f t="shared" si="19"/>
        <v/>
      </c>
      <c r="P29" s="8" t="str">
        <f t="shared" si="19"/>
        <v/>
      </c>
      <c r="Q29" s="8" t="str">
        <f t="shared" si="19"/>
        <v/>
      </c>
      <c r="R29" s="8" t="str">
        <f t="shared" si="19"/>
        <v/>
      </c>
      <c r="S29" s="8" t="str">
        <f t="shared" si="19"/>
        <v/>
      </c>
      <c r="T29" s="8" t="str">
        <f t="shared" si="19"/>
        <v/>
      </c>
      <c r="U29" s="8" t="str">
        <f t="shared" si="19"/>
        <v/>
      </c>
      <c r="V29" s="8" t="str">
        <f t="shared" si="19"/>
        <v/>
      </c>
      <c r="W29" s="8" t="str">
        <f t="shared" si="19"/>
        <v/>
      </c>
      <c r="X29" s="8" t="str">
        <f>IFERROR(X27/X28,"")</f>
        <v/>
      </c>
      <c r="Y29" s="8" t="str">
        <f t="shared" ref="Y29:AB29" si="20">IFERROR(Y27/Y28,"")</f>
        <v/>
      </c>
      <c r="Z29" s="8" t="str">
        <f t="shared" si="20"/>
        <v/>
      </c>
      <c r="AA29" s="8" t="str">
        <f t="shared" si="20"/>
        <v/>
      </c>
      <c r="AB29" s="8" t="str">
        <f t="shared" si="20"/>
        <v/>
      </c>
      <c r="AC29" s="8" t="str">
        <f t="shared" ref="AC29" si="21">IFERROR(AC27/AC28,"")</f>
        <v/>
      </c>
    </row>
    <row r="32" spans="1:29" s="1" customFormat="1" x14ac:dyDescent="0.25">
      <c r="A32" s="1" t="s">
        <v>116</v>
      </c>
      <c r="B32" s="1" t="s">
        <v>10</v>
      </c>
      <c r="C32" s="1" t="s">
        <v>11</v>
      </c>
      <c r="D32" s="1" t="s">
        <v>12</v>
      </c>
      <c r="F32" s="1">
        <v>42020</v>
      </c>
      <c r="G32" s="1">
        <v>42051</v>
      </c>
      <c r="H32" s="1">
        <v>42079</v>
      </c>
      <c r="I32" s="1">
        <v>42110</v>
      </c>
      <c r="J32" s="1">
        <v>42140</v>
      </c>
      <c r="K32" s="1">
        <v>42171</v>
      </c>
      <c r="L32" s="1">
        <v>42201</v>
      </c>
      <c r="M32" s="1">
        <v>42232</v>
      </c>
      <c r="N32" s="1">
        <v>42263</v>
      </c>
      <c r="O32" s="1">
        <v>42293</v>
      </c>
      <c r="P32" s="1">
        <v>42324</v>
      </c>
      <c r="Q32" s="1">
        <v>42354</v>
      </c>
      <c r="R32" s="1">
        <v>42385</v>
      </c>
      <c r="S32" s="1">
        <v>42416</v>
      </c>
      <c r="T32" s="1">
        <v>42445</v>
      </c>
      <c r="U32" s="1">
        <v>42476</v>
      </c>
      <c r="V32" s="1">
        <v>42506</v>
      </c>
      <c r="W32" s="1">
        <v>42537</v>
      </c>
      <c r="X32" s="1">
        <v>42567</v>
      </c>
      <c r="Y32" s="1">
        <v>42583</v>
      </c>
      <c r="Z32" s="1">
        <f>Z$2</f>
        <v>42614</v>
      </c>
      <c r="AA32" s="1">
        <f>AA$2</f>
        <v>42644</v>
      </c>
      <c r="AB32" s="1">
        <f t="shared" ref="AB32:AC32" si="22">AB$2</f>
        <v>42675</v>
      </c>
      <c r="AC32" s="1">
        <f t="shared" si="22"/>
        <v>42705</v>
      </c>
    </row>
    <row r="33" spans="1:29" x14ac:dyDescent="0.25">
      <c r="A33" t="s">
        <v>14</v>
      </c>
      <c r="B33" s="11">
        <f>SUM($R33:INDEX($R33:$AC33,$A$1))</f>
        <v>731.47500000000014</v>
      </c>
      <c r="C33" s="11"/>
      <c r="D33" s="14" t="str">
        <f>IFERROR(B33/C33-1,"")</f>
        <v/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Y33" s="11">
        <f>Data!$U$31</f>
        <v>140.673</v>
      </c>
      <c r="Z33" s="11">
        <f>Data!V31</f>
        <v>133.01100000000011</v>
      </c>
      <c r="AA33" s="11">
        <f>Data!W31</f>
        <v>185.73000000000002</v>
      </c>
      <c r="AB33" s="11">
        <f>Data!X31</f>
        <v>105.42400000000002</v>
      </c>
      <c r="AC33" s="11">
        <f>Data!Y31</f>
        <v>166.637</v>
      </c>
    </row>
    <row r="34" spans="1:29" x14ac:dyDescent="0.25">
      <c r="A34" t="s">
        <v>15</v>
      </c>
      <c r="B34" s="11">
        <f>SUM($R34:INDEX($R34:$AC34,$A$1))</f>
        <v>19339.538</v>
      </c>
      <c r="C34" s="11"/>
      <c r="D34" s="14" t="str">
        <f>IFERROR(B34/C34-1,"")</f>
        <v/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>
        <f>Data!U20</f>
        <v>3008.45</v>
      </c>
      <c r="Z34" s="11">
        <f>Data!V20</f>
        <v>3026.7269999999999</v>
      </c>
      <c r="AA34" s="11">
        <f>Data!W20</f>
        <v>4662.5019999999995</v>
      </c>
      <c r="AB34" s="11">
        <f>Data!X20</f>
        <v>3282.4009999999994</v>
      </c>
      <c r="AC34" s="11">
        <f>Data!Y20</f>
        <v>5359.4579999999996</v>
      </c>
    </row>
    <row r="35" spans="1:29" x14ac:dyDescent="0.25">
      <c r="A35" t="s">
        <v>16</v>
      </c>
      <c r="B35" s="14">
        <f>IFERROR(B33/B34,"")</f>
        <v>3.7822775290702403E-2</v>
      </c>
      <c r="C35" s="14"/>
      <c r="D35" s="14" t="str">
        <f>IFERROR(B35/C35-1,"")</f>
        <v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>
        <f>Y33/Y34</f>
        <v>4.6759294653392944E-2</v>
      </c>
      <c r="Z35" s="14">
        <f>Z33/Z34</f>
        <v>4.3945489632860879E-2</v>
      </c>
      <c r="AA35" s="14">
        <f>AA33/AA34</f>
        <v>3.9834835459588012E-2</v>
      </c>
      <c r="AB35" s="14">
        <f>AB33/AB34</f>
        <v>3.2117952681588888E-2</v>
      </c>
      <c r="AC35" s="14">
        <f>AC33/AC34</f>
        <v>3.1092136555599469E-2</v>
      </c>
    </row>
    <row r="37" spans="1:29" x14ac:dyDescent="0.25">
      <c r="A37" t="s">
        <v>4</v>
      </c>
      <c r="B37" s="11">
        <f>SUM($R37:INDEX($R37:$AC37,$A$1))</f>
        <v>1195</v>
      </c>
      <c r="C37" s="11"/>
      <c r="D37" s="14" t="str">
        <f>IFERROR(B37/C37-1,"")</f>
        <v/>
      </c>
      <c r="Y37">
        <f>Data!U49</f>
        <v>210</v>
      </c>
      <c r="Z37">
        <f>Data!V49</f>
        <v>195</v>
      </c>
      <c r="AA37">
        <f>Data!W49</f>
        <v>306</v>
      </c>
      <c r="AB37">
        <f>Data!X49</f>
        <v>201</v>
      </c>
      <c r="AC37">
        <f>Data!Y49</f>
        <v>283</v>
      </c>
    </row>
    <row r="38" spans="1:29" x14ac:dyDescent="0.25">
      <c r="A38" t="s">
        <v>17</v>
      </c>
      <c r="B38" s="11">
        <f>SUM($R38:INDEX($R38:$AC38,$A$1))</f>
        <v>1280</v>
      </c>
      <c r="C38" s="11"/>
      <c r="D38" s="14" t="str">
        <f>IFERROR(B38/C38-1,"")</f>
        <v/>
      </c>
      <c r="Y38">
        <f>Data!U58</f>
        <v>275</v>
      </c>
      <c r="Z38">
        <f>Data!V58</f>
        <v>217</v>
      </c>
      <c r="AA38">
        <f>Data!W58</f>
        <v>324</v>
      </c>
      <c r="AB38">
        <f>Data!X58</f>
        <v>183</v>
      </c>
      <c r="AC38">
        <f>Data!Y58</f>
        <v>281</v>
      </c>
    </row>
    <row r="39" spans="1:29" x14ac:dyDescent="0.25">
      <c r="A39" t="s">
        <v>18</v>
      </c>
      <c r="B39" s="8">
        <f>IFERROR(B37/B38,"")</f>
        <v>0.93359375</v>
      </c>
      <c r="C39" s="8"/>
      <c r="D39" s="14" t="str">
        <f>IFERROR(B39/C39-1,"")</f>
        <v/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>
        <f>Y37/Y38</f>
        <v>0.76363636363636367</v>
      </c>
      <c r="Z39" s="8">
        <f>Z37/Z38</f>
        <v>0.89861751152073732</v>
      </c>
      <c r="AA39" s="8">
        <f>AA37/AA38</f>
        <v>0.94444444444444442</v>
      </c>
      <c r="AB39" s="8">
        <f>AB37/AB38</f>
        <v>1.098360655737705</v>
      </c>
      <c r="AC39" s="8">
        <f>AC37/AC38</f>
        <v>1.0071174377224199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rop Down 1">
              <controlPr defaultSize="0" autoLine="0" autoPict="0">
                <anchor moveWithCells="1">
                  <from>
                    <xdr:col>0</xdr:col>
                    <xdr:colOff>123825</xdr:colOff>
                    <xdr:row>0</xdr:row>
                    <xdr:rowOff>133350</xdr:rowOff>
                  </from>
                  <to>
                    <xdr:col>0</xdr:col>
                    <xdr:colOff>838200</xdr:colOff>
                    <xdr:row>0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92D050"/>
  </sheetPr>
  <dimension ref="A3:DK64"/>
  <sheetViews>
    <sheetView showGridLines="0" topLeftCell="BR1" zoomScale="85" zoomScaleNormal="85" workbookViewId="0">
      <selection activeCell="CC30" sqref="CC30"/>
    </sheetView>
  </sheetViews>
  <sheetFormatPr defaultRowHeight="15" outlineLevelRow="1" outlineLevelCol="1" x14ac:dyDescent="0.25"/>
  <cols>
    <col min="1" max="1" width="10.140625" customWidth="1"/>
    <col min="2" max="2" width="13.7109375" customWidth="1"/>
    <col min="3" max="3" width="25.28515625" customWidth="1"/>
    <col min="4" max="4" width="26.28515625" style="2" bestFit="1" customWidth="1"/>
    <col min="5" max="13" width="12" style="2" hidden="1" customWidth="1" outlineLevel="1"/>
    <col min="14" max="14" width="12" style="2" hidden="1" customWidth="1" outlineLevel="1" collapsed="1"/>
    <col min="15" max="20" width="12" style="2" hidden="1" customWidth="1" outlineLevel="1"/>
    <col min="21" max="32" width="12" hidden="1" customWidth="1" outlineLevel="1"/>
    <col min="33" max="33" width="9.140625" hidden="1" customWidth="1" outlineLevel="1"/>
    <col min="34" max="34" width="9.7109375" hidden="1" customWidth="1" outlineLevel="1"/>
    <col min="35" max="35" width="12" hidden="1" customWidth="1" outlineLevel="1"/>
    <col min="36" max="37" width="9.140625" hidden="1" customWidth="1" outlineLevel="1"/>
    <col min="38" max="38" width="11.28515625" hidden="1" customWidth="1" outlineLevel="1"/>
    <col min="39" max="43" width="9.140625" hidden="1" customWidth="1" outlineLevel="1"/>
    <col min="44" max="44" width="12" hidden="1" customWidth="1" outlineLevel="1"/>
    <col min="45" max="46" width="9.140625" hidden="1" customWidth="1" outlineLevel="1"/>
    <col min="47" max="47" width="11.28515625" hidden="1" customWidth="1" outlineLevel="1"/>
    <col min="48" max="49" width="9.140625" hidden="1" customWidth="1" outlineLevel="1"/>
    <col min="50" max="50" width="13.42578125" customWidth="1" collapsed="1"/>
    <col min="51" max="51" width="11.7109375" hidden="1" customWidth="1" outlineLevel="1"/>
    <col min="52" max="52" width="14.7109375" hidden="1" customWidth="1" outlineLevel="1"/>
    <col min="53" max="53" width="14.85546875" hidden="1" customWidth="1" outlineLevel="1"/>
    <col min="54" max="54" width="13.5703125" hidden="1" customWidth="1" outlineLevel="1"/>
    <col min="55" max="55" width="9.140625" hidden="1" customWidth="1" outlineLevel="1"/>
    <col min="56" max="56" width="12.5703125" hidden="1" customWidth="1" outlineLevel="1"/>
    <col min="57" max="58" width="9.140625" hidden="1" customWidth="1" outlineLevel="1"/>
    <col min="59" max="59" width="13.42578125" customWidth="1" collapsed="1"/>
    <col min="60" max="60" width="11.7109375" hidden="1" customWidth="1" outlineLevel="1"/>
    <col min="61" max="61" width="14.7109375" hidden="1" customWidth="1" outlineLevel="1"/>
    <col min="62" max="62" width="14.85546875" hidden="1" customWidth="1" outlineLevel="1"/>
    <col min="63" max="63" width="13.5703125" hidden="1" customWidth="1" outlineLevel="1"/>
    <col min="64" max="64" width="15" hidden="1" customWidth="1" outlineLevel="1"/>
    <col min="65" max="65" width="0" hidden="1" customWidth="1" outlineLevel="1"/>
    <col min="66" max="67" width="12.5703125" hidden="1" customWidth="1" outlineLevel="1"/>
    <col min="68" max="69" width="0" hidden="1" customWidth="1" outlineLevel="1"/>
    <col min="70" max="70" width="13.42578125" customWidth="1" collapsed="1"/>
    <col min="71" max="71" width="11.7109375" hidden="1" customWidth="1" outlineLevel="1"/>
    <col min="72" max="72" width="14.7109375" hidden="1" customWidth="1" outlineLevel="1"/>
    <col min="73" max="73" width="14.85546875" hidden="1" customWidth="1" outlineLevel="1"/>
    <col min="74" max="74" width="13.5703125" hidden="1" customWidth="1" outlineLevel="1"/>
    <col min="75" max="75" width="15" hidden="1" customWidth="1" outlineLevel="1"/>
    <col min="76" max="76" width="9.140625" hidden="1" customWidth="1" outlineLevel="1"/>
    <col min="77" max="78" width="12.5703125" hidden="1" customWidth="1" outlineLevel="1"/>
    <col min="79" max="79" width="9.140625" hidden="1" customWidth="1" outlineLevel="1"/>
    <col min="80" max="80" width="9.140625" collapsed="1"/>
    <col min="81" max="81" width="13.42578125" customWidth="1"/>
    <col min="82" max="82" width="11.7109375" customWidth="1"/>
    <col min="83" max="83" width="14.7109375" customWidth="1"/>
    <col min="84" max="84" width="14.85546875" customWidth="1"/>
    <col min="85" max="85" width="13.5703125" customWidth="1"/>
    <col min="86" max="86" width="15" customWidth="1"/>
    <col min="88" max="89" width="12.5703125" customWidth="1"/>
    <col min="92" max="94" width="11" customWidth="1"/>
    <col min="95" max="95" width="14" bestFit="1" customWidth="1"/>
    <col min="96" max="96" width="12.42578125" bestFit="1" customWidth="1"/>
    <col min="97" max="100" width="11" customWidth="1"/>
  </cols>
  <sheetData>
    <row r="3" spans="2:100" x14ac:dyDescent="0.25">
      <c r="Q3" s="231"/>
      <c r="R3" s="231"/>
      <c r="S3" s="231"/>
      <c r="T3" s="231"/>
    </row>
    <row r="4" spans="2:100" x14ac:dyDescent="0.25">
      <c r="C4" s="107"/>
      <c r="D4" s="108"/>
      <c r="E4" s="109" t="s">
        <v>91</v>
      </c>
      <c r="F4" s="110"/>
      <c r="G4" s="110"/>
      <c r="H4" s="110"/>
      <c r="I4" s="110"/>
      <c r="J4" s="111"/>
      <c r="K4" s="111"/>
      <c r="L4" s="111"/>
      <c r="M4" s="112"/>
      <c r="N4" s="111" t="s">
        <v>92</v>
      </c>
      <c r="O4" s="110"/>
      <c r="P4" s="110"/>
      <c r="Q4" s="110"/>
      <c r="R4" s="110"/>
      <c r="S4" s="111"/>
      <c r="T4" s="111"/>
      <c r="U4" s="111"/>
      <c r="V4" s="111"/>
      <c r="W4" s="109" t="s">
        <v>93</v>
      </c>
      <c r="X4" s="110"/>
      <c r="Y4" s="110"/>
      <c r="Z4" s="110"/>
      <c r="AA4" s="110"/>
      <c r="AB4" s="110"/>
      <c r="AC4" s="110"/>
      <c r="AD4" s="111"/>
      <c r="AE4" s="112"/>
      <c r="AF4" s="111" t="s">
        <v>94</v>
      </c>
      <c r="AG4" s="110"/>
      <c r="AH4" s="110"/>
      <c r="AI4" s="110"/>
      <c r="AJ4" s="110"/>
      <c r="AK4" s="111"/>
      <c r="AL4" s="111"/>
      <c r="AM4" s="111"/>
      <c r="AN4" s="111"/>
      <c r="AO4" s="109" t="s">
        <v>95</v>
      </c>
      <c r="AP4" s="110"/>
      <c r="AQ4" s="110"/>
      <c r="AR4" s="110"/>
      <c r="AS4" s="110"/>
      <c r="AT4" s="110"/>
      <c r="AU4" s="110"/>
      <c r="AV4" s="111"/>
      <c r="AW4" s="112"/>
      <c r="AX4" s="111" t="s">
        <v>96</v>
      </c>
      <c r="AY4" s="110"/>
      <c r="AZ4" s="110"/>
      <c r="BA4" s="110"/>
      <c r="BB4" s="110"/>
      <c r="BC4" s="111"/>
      <c r="BD4" s="111"/>
      <c r="BE4" s="111"/>
      <c r="BF4" s="112"/>
      <c r="BG4" s="111" t="s">
        <v>111</v>
      </c>
      <c r="BH4" s="110"/>
      <c r="BI4" s="110"/>
      <c r="BJ4" s="110"/>
      <c r="BK4" s="110"/>
      <c r="BL4" s="111"/>
      <c r="BM4" s="111"/>
      <c r="BN4" s="111"/>
      <c r="BO4" s="111"/>
      <c r="BP4" s="111"/>
      <c r="BQ4" s="112"/>
      <c r="BR4" s="111" t="s">
        <v>135</v>
      </c>
      <c r="BS4" s="110"/>
      <c r="BT4" s="110"/>
      <c r="BU4" s="110"/>
      <c r="BV4" s="110"/>
      <c r="BW4" s="111"/>
      <c r="BX4" s="111"/>
      <c r="BY4" s="111"/>
      <c r="BZ4" s="111"/>
      <c r="CA4" s="111"/>
      <c r="CB4" s="112"/>
      <c r="CC4" s="111" t="s">
        <v>136</v>
      </c>
      <c r="CD4" s="110"/>
      <c r="CE4" s="110"/>
      <c r="CF4" s="110"/>
      <c r="CG4" s="110"/>
      <c r="CH4" s="111"/>
      <c r="CI4" s="111"/>
      <c r="CJ4" s="111"/>
      <c r="CK4" s="111"/>
      <c r="CL4" s="111"/>
      <c r="CM4" s="112"/>
      <c r="CN4" s="109" t="s">
        <v>39</v>
      </c>
      <c r="CO4" s="110"/>
      <c r="CP4" s="110"/>
      <c r="CQ4" s="110"/>
      <c r="CR4" s="110"/>
      <c r="CS4" s="110"/>
      <c r="CT4" s="111"/>
      <c r="CU4" s="111"/>
      <c r="CV4" s="112"/>
    </row>
    <row r="5" spans="2:100" x14ac:dyDescent="0.25">
      <c r="C5" s="113" t="s">
        <v>42</v>
      </c>
      <c r="D5" s="114" t="s">
        <v>44</v>
      </c>
      <c r="E5" s="113" t="s">
        <v>64</v>
      </c>
      <c r="F5" s="115" t="s">
        <v>107</v>
      </c>
      <c r="G5" s="115" t="s">
        <v>108</v>
      </c>
      <c r="H5" s="115" t="s">
        <v>109</v>
      </c>
      <c r="I5" s="115" t="s">
        <v>110</v>
      </c>
      <c r="J5" s="115" t="s">
        <v>6</v>
      </c>
      <c r="K5" s="115" t="s">
        <v>51</v>
      </c>
      <c r="L5" s="115" t="s">
        <v>49</v>
      </c>
      <c r="M5" s="114" t="s">
        <v>50</v>
      </c>
      <c r="N5" s="113" t="s">
        <v>64</v>
      </c>
      <c r="O5" s="115" t="s">
        <v>107</v>
      </c>
      <c r="P5" s="115" t="s">
        <v>108</v>
      </c>
      <c r="Q5" s="115" t="s">
        <v>109</v>
      </c>
      <c r="R5" s="115" t="s">
        <v>110</v>
      </c>
      <c r="S5" s="115" t="s">
        <v>6</v>
      </c>
      <c r="T5" s="115" t="s">
        <v>51</v>
      </c>
      <c r="U5" s="115" t="s">
        <v>49</v>
      </c>
      <c r="V5" s="115" t="s">
        <v>50</v>
      </c>
      <c r="W5" s="113" t="s">
        <v>64</v>
      </c>
      <c r="X5" s="115" t="s">
        <v>107</v>
      </c>
      <c r="Y5" s="115" t="s">
        <v>108</v>
      </c>
      <c r="Z5" s="115" t="s">
        <v>109</v>
      </c>
      <c r="AA5" s="115" t="s">
        <v>110</v>
      </c>
      <c r="AB5" s="113" t="s">
        <v>6</v>
      </c>
      <c r="AC5" s="115" t="s">
        <v>51</v>
      </c>
      <c r="AD5" s="115" t="s">
        <v>49</v>
      </c>
      <c r="AE5" s="114" t="s">
        <v>50</v>
      </c>
      <c r="AF5" s="113" t="s">
        <v>64</v>
      </c>
      <c r="AG5" s="115" t="s">
        <v>107</v>
      </c>
      <c r="AH5" s="115" t="s">
        <v>108</v>
      </c>
      <c r="AI5" s="115" t="s">
        <v>109</v>
      </c>
      <c r="AJ5" s="115" t="s">
        <v>110</v>
      </c>
      <c r="AK5" s="115" t="s">
        <v>6</v>
      </c>
      <c r="AL5" s="115" t="s">
        <v>51</v>
      </c>
      <c r="AM5" s="115" t="s">
        <v>49</v>
      </c>
      <c r="AN5" s="115" t="s">
        <v>50</v>
      </c>
      <c r="AO5" s="113" t="s">
        <v>64</v>
      </c>
      <c r="AP5" s="115" t="s">
        <v>107</v>
      </c>
      <c r="AQ5" s="115" t="s">
        <v>108</v>
      </c>
      <c r="AR5" s="115" t="s">
        <v>109</v>
      </c>
      <c r="AS5" s="115" t="s">
        <v>110</v>
      </c>
      <c r="AT5" s="115" t="s">
        <v>6</v>
      </c>
      <c r="AU5" s="115" t="s">
        <v>51</v>
      </c>
      <c r="AV5" s="115" t="s">
        <v>49</v>
      </c>
      <c r="AW5" s="114" t="s">
        <v>50</v>
      </c>
      <c r="AX5" s="113" t="s">
        <v>64</v>
      </c>
      <c r="AY5" s="115" t="s">
        <v>107</v>
      </c>
      <c r="AZ5" s="115" t="s">
        <v>108</v>
      </c>
      <c r="BA5" s="115" t="s">
        <v>109</v>
      </c>
      <c r="BB5" s="115" t="s">
        <v>110</v>
      </c>
      <c r="BC5" s="115" t="s">
        <v>6</v>
      </c>
      <c r="BD5" s="115" t="s">
        <v>51</v>
      </c>
      <c r="BE5" s="115" t="s">
        <v>49</v>
      </c>
      <c r="BF5" s="114" t="s">
        <v>50</v>
      </c>
      <c r="BG5" s="113" t="s">
        <v>64</v>
      </c>
      <c r="BH5" s="115" t="s">
        <v>107</v>
      </c>
      <c r="BI5" s="115" t="s">
        <v>108</v>
      </c>
      <c r="BJ5" s="115" t="s">
        <v>109</v>
      </c>
      <c r="BK5" s="115" t="s">
        <v>110</v>
      </c>
      <c r="BL5" s="117" t="s">
        <v>113</v>
      </c>
      <c r="BM5" s="117" t="s">
        <v>6</v>
      </c>
      <c r="BN5" s="117" t="s">
        <v>114</v>
      </c>
      <c r="BO5" s="115" t="s">
        <v>51</v>
      </c>
      <c r="BP5" s="115" t="s">
        <v>49</v>
      </c>
      <c r="BQ5" s="114" t="s">
        <v>50</v>
      </c>
      <c r="BR5" s="113" t="s">
        <v>64</v>
      </c>
      <c r="BS5" s="115" t="s">
        <v>107</v>
      </c>
      <c r="BT5" s="115" t="s">
        <v>108</v>
      </c>
      <c r="BU5" s="115" t="s">
        <v>109</v>
      </c>
      <c r="BV5" s="115" t="s">
        <v>110</v>
      </c>
      <c r="BW5" s="117" t="s">
        <v>113</v>
      </c>
      <c r="BX5" s="117" t="s">
        <v>6</v>
      </c>
      <c r="BY5" s="117" t="s">
        <v>114</v>
      </c>
      <c r="BZ5" s="115" t="s">
        <v>51</v>
      </c>
      <c r="CA5" s="115" t="s">
        <v>49</v>
      </c>
      <c r="CB5" s="114" t="s">
        <v>50</v>
      </c>
      <c r="CC5" s="113" t="s">
        <v>64</v>
      </c>
      <c r="CD5" s="115" t="s">
        <v>107</v>
      </c>
      <c r="CE5" s="115" t="s">
        <v>108</v>
      </c>
      <c r="CF5" s="115" t="s">
        <v>109</v>
      </c>
      <c r="CG5" s="115" t="s">
        <v>110</v>
      </c>
      <c r="CH5" s="117" t="s">
        <v>113</v>
      </c>
      <c r="CI5" s="117" t="s">
        <v>6</v>
      </c>
      <c r="CJ5" s="117" t="s">
        <v>114</v>
      </c>
      <c r="CK5" s="115" t="s">
        <v>51</v>
      </c>
      <c r="CL5" s="115" t="s">
        <v>49</v>
      </c>
      <c r="CM5" s="114" t="s">
        <v>50</v>
      </c>
      <c r="CN5" s="116" t="s">
        <v>64</v>
      </c>
      <c r="CO5" s="117" t="s">
        <v>107</v>
      </c>
      <c r="CP5" s="117" t="s">
        <v>108</v>
      </c>
      <c r="CQ5" s="117" t="s">
        <v>109</v>
      </c>
      <c r="CR5" s="117" t="s">
        <v>110</v>
      </c>
      <c r="CS5" s="117" t="s">
        <v>6</v>
      </c>
      <c r="CT5" s="117" t="s">
        <v>51</v>
      </c>
      <c r="CU5" s="117" t="s">
        <v>49</v>
      </c>
      <c r="CV5" s="118" t="s">
        <v>50</v>
      </c>
    </row>
    <row r="6" spans="2:100" x14ac:dyDescent="0.25">
      <c r="C6" s="76" t="s">
        <v>48</v>
      </c>
      <c r="D6" s="81" t="s">
        <v>48</v>
      </c>
      <c r="E6" s="105">
        <f>SUMIF($B$13:$B$16,$C6,E$13:E$16)</f>
        <v>78</v>
      </c>
      <c r="F6" s="105">
        <f>SUMIF($B$13:$B$16,$C6,F$13:F$16)</f>
        <v>45</v>
      </c>
      <c r="G6" s="100">
        <f>IFERROR(F6/E6,"")</f>
        <v>0.57692307692307687</v>
      </c>
      <c r="H6" s="104">
        <f>IFERROR(L6/F6,"")</f>
        <v>2.2666666666666666</v>
      </c>
      <c r="I6" s="104">
        <f>IFERROR(J6/F6,"")</f>
        <v>43.188288888888891</v>
      </c>
      <c r="J6" s="66">
        <f>SUMIF($B$13:$B$16,$C6,J$13:J$16)</f>
        <v>1943.473</v>
      </c>
      <c r="K6" s="66">
        <f t="shared" ref="K6:AT7" si="0">SUMIF($B$13:$B$16,$C6,K$13:K$16)</f>
        <v>43.924000000000007</v>
      </c>
      <c r="L6" s="67">
        <f t="shared" si="0"/>
        <v>102</v>
      </c>
      <c r="M6" s="68">
        <f t="shared" si="0"/>
        <v>74</v>
      </c>
      <c r="N6" s="105">
        <f t="shared" si="0"/>
        <v>76</v>
      </c>
      <c r="O6" s="105">
        <f t="shared" si="0"/>
        <v>38</v>
      </c>
      <c r="P6" s="100">
        <f>IFERROR(O6/N6,"")</f>
        <v>0.5</v>
      </c>
      <c r="Q6" s="104">
        <f>IFERROR(U6/O6,"")</f>
        <v>1.5</v>
      </c>
      <c r="R6" s="104">
        <f>IFERROR(S6/O6,"")</f>
        <v>28.183842105263153</v>
      </c>
      <c r="S6" s="11">
        <f t="shared" si="0"/>
        <v>1070.9859999999999</v>
      </c>
      <c r="T6" s="11">
        <f t="shared" si="0"/>
        <v>12.255000000000001</v>
      </c>
      <c r="U6" s="25">
        <f t="shared" si="0"/>
        <v>57</v>
      </c>
      <c r="V6" s="11">
        <f t="shared" si="0"/>
        <v>41</v>
      </c>
      <c r="W6" s="105">
        <f t="shared" si="0"/>
        <v>68</v>
      </c>
      <c r="X6" s="105">
        <f t="shared" si="0"/>
        <v>38</v>
      </c>
      <c r="Y6" s="100">
        <f>IFERROR(X6/W6,"")</f>
        <v>0.55882352941176472</v>
      </c>
      <c r="Z6" s="104">
        <f>IFERROR(AD6/X6,"")</f>
        <v>1.8157894736842106</v>
      </c>
      <c r="AA6" s="104">
        <f>IFERROR(AB6/X6,"")</f>
        <v>33.188026315789472</v>
      </c>
      <c r="AB6" s="65">
        <f t="shared" si="0"/>
        <v>1261.145</v>
      </c>
      <c r="AC6" s="66">
        <f t="shared" si="0"/>
        <v>30.037999999999997</v>
      </c>
      <c r="AD6" s="67">
        <f t="shared" si="0"/>
        <v>69</v>
      </c>
      <c r="AE6" s="68">
        <f t="shared" si="0"/>
        <v>65</v>
      </c>
      <c r="AF6" s="105">
        <f t="shared" si="0"/>
        <v>58</v>
      </c>
      <c r="AG6" s="105">
        <f t="shared" si="0"/>
        <v>26</v>
      </c>
      <c r="AH6" s="100">
        <f>IFERROR(AG6/AF6,"")</f>
        <v>0.44827586206896552</v>
      </c>
      <c r="AI6" s="104">
        <f>IFERROR(AM6/AG6,"")</f>
        <v>1.8846153846153846</v>
      </c>
      <c r="AJ6" s="104">
        <f>IFERROR(AK6/AG6,"")</f>
        <v>34.093346153846156</v>
      </c>
      <c r="AK6" s="11">
        <f t="shared" si="0"/>
        <v>886.42700000000002</v>
      </c>
      <c r="AL6" s="11">
        <f t="shared" si="0"/>
        <v>26.115000000000002</v>
      </c>
      <c r="AM6" s="25">
        <f t="shared" si="0"/>
        <v>49</v>
      </c>
      <c r="AN6" s="11">
        <f t="shared" si="0"/>
        <v>44</v>
      </c>
      <c r="AO6" s="105">
        <f t="shared" si="0"/>
        <v>53</v>
      </c>
      <c r="AP6" s="105">
        <f t="shared" si="0"/>
        <v>22</v>
      </c>
      <c r="AQ6" s="100">
        <f>IFERROR(AP6/AO6,"")</f>
        <v>0.41509433962264153</v>
      </c>
      <c r="AR6" s="104">
        <f>IFERROR(AV6/AP6,"")</f>
        <v>2.4545454545454546</v>
      </c>
      <c r="AS6" s="104">
        <f>IFERROR(AT6/AP6,"")</f>
        <v>44.503500000000003</v>
      </c>
      <c r="AT6" s="66">
        <f t="shared" si="0"/>
        <v>979.077</v>
      </c>
      <c r="AU6" s="66">
        <f t="shared" ref="AU6:CV7" si="1">SUMIF($B$13:$B$16,$C6,AU$13:AU$16)</f>
        <v>13.488</v>
      </c>
      <c r="AV6" s="67">
        <f t="shared" si="1"/>
        <v>54</v>
      </c>
      <c r="AW6" s="68">
        <f t="shared" si="1"/>
        <v>29</v>
      </c>
      <c r="AX6" s="105">
        <f t="shared" si="1"/>
        <v>54</v>
      </c>
      <c r="AY6" s="105">
        <f t="shared" si="1"/>
        <v>17</v>
      </c>
      <c r="AZ6" s="100">
        <f>IFERROR(AY6/AX6,"")</f>
        <v>0.31481481481481483</v>
      </c>
      <c r="BA6" s="104">
        <f>IFERROR(BE6/AY6,"")</f>
        <v>1.5294117647058822</v>
      </c>
      <c r="BB6" s="104">
        <f>IFERROR(BC6/AY6,"")</f>
        <v>24.075823529411764</v>
      </c>
      <c r="BC6" s="11">
        <f t="shared" si="1"/>
        <v>409.28899999999999</v>
      </c>
      <c r="BD6" s="11">
        <f t="shared" si="1"/>
        <v>18.899999999999999</v>
      </c>
      <c r="BE6" s="11">
        <f t="shared" si="1"/>
        <v>26</v>
      </c>
      <c r="BF6" s="68">
        <f t="shared" si="1"/>
        <v>30</v>
      </c>
      <c r="BG6" s="105">
        <f t="shared" si="1"/>
        <v>0</v>
      </c>
      <c r="BH6" s="105">
        <f t="shared" si="1"/>
        <v>0</v>
      </c>
      <c r="BI6" s="100" t="str">
        <f>IFERROR(BH6/BG6,"")</f>
        <v/>
      </c>
      <c r="BJ6" s="104" t="str">
        <f>IFERROR(BP6/BH6,"")</f>
        <v/>
      </c>
      <c r="BK6" s="104" t="str">
        <f>IFERROR(BM6/BH6,"")</f>
        <v/>
      </c>
      <c r="BL6" s="11">
        <f t="shared" si="1"/>
        <v>0</v>
      </c>
      <c r="BM6" s="11">
        <f t="shared" si="1"/>
        <v>0</v>
      </c>
      <c r="BN6" s="11"/>
      <c r="BO6" s="11">
        <f t="shared" si="1"/>
        <v>0</v>
      </c>
      <c r="BP6" s="11">
        <f t="shared" si="1"/>
        <v>0</v>
      </c>
      <c r="BQ6" s="68">
        <f t="shared" si="1"/>
        <v>0</v>
      </c>
      <c r="BR6" s="105">
        <f t="shared" si="1"/>
        <v>74</v>
      </c>
      <c r="BS6" s="105">
        <f t="shared" si="1"/>
        <v>42</v>
      </c>
      <c r="BT6" s="100">
        <f>IFERROR(BS6/BR6,"")</f>
        <v>0.56756756756756754</v>
      </c>
      <c r="BU6" s="104" t="str">
        <f>IFERROR(CA6/BS6,"")</f>
        <v/>
      </c>
      <c r="BV6" s="104" t="str">
        <f>IFERROR(BX6/BS6,"")</f>
        <v/>
      </c>
      <c r="BW6" s="11">
        <f t="shared" si="1"/>
        <v>645</v>
      </c>
      <c r="BX6" s="11" t="e">
        <f t="shared" si="1"/>
        <v>#REF!</v>
      </c>
      <c r="BY6" s="11"/>
      <c r="BZ6" s="11" t="e">
        <f t="shared" si="1"/>
        <v>#REF!</v>
      </c>
      <c r="CA6" s="11" t="e">
        <f t="shared" si="1"/>
        <v>#REF!</v>
      </c>
      <c r="CB6" s="68">
        <f t="shared" si="1"/>
        <v>44</v>
      </c>
      <c r="CC6" s="105">
        <f t="shared" si="1"/>
        <v>0</v>
      </c>
      <c r="CD6" s="105" t="e">
        <f t="shared" si="1"/>
        <v>#DIV/0!</v>
      </c>
      <c r="CE6" s="100" t="str">
        <f>IFERROR(CD6/CC6,"")</f>
        <v/>
      </c>
      <c r="CF6" s="104" t="str">
        <f>IFERROR(CL6/CD6,"")</f>
        <v/>
      </c>
      <c r="CG6" s="104" t="str">
        <f>IFERROR(CI6/CD6,"")</f>
        <v/>
      </c>
      <c r="CH6" s="11" t="e">
        <f t="shared" si="1"/>
        <v>#DIV/0!</v>
      </c>
      <c r="CI6" s="11" t="e">
        <f t="shared" si="1"/>
        <v>#REF!</v>
      </c>
      <c r="CJ6" s="11"/>
      <c r="CK6" s="11" t="e">
        <f t="shared" si="1"/>
        <v>#REF!</v>
      </c>
      <c r="CL6" s="11" t="e">
        <f t="shared" si="1"/>
        <v>#REF!</v>
      </c>
      <c r="CM6" s="68">
        <f t="shared" si="1"/>
        <v>44</v>
      </c>
      <c r="CN6" s="122">
        <f t="shared" si="1"/>
        <v>54</v>
      </c>
      <c r="CO6" s="105">
        <f t="shared" si="1"/>
        <v>186</v>
      </c>
      <c r="CP6" s="100">
        <f>IFERROR(CO6/SUMIF($E$22:$BF$22,"MP",$E6:$BF6),"")</f>
        <v>0.48062015503875971</v>
      </c>
      <c r="CQ6" s="104">
        <f>IFERROR(CU6/CO6,"")</f>
        <v>1.9193548387096775</v>
      </c>
      <c r="CR6" s="104">
        <f>IFERROR(CS6/CO6,"")</f>
        <v>35.217188172043009</v>
      </c>
      <c r="CS6" s="66">
        <f t="shared" si="1"/>
        <v>6550.3969999999999</v>
      </c>
      <c r="CT6" s="66">
        <f t="shared" si="1"/>
        <v>144.72</v>
      </c>
      <c r="CU6" s="67">
        <f t="shared" si="1"/>
        <v>357</v>
      </c>
      <c r="CV6" s="73">
        <f t="shared" si="1"/>
        <v>283</v>
      </c>
    </row>
    <row r="7" spans="2:100" x14ac:dyDescent="0.25">
      <c r="C7" s="76" t="s">
        <v>47</v>
      </c>
      <c r="D7" s="81" t="s">
        <v>47</v>
      </c>
      <c r="E7" s="105">
        <f>SUMIF($B$13:$B$16,$C7,E$13:E$16)</f>
        <v>171</v>
      </c>
      <c r="F7" s="105">
        <f>SUMIF($B$13:$B$16,$C7,F$13:F$16)</f>
        <v>132</v>
      </c>
      <c r="G7" s="100">
        <f>IFERROR(F7/E7,"")</f>
        <v>0.77192982456140347</v>
      </c>
      <c r="H7" s="104">
        <f>IFERROR(L7/F7,"")</f>
        <v>2.7196969696969697</v>
      </c>
      <c r="I7" s="104">
        <f>IFERROR(J7/F7,"")</f>
        <v>43.060113636363631</v>
      </c>
      <c r="J7" s="66">
        <f>SUMIF($B$13:$B$16,$C7,J$13:J$16)</f>
        <v>5683.9349999999995</v>
      </c>
      <c r="K7" s="66">
        <f t="shared" si="0"/>
        <v>144.62199999999999</v>
      </c>
      <c r="L7" s="67">
        <f t="shared" si="0"/>
        <v>359</v>
      </c>
      <c r="M7" s="68">
        <f t="shared" si="0"/>
        <v>334</v>
      </c>
      <c r="N7" s="105">
        <f t="shared" si="0"/>
        <v>167</v>
      </c>
      <c r="O7" s="105">
        <f t="shared" si="0"/>
        <v>129</v>
      </c>
      <c r="P7" s="100">
        <f>IFERROR(O7/N7,"")</f>
        <v>0.77245508982035926</v>
      </c>
      <c r="Q7" s="104">
        <f>IFERROR(U7/O7,"")</f>
        <v>4.0930232558139537</v>
      </c>
      <c r="R7" s="104">
        <f>IFERROR(S7/O7,"")</f>
        <v>69.507751937984494</v>
      </c>
      <c r="S7" s="11">
        <f t="shared" si="0"/>
        <v>8966.5</v>
      </c>
      <c r="T7" s="11">
        <f t="shared" si="0"/>
        <v>270.697</v>
      </c>
      <c r="U7" s="25">
        <f t="shared" si="0"/>
        <v>528</v>
      </c>
      <c r="V7" s="11">
        <f t="shared" si="0"/>
        <v>633</v>
      </c>
      <c r="W7" s="105">
        <f t="shared" si="0"/>
        <v>168</v>
      </c>
      <c r="X7" s="105">
        <f t="shared" si="0"/>
        <v>143</v>
      </c>
      <c r="Y7" s="100">
        <f>IFERROR(X7/W7,"")</f>
        <v>0.85119047619047616</v>
      </c>
      <c r="Z7" s="104">
        <f>IFERROR(AD7/X7,"")</f>
        <v>5.965034965034965</v>
      </c>
      <c r="AA7" s="104">
        <f>IFERROR(AB7/X7,"")</f>
        <v>99.15508391608391</v>
      </c>
      <c r="AB7" s="65">
        <f t="shared" si="0"/>
        <v>14179.177</v>
      </c>
      <c r="AC7" s="66">
        <f t="shared" si="0"/>
        <v>349.08299999999997</v>
      </c>
      <c r="AD7" s="67">
        <f t="shared" si="0"/>
        <v>853</v>
      </c>
      <c r="AE7" s="68">
        <f t="shared" si="0"/>
        <v>797</v>
      </c>
      <c r="AF7" s="105">
        <f t="shared" si="0"/>
        <v>183</v>
      </c>
      <c r="AG7" s="105">
        <f t="shared" si="0"/>
        <v>150</v>
      </c>
      <c r="AH7" s="100">
        <f>IFERROR(AG7/AF7,"")</f>
        <v>0.81967213114754101</v>
      </c>
      <c r="AI7" s="104">
        <f>IFERROR(AM7/AG7,"")</f>
        <v>4.6933333333333334</v>
      </c>
      <c r="AJ7" s="104">
        <f>IFERROR(AK7/AG7,"")</f>
        <v>78.47923333333334</v>
      </c>
      <c r="AK7" s="11">
        <f t="shared" si="0"/>
        <v>11771.885</v>
      </c>
      <c r="AL7" s="11">
        <f t="shared" si="0"/>
        <v>339.31099999999998</v>
      </c>
      <c r="AM7" s="25">
        <f t="shared" si="0"/>
        <v>704</v>
      </c>
      <c r="AN7" s="11">
        <f t="shared" si="0"/>
        <v>709</v>
      </c>
      <c r="AO7" s="105">
        <f t="shared" si="0"/>
        <v>180</v>
      </c>
      <c r="AP7" s="105">
        <f t="shared" si="0"/>
        <v>146</v>
      </c>
      <c r="AQ7" s="100">
        <f>IFERROR(AP7/AO7,"")</f>
        <v>0.81111111111111112</v>
      </c>
      <c r="AR7" s="104">
        <f>IFERROR(AV7/AP7,"")</f>
        <v>5.9794520547945202</v>
      </c>
      <c r="AS7" s="104">
        <f>IFERROR(AT7/AP7,"")</f>
        <v>103.99619178082189</v>
      </c>
      <c r="AT7" s="66">
        <f t="shared" si="0"/>
        <v>15183.443999999996</v>
      </c>
      <c r="AU7" s="66">
        <f t="shared" si="1"/>
        <v>444.81099999999998</v>
      </c>
      <c r="AV7" s="67">
        <f t="shared" si="1"/>
        <v>873</v>
      </c>
      <c r="AW7" s="68">
        <f t="shared" si="1"/>
        <v>880</v>
      </c>
      <c r="AX7" s="105">
        <f t="shared" si="1"/>
        <v>181</v>
      </c>
      <c r="AY7" s="105">
        <f t="shared" si="1"/>
        <v>146</v>
      </c>
      <c r="AZ7" s="100">
        <f>IFERROR(AY7/AX7,"")</f>
        <v>0.8066298342541437</v>
      </c>
      <c r="BA7" s="104">
        <f>IFERROR(BE7/AY7,"")</f>
        <v>6.1780821917808222</v>
      </c>
      <c r="BB7" s="104">
        <f>IFERROR(BC7/AY7,"")</f>
        <v>109.6492808219178</v>
      </c>
      <c r="BC7" s="11">
        <f t="shared" si="1"/>
        <v>16008.794999999998</v>
      </c>
      <c r="BD7" s="11">
        <f t="shared" si="1"/>
        <v>411.91499999999996</v>
      </c>
      <c r="BE7" s="11">
        <f t="shared" si="1"/>
        <v>902</v>
      </c>
      <c r="BF7" s="68">
        <f t="shared" si="1"/>
        <v>873</v>
      </c>
      <c r="BG7" s="105">
        <f t="shared" si="1"/>
        <v>183</v>
      </c>
      <c r="BH7" s="105">
        <f t="shared" si="1"/>
        <v>145</v>
      </c>
      <c r="BI7" s="100">
        <f>IFERROR(BH7/BG7,"")</f>
        <v>0.79234972677595628</v>
      </c>
      <c r="BJ7" s="104">
        <f>IFERROR(BP7/BH7,"")</f>
        <v>5.1310344827586203</v>
      </c>
      <c r="BK7" s="104">
        <f>IFERROR(BM7/BH7,"")</f>
        <v>89.353793103448268</v>
      </c>
      <c r="BL7" s="11">
        <f t="shared" si="1"/>
        <v>16500</v>
      </c>
      <c r="BM7" s="11">
        <f t="shared" si="1"/>
        <v>12956.3</v>
      </c>
      <c r="BN7" s="14">
        <f>BM7/BL7</f>
        <v>0.78523030303030295</v>
      </c>
      <c r="BO7" s="11">
        <f t="shared" si="1"/>
        <v>384.75099999999998</v>
      </c>
      <c r="BP7" s="11">
        <f t="shared" si="1"/>
        <v>744</v>
      </c>
      <c r="BQ7" s="68">
        <f t="shared" si="1"/>
        <v>778</v>
      </c>
      <c r="BR7" s="105">
        <f t="shared" si="1"/>
        <v>182</v>
      </c>
      <c r="BS7" s="105">
        <f t="shared" si="1"/>
        <v>156</v>
      </c>
      <c r="BT7" s="100">
        <f>IFERROR(BS7/BR7,"")</f>
        <v>0.8571428571428571</v>
      </c>
      <c r="BU7" s="104">
        <f>IFERROR(CA7/BS7,"")</f>
        <v>5.8076923076923075</v>
      </c>
      <c r="BV7" s="104" t="str">
        <f>IFERROR(BX7/BS7,"")</f>
        <v/>
      </c>
      <c r="BW7" s="11">
        <f t="shared" si="1"/>
        <v>17500</v>
      </c>
      <c r="BX7" s="11" t="e">
        <f t="shared" si="1"/>
        <v>#REF!</v>
      </c>
      <c r="BY7" s="14" t="e">
        <f>BX7/BW7</f>
        <v>#REF!</v>
      </c>
      <c r="BZ7" s="11">
        <f t="shared" si="1"/>
        <v>434.661</v>
      </c>
      <c r="CA7" s="11">
        <f t="shared" si="1"/>
        <v>906</v>
      </c>
      <c r="CB7" s="68">
        <f t="shared" si="1"/>
        <v>871</v>
      </c>
      <c r="CC7" s="105">
        <f t="shared" si="1"/>
        <v>166</v>
      </c>
      <c r="CD7" s="105">
        <f t="shared" si="1"/>
        <v>151</v>
      </c>
      <c r="CE7" s="100">
        <f>IFERROR(CD7/CC7,"")</f>
        <v>0.90963855421686746</v>
      </c>
      <c r="CF7" s="104">
        <f>IFERROR(CL7/CD7,"")</f>
        <v>5.6026490066225163</v>
      </c>
      <c r="CG7" s="104" t="str">
        <f>IFERROR(CI7/CD7,"")</f>
        <v/>
      </c>
      <c r="CH7" s="11">
        <f t="shared" si="1"/>
        <v>1140.0118913055817</v>
      </c>
      <c r="CI7" s="11" t="e">
        <f t="shared" si="1"/>
        <v>#REF!</v>
      </c>
      <c r="CJ7" s="14" t="e">
        <f>CI7/CH7</f>
        <v>#REF!</v>
      </c>
      <c r="CK7" s="11">
        <f t="shared" si="1"/>
        <v>413.92399999999998</v>
      </c>
      <c r="CL7" s="11">
        <f t="shared" si="1"/>
        <v>846</v>
      </c>
      <c r="CM7" s="68">
        <f t="shared" si="1"/>
        <v>810</v>
      </c>
      <c r="CN7" s="122">
        <f t="shared" si="1"/>
        <v>183</v>
      </c>
      <c r="CO7" s="105">
        <f t="shared" si="1"/>
        <v>991</v>
      </c>
      <c r="CP7" s="100">
        <f>IFERROR(CO7/SUMIF($E$22:$BF$22,"MP",$E7:$BF7),"")</f>
        <v>0.94380952380952376</v>
      </c>
      <c r="CQ7" s="104">
        <f>IFERROR(CU7/CO7,"")</f>
        <v>5.0080726538849643</v>
      </c>
      <c r="CR7" s="104">
        <f>IFERROR(CS7/CO7,"")</f>
        <v>85.51971342078707</v>
      </c>
      <c r="CS7" s="66">
        <f t="shared" si="1"/>
        <v>84750.035999999993</v>
      </c>
      <c r="CT7" s="66">
        <f t="shared" si="1"/>
        <v>2345.19</v>
      </c>
      <c r="CU7" s="67">
        <f t="shared" si="1"/>
        <v>4963</v>
      </c>
      <c r="CV7" s="73">
        <f t="shared" si="1"/>
        <v>5004</v>
      </c>
    </row>
    <row r="8" spans="2:100" ht="15.75" thickBot="1" x14ac:dyDescent="0.3">
      <c r="C8" s="78" t="s">
        <v>105</v>
      </c>
      <c r="D8" s="75"/>
      <c r="E8" s="58">
        <f>SUM(E6:E7)</f>
        <v>249</v>
      </c>
      <c r="F8" s="58">
        <f>SUM(F6:F7)</f>
        <v>177</v>
      </c>
      <c r="G8" s="101">
        <f>IFERROR(F8/E8,"")</f>
        <v>0.71084337349397586</v>
      </c>
      <c r="H8" s="102">
        <f>IFERROR(L8/F8,"")</f>
        <v>2.6045197740112993</v>
      </c>
      <c r="I8" s="102">
        <f>IFERROR(J8/F8,"")</f>
        <v>43.09270056497175</v>
      </c>
      <c r="J8" s="60">
        <f t="shared" ref="J8:O8" si="2">SUM(J6:J7)</f>
        <v>7627.4079999999994</v>
      </c>
      <c r="K8" s="60">
        <f t="shared" si="2"/>
        <v>188.54599999999999</v>
      </c>
      <c r="L8" s="60">
        <f t="shared" si="2"/>
        <v>461</v>
      </c>
      <c r="M8" s="70">
        <f t="shared" si="2"/>
        <v>408</v>
      </c>
      <c r="N8" s="58">
        <f t="shared" si="2"/>
        <v>243</v>
      </c>
      <c r="O8" s="58">
        <f t="shared" si="2"/>
        <v>167</v>
      </c>
      <c r="P8" s="101">
        <f>IFERROR(O8/N8,"")</f>
        <v>0.68724279835390945</v>
      </c>
      <c r="Q8" s="102">
        <f>IFERROR(U8/O8,"")</f>
        <v>3.5029940119760479</v>
      </c>
      <c r="R8" s="102">
        <f>IFERROR(S8/O8,"")</f>
        <v>60.104706586826353</v>
      </c>
      <c r="S8" s="60">
        <f t="shared" ref="S8:X8" si="3">SUM(S6:S7)</f>
        <v>10037.486000000001</v>
      </c>
      <c r="T8" s="60">
        <f t="shared" si="3"/>
        <v>282.952</v>
      </c>
      <c r="U8" s="60">
        <f t="shared" si="3"/>
        <v>585</v>
      </c>
      <c r="V8" s="60">
        <f t="shared" si="3"/>
        <v>674</v>
      </c>
      <c r="W8" s="58">
        <f t="shared" si="3"/>
        <v>236</v>
      </c>
      <c r="X8" s="58">
        <f t="shared" si="3"/>
        <v>181</v>
      </c>
      <c r="Y8" s="101">
        <f>IFERROR(X8/W8,"")</f>
        <v>0.76694915254237284</v>
      </c>
      <c r="Z8" s="102">
        <f>IFERROR(AD8/X8,"")</f>
        <v>5.0939226519337018</v>
      </c>
      <c r="AA8" s="102">
        <f>IFERROR(AB8/X8,"")</f>
        <v>85.305646408839777</v>
      </c>
      <c r="AB8" s="69">
        <f t="shared" ref="AB8:AG8" si="4">SUM(AB6:AB7)</f>
        <v>15440.322</v>
      </c>
      <c r="AC8" s="60">
        <f t="shared" si="4"/>
        <v>379.12099999999998</v>
      </c>
      <c r="AD8" s="60">
        <f t="shared" si="4"/>
        <v>922</v>
      </c>
      <c r="AE8" s="70">
        <f t="shared" si="4"/>
        <v>862</v>
      </c>
      <c r="AF8" s="58">
        <f t="shared" si="4"/>
        <v>241</v>
      </c>
      <c r="AG8" s="58">
        <f t="shared" si="4"/>
        <v>176</v>
      </c>
      <c r="AH8" s="101">
        <f>IFERROR(AG8/AF8,"")</f>
        <v>0.73029045643153523</v>
      </c>
      <c r="AI8" s="102">
        <f>IFERROR(AM8/AG8,"")</f>
        <v>4.2784090909090908</v>
      </c>
      <c r="AJ8" s="102">
        <f>IFERROR(AK8/AG8,"")</f>
        <v>71.92222727272727</v>
      </c>
      <c r="AK8" s="60">
        <f t="shared" ref="AK8:AP8" si="5">SUM(AK6:AK7)</f>
        <v>12658.312</v>
      </c>
      <c r="AL8" s="60">
        <f t="shared" si="5"/>
        <v>365.42599999999999</v>
      </c>
      <c r="AM8" s="60">
        <f t="shared" si="5"/>
        <v>753</v>
      </c>
      <c r="AN8" s="60">
        <f t="shared" si="5"/>
        <v>753</v>
      </c>
      <c r="AO8" s="58">
        <f t="shared" si="5"/>
        <v>233</v>
      </c>
      <c r="AP8" s="58">
        <f t="shared" si="5"/>
        <v>168</v>
      </c>
      <c r="AQ8" s="101">
        <f>IFERROR(AP8/AO8,"")</f>
        <v>0.72103004291845496</v>
      </c>
      <c r="AR8" s="102">
        <f>IFERROR(AV8/AP8,"")</f>
        <v>5.5178571428571432</v>
      </c>
      <c r="AS8" s="102">
        <f>IFERROR(AT8/AP8,"")</f>
        <v>96.205482142857107</v>
      </c>
      <c r="AT8" s="60">
        <f t="shared" ref="AT8:AY8" si="6">SUM(AT6:AT7)</f>
        <v>16162.520999999995</v>
      </c>
      <c r="AU8" s="60">
        <f t="shared" si="6"/>
        <v>458.29899999999998</v>
      </c>
      <c r="AV8" s="60">
        <f t="shared" si="6"/>
        <v>927</v>
      </c>
      <c r="AW8" s="70">
        <f t="shared" si="6"/>
        <v>909</v>
      </c>
      <c r="AX8" s="58">
        <f t="shared" si="6"/>
        <v>235</v>
      </c>
      <c r="AY8" s="58">
        <f t="shared" si="6"/>
        <v>163</v>
      </c>
      <c r="AZ8" s="101">
        <f>IFERROR(AY8/AX8,"")</f>
        <v>0.69361702127659575</v>
      </c>
      <c r="BA8" s="102">
        <f>IFERROR(BE8/AY8,"")</f>
        <v>5.6932515337423313</v>
      </c>
      <c r="BB8" s="102">
        <f>IFERROR(BC8/AY8,"")</f>
        <v>100.72444171779141</v>
      </c>
      <c r="BC8" s="60">
        <f t="shared" ref="BC8:BH8" si="7">SUM(BC6:BC7)</f>
        <v>16418.083999999999</v>
      </c>
      <c r="BD8" s="60">
        <f t="shared" si="7"/>
        <v>430.81499999999994</v>
      </c>
      <c r="BE8" s="60">
        <f t="shared" si="7"/>
        <v>928</v>
      </c>
      <c r="BF8" s="70">
        <f t="shared" si="7"/>
        <v>903</v>
      </c>
      <c r="BG8" s="58">
        <f t="shared" si="7"/>
        <v>183</v>
      </c>
      <c r="BH8" s="58">
        <f t="shared" si="7"/>
        <v>145</v>
      </c>
      <c r="BI8" s="101">
        <f>IFERROR(BH8/BG8,"")</f>
        <v>0.79234972677595628</v>
      </c>
      <c r="BJ8" s="102">
        <f>IFERROR(BP8/BH8,"")</f>
        <v>5.1310344827586203</v>
      </c>
      <c r="BK8" s="102">
        <f>IFERROR(BM8/BH8,"")</f>
        <v>89.353793103448268</v>
      </c>
      <c r="BL8" s="140">
        <f>SUM(BL6:BL7)</f>
        <v>16500</v>
      </c>
      <c r="BM8" s="140">
        <f>SUM(BM6:BM7)</f>
        <v>12956.3</v>
      </c>
      <c r="BN8" s="141">
        <f>BM8/BL8</f>
        <v>0.78523030303030295</v>
      </c>
      <c r="BO8" s="60">
        <f>SUM(BO6:BO7)</f>
        <v>384.75099999999998</v>
      </c>
      <c r="BP8" s="60">
        <f>SUM(BP6:BP7)</f>
        <v>744</v>
      </c>
      <c r="BQ8" s="70">
        <f>SUM(BQ6:BQ7)</f>
        <v>778</v>
      </c>
      <c r="BR8" s="58">
        <f>SUM(BR6:BR7)</f>
        <v>256</v>
      </c>
      <c r="BS8" s="58">
        <f>SUM(BS6:BS7)</f>
        <v>198</v>
      </c>
      <c r="BT8" s="101">
        <f>IFERROR(BS8/BR8,"")</f>
        <v>0.7734375</v>
      </c>
      <c r="BU8" s="102" t="str">
        <f>IFERROR(CA8/BS8,"")</f>
        <v/>
      </c>
      <c r="BV8" s="102" t="str">
        <f>IFERROR(BX8/BS8,"")</f>
        <v/>
      </c>
      <c r="BW8" s="140">
        <f>SUM(BW6:BW7)</f>
        <v>18145</v>
      </c>
      <c r="BX8" s="140" t="e">
        <f>SUM(BX6:BX7)</f>
        <v>#REF!</v>
      </c>
      <c r="BY8" s="141" t="e">
        <f>BX8/BW8</f>
        <v>#REF!</v>
      </c>
      <c r="BZ8" s="60" t="e">
        <f>SUM(BZ6:BZ7)</f>
        <v>#REF!</v>
      </c>
      <c r="CA8" s="60" t="e">
        <f>SUM(CA6:CA7)</f>
        <v>#REF!</v>
      </c>
      <c r="CB8" s="70">
        <f>SUM(CB6:CB7)</f>
        <v>915</v>
      </c>
      <c r="CC8" s="58">
        <f>SUM(CC6:CC7)</f>
        <v>166</v>
      </c>
      <c r="CD8" s="58" t="e">
        <f>SUM(CD6:CD7)</f>
        <v>#DIV/0!</v>
      </c>
      <c r="CE8" s="101" t="str">
        <f>IFERROR(CD8/CC8,"")</f>
        <v/>
      </c>
      <c r="CF8" s="102" t="str">
        <f>IFERROR(CL8/CD8,"")</f>
        <v/>
      </c>
      <c r="CG8" s="102" t="str">
        <f>IFERROR(CI8/CD8,"")</f>
        <v/>
      </c>
      <c r="CH8" s="140" t="e">
        <f>SUM(CH6:CH7)</f>
        <v>#DIV/0!</v>
      </c>
      <c r="CI8" s="140" t="e">
        <f>SUM(CI6:CI7)</f>
        <v>#REF!</v>
      </c>
      <c r="CJ8" s="141" t="e">
        <f>CI8/CH8</f>
        <v>#REF!</v>
      </c>
      <c r="CK8" s="60" t="e">
        <f>SUM(CK6:CK7)</f>
        <v>#REF!</v>
      </c>
      <c r="CL8" s="60" t="e">
        <f>SUM(CL6:CL7)</f>
        <v>#REF!</v>
      </c>
      <c r="CM8" s="70">
        <f>SUM(CM6:CM7)</f>
        <v>854</v>
      </c>
      <c r="CN8" s="74">
        <f>SUM(CN6:CN7)</f>
        <v>237</v>
      </c>
      <c r="CO8" s="58">
        <f>SUM(CO6:CO7)</f>
        <v>1177</v>
      </c>
      <c r="CP8" s="101">
        <f>IFERROR(CO8/SUMIF($E$22:$BF$22,"MP",$E8:$BF8),"")</f>
        <v>0.81906750173973553</v>
      </c>
      <c r="CQ8" s="102">
        <f>IFERROR(CU8/CO8,"")</f>
        <v>4.519966015293118</v>
      </c>
      <c r="CR8" s="102">
        <f>IFERROR(CS8/CO8,"")</f>
        <v>77.570461342395916</v>
      </c>
      <c r="CS8" s="60">
        <f>SUM(CS6:CS7)</f>
        <v>91300.43299999999</v>
      </c>
      <c r="CT8" s="60">
        <f>SUM(CT6:CT7)</f>
        <v>2489.91</v>
      </c>
      <c r="CU8" s="60">
        <f>SUM(CU6:CU7)</f>
        <v>5320</v>
      </c>
      <c r="CV8" s="70">
        <f>SUM(CV6:CV7)</f>
        <v>5287</v>
      </c>
    </row>
    <row r="9" spans="2:100" x14ac:dyDescent="0.25">
      <c r="D9"/>
      <c r="E9"/>
      <c r="F9"/>
      <c r="G9"/>
      <c r="H9" s="103"/>
      <c r="I9" s="103"/>
      <c r="N9"/>
      <c r="O9"/>
      <c r="P9"/>
      <c r="Q9" s="103"/>
      <c r="R9" s="103"/>
      <c r="U9" s="2"/>
      <c r="V9" s="2"/>
      <c r="Z9" s="103"/>
      <c r="AA9" s="103"/>
      <c r="AB9" s="2"/>
      <c r="AC9" s="2"/>
      <c r="AD9" s="2"/>
      <c r="AE9" s="2"/>
      <c r="AI9" s="103"/>
      <c r="AJ9" s="103"/>
      <c r="AK9" s="2"/>
      <c r="AL9" s="2"/>
      <c r="AM9" s="2"/>
      <c r="AN9" s="2"/>
      <c r="AR9" s="103"/>
      <c r="AS9" s="103"/>
      <c r="BA9" s="103"/>
      <c r="BB9" s="103"/>
      <c r="BJ9" s="103"/>
      <c r="BK9" s="103"/>
      <c r="BU9" s="103"/>
      <c r="BV9" s="103"/>
      <c r="CF9" s="103"/>
      <c r="CG9" s="103"/>
      <c r="CQ9" s="103"/>
      <c r="CR9" s="103"/>
    </row>
    <row r="10" spans="2:100" x14ac:dyDescent="0.25">
      <c r="H10" s="103"/>
      <c r="I10" s="103"/>
      <c r="Q10" s="103"/>
      <c r="R10" s="103"/>
      <c r="U10" s="2"/>
      <c r="V10" s="2"/>
      <c r="W10" s="2"/>
      <c r="X10" s="2"/>
      <c r="Y10" s="2"/>
      <c r="Z10" s="103"/>
      <c r="AA10" s="103"/>
      <c r="AB10" s="2"/>
      <c r="AC10" s="2"/>
      <c r="AD10" s="2"/>
      <c r="AE10" s="2"/>
      <c r="AF10" s="2"/>
      <c r="AG10" s="2"/>
      <c r="AH10" s="2"/>
      <c r="AI10" s="103"/>
      <c r="AJ10" s="103"/>
      <c r="AK10" s="231"/>
      <c r="AL10" s="231"/>
      <c r="AM10" s="231"/>
      <c r="AN10" s="231"/>
      <c r="AO10" s="2"/>
      <c r="AP10" s="2"/>
      <c r="AQ10" s="2"/>
      <c r="AR10" s="103"/>
      <c r="AS10" s="103"/>
      <c r="AX10" s="2"/>
      <c r="AY10" s="2"/>
      <c r="AZ10" s="2"/>
      <c r="BA10" s="103"/>
      <c r="BB10" s="103"/>
      <c r="BG10" s="2"/>
      <c r="BH10" s="2"/>
      <c r="BI10" s="2"/>
      <c r="BJ10" s="103"/>
      <c r="BK10" s="103"/>
      <c r="BR10" s="2"/>
      <c r="BS10" s="2"/>
      <c r="BT10" s="2"/>
      <c r="BU10" s="103"/>
      <c r="BV10" s="103"/>
      <c r="CC10" s="2"/>
      <c r="CD10" s="2"/>
      <c r="CE10" s="2"/>
      <c r="CF10" s="103"/>
      <c r="CG10" s="103"/>
      <c r="CN10" s="2"/>
      <c r="CO10" s="2"/>
      <c r="CP10" s="2"/>
      <c r="CQ10" s="103"/>
      <c r="CR10" s="103"/>
    </row>
    <row r="11" spans="2:100" x14ac:dyDescent="0.25">
      <c r="B11" s="107"/>
      <c r="C11" s="110"/>
      <c r="D11" s="108"/>
      <c r="E11" s="109" t="str">
        <f>E4</f>
        <v>Jan '16</v>
      </c>
      <c r="F11" s="110"/>
      <c r="G11" s="110"/>
      <c r="H11" s="119"/>
      <c r="I11" s="119"/>
      <c r="J11" s="111"/>
      <c r="K11" s="111"/>
      <c r="L11" s="111"/>
      <c r="M11" s="110"/>
      <c r="N11" s="109" t="str">
        <f>N4</f>
        <v>Feb '16</v>
      </c>
      <c r="O11" s="110"/>
      <c r="P11" s="110"/>
      <c r="Q11" s="119"/>
      <c r="R11" s="111"/>
      <c r="S11" s="111"/>
      <c r="T11" s="111"/>
      <c r="U11" s="111"/>
      <c r="V11" s="110"/>
      <c r="W11" s="109" t="str">
        <f>W4</f>
        <v>Mar '16</v>
      </c>
      <c r="X11" s="110"/>
      <c r="Y11" s="110"/>
      <c r="Z11" s="119"/>
      <c r="AA11" s="119"/>
      <c r="AB11" s="119"/>
      <c r="AC11" s="119"/>
      <c r="AD11" s="111"/>
      <c r="AE11" s="110"/>
      <c r="AF11" s="109" t="str">
        <f>AF4</f>
        <v>Apr '16</v>
      </c>
      <c r="AG11" s="110"/>
      <c r="AH11" s="110"/>
      <c r="AI11" s="119"/>
      <c r="AJ11" s="119"/>
      <c r="AK11" s="119"/>
      <c r="AL11" s="119"/>
      <c r="AM11" s="111"/>
      <c r="AN11" s="110"/>
      <c r="AO11" s="109" t="str">
        <f>AO4</f>
        <v>May '16</v>
      </c>
      <c r="AP11" s="110"/>
      <c r="AQ11" s="110"/>
      <c r="AR11" s="119"/>
      <c r="AS11" s="119"/>
      <c r="AT11" s="111"/>
      <c r="AU11" s="111"/>
      <c r="AV11" s="111"/>
      <c r="AW11" s="111"/>
      <c r="AX11" s="109" t="str">
        <f>AX4</f>
        <v>Jun '16</v>
      </c>
      <c r="AY11" s="110"/>
      <c r="AZ11" s="110"/>
      <c r="BA11" s="119"/>
      <c r="BB11" s="111"/>
      <c r="BC11" s="111"/>
      <c r="BD11" s="111"/>
      <c r="BE11" s="111"/>
      <c r="BF11" s="110"/>
      <c r="BG11" s="109" t="str">
        <f>BG4</f>
        <v>Jul '16</v>
      </c>
      <c r="BH11" s="110"/>
      <c r="BI11" s="110"/>
      <c r="BJ11" s="119"/>
      <c r="BK11" s="111"/>
      <c r="BL11" s="111"/>
      <c r="BM11" s="111"/>
      <c r="BN11" s="111"/>
      <c r="BO11" s="111"/>
      <c r="BP11" s="111"/>
      <c r="BQ11" s="110"/>
      <c r="BR11" s="109" t="str">
        <f>BR4</f>
        <v>Aug '16</v>
      </c>
      <c r="BS11" s="110"/>
      <c r="BT11" s="110"/>
      <c r="BU11" s="119"/>
      <c r="BV11" s="111"/>
      <c r="BW11" s="111"/>
      <c r="BX11" s="111"/>
      <c r="BY11" s="111"/>
      <c r="BZ11" s="111"/>
      <c r="CA11" s="111"/>
      <c r="CB11" s="110"/>
      <c r="CC11" s="109" t="str">
        <f>CC4</f>
        <v>Sep '16</v>
      </c>
      <c r="CD11" s="110"/>
      <c r="CE11" s="110"/>
      <c r="CF11" s="119"/>
      <c r="CG11" s="111"/>
      <c r="CH11" s="111"/>
      <c r="CI11" s="111"/>
      <c r="CJ11" s="111"/>
      <c r="CK11" s="111"/>
      <c r="CL11" s="111"/>
      <c r="CM11" s="110"/>
      <c r="CN11" s="109" t="str">
        <f>CN4</f>
        <v>YTD</v>
      </c>
      <c r="CO11" s="110"/>
      <c r="CP11" s="110"/>
      <c r="CQ11" s="119"/>
      <c r="CR11" s="111"/>
      <c r="CS11" s="111"/>
      <c r="CT11" s="111"/>
      <c r="CU11" s="111"/>
      <c r="CV11" s="112"/>
    </row>
    <row r="12" spans="2:100" x14ac:dyDescent="0.25">
      <c r="B12" s="113" t="s">
        <v>42</v>
      </c>
      <c r="C12" s="115" t="s">
        <v>43</v>
      </c>
      <c r="D12" s="114" t="s">
        <v>45</v>
      </c>
      <c r="E12" s="113" t="s">
        <v>64</v>
      </c>
      <c r="F12" s="115" t="s">
        <v>107</v>
      </c>
      <c r="G12" s="115" t="s">
        <v>108</v>
      </c>
      <c r="H12" s="120" t="s">
        <v>109</v>
      </c>
      <c r="I12" s="120" t="s">
        <v>110</v>
      </c>
      <c r="J12" s="115" t="s">
        <v>6</v>
      </c>
      <c r="K12" s="115" t="s">
        <v>51</v>
      </c>
      <c r="L12" s="115" t="s">
        <v>49</v>
      </c>
      <c r="M12" s="114" t="s">
        <v>50</v>
      </c>
      <c r="N12" s="113" t="s">
        <v>64</v>
      </c>
      <c r="O12" s="115" t="s">
        <v>107</v>
      </c>
      <c r="P12" s="115" t="s">
        <v>108</v>
      </c>
      <c r="Q12" s="120" t="s">
        <v>109</v>
      </c>
      <c r="R12" s="120" t="s">
        <v>110</v>
      </c>
      <c r="S12" s="115" t="s">
        <v>6</v>
      </c>
      <c r="T12" s="115" t="s">
        <v>51</v>
      </c>
      <c r="U12" s="115" t="s">
        <v>49</v>
      </c>
      <c r="V12" s="114" t="s">
        <v>50</v>
      </c>
      <c r="W12" s="113" t="s">
        <v>64</v>
      </c>
      <c r="X12" s="115" t="s">
        <v>107</v>
      </c>
      <c r="Y12" s="115" t="s">
        <v>108</v>
      </c>
      <c r="Z12" s="120" t="s">
        <v>109</v>
      </c>
      <c r="AA12" s="120" t="s">
        <v>110</v>
      </c>
      <c r="AB12" s="115" t="s">
        <v>6</v>
      </c>
      <c r="AC12" s="115" t="s">
        <v>51</v>
      </c>
      <c r="AD12" s="115" t="s">
        <v>49</v>
      </c>
      <c r="AE12" s="114" t="s">
        <v>50</v>
      </c>
      <c r="AF12" s="113" t="s">
        <v>64</v>
      </c>
      <c r="AG12" s="115" t="s">
        <v>107</v>
      </c>
      <c r="AH12" s="115" t="s">
        <v>108</v>
      </c>
      <c r="AI12" s="120" t="s">
        <v>109</v>
      </c>
      <c r="AJ12" s="120" t="s">
        <v>110</v>
      </c>
      <c r="AK12" s="115" t="s">
        <v>6</v>
      </c>
      <c r="AL12" s="115" t="s">
        <v>51</v>
      </c>
      <c r="AM12" s="115" t="s">
        <v>49</v>
      </c>
      <c r="AN12" s="114" t="s">
        <v>50</v>
      </c>
      <c r="AO12" s="113" t="s">
        <v>64</v>
      </c>
      <c r="AP12" s="115" t="s">
        <v>107</v>
      </c>
      <c r="AQ12" s="115" t="s">
        <v>108</v>
      </c>
      <c r="AR12" s="120" t="s">
        <v>109</v>
      </c>
      <c r="AS12" s="120" t="s">
        <v>110</v>
      </c>
      <c r="AT12" s="115" t="s">
        <v>6</v>
      </c>
      <c r="AU12" s="115" t="s">
        <v>51</v>
      </c>
      <c r="AV12" s="115" t="s">
        <v>49</v>
      </c>
      <c r="AW12" s="115" t="s">
        <v>50</v>
      </c>
      <c r="AX12" s="113" t="s">
        <v>64</v>
      </c>
      <c r="AY12" s="115" t="s">
        <v>107</v>
      </c>
      <c r="AZ12" s="115" t="s">
        <v>108</v>
      </c>
      <c r="BA12" s="120" t="s">
        <v>109</v>
      </c>
      <c r="BB12" s="120" t="s">
        <v>110</v>
      </c>
      <c r="BC12" s="115" t="s">
        <v>6</v>
      </c>
      <c r="BD12" s="115" t="s">
        <v>51</v>
      </c>
      <c r="BE12" s="115" t="s">
        <v>49</v>
      </c>
      <c r="BF12" s="114" t="s">
        <v>50</v>
      </c>
      <c r="BG12" s="113" t="s">
        <v>64</v>
      </c>
      <c r="BH12" s="115" t="s">
        <v>107</v>
      </c>
      <c r="BI12" s="115" t="s">
        <v>108</v>
      </c>
      <c r="BJ12" s="120" t="s">
        <v>109</v>
      </c>
      <c r="BK12" s="120" t="s">
        <v>110</v>
      </c>
      <c r="BL12" s="117" t="str">
        <f>$BL$5</f>
        <v>APE target</v>
      </c>
      <c r="BM12" s="117" t="s">
        <v>6</v>
      </c>
      <c r="BN12" s="117"/>
      <c r="BO12" s="115" t="s">
        <v>51</v>
      </c>
      <c r="BP12" s="115" t="s">
        <v>49</v>
      </c>
      <c r="BQ12" s="114" t="s">
        <v>50</v>
      </c>
      <c r="BR12" s="113" t="s">
        <v>64</v>
      </c>
      <c r="BS12" s="115" t="s">
        <v>107</v>
      </c>
      <c r="BT12" s="115" t="s">
        <v>108</v>
      </c>
      <c r="BU12" s="120" t="s">
        <v>109</v>
      </c>
      <c r="BV12" s="120" t="s">
        <v>110</v>
      </c>
      <c r="BW12" s="117" t="str">
        <f>$BL$5</f>
        <v>APE target</v>
      </c>
      <c r="BX12" s="117" t="s">
        <v>6</v>
      </c>
      <c r="BY12" s="117"/>
      <c r="BZ12" s="115" t="s">
        <v>51</v>
      </c>
      <c r="CA12" s="115" t="s">
        <v>49</v>
      </c>
      <c r="CB12" s="114" t="s">
        <v>50</v>
      </c>
      <c r="CC12" s="113" t="s">
        <v>64</v>
      </c>
      <c r="CD12" s="115" t="s">
        <v>107</v>
      </c>
      <c r="CE12" s="115" t="s">
        <v>108</v>
      </c>
      <c r="CF12" s="120" t="s">
        <v>109</v>
      </c>
      <c r="CG12" s="120" t="s">
        <v>110</v>
      </c>
      <c r="CH12" s="117" t="str">
        <f>$BL$5</f>
        <v>APE target</v>
      </c>
      <c r="CI12" s="117" t="s">
        <v>6</v>
      </c>
      <c r="CJ12" s="117"/>
      <c r="CK12" s="115" t="s">
        <v>51</v>
      </c>
      <c r="CL12" s="115" t="s">
        <v>49</v>
      </c>
      <c r="CM12" s="114" t="s">
        <v>50</v>
      </c>
      <c r="CN12" s="116" t="s">
        <v>64</v>
      </c>
      <c r="CO12" s="117" t="s">
        <v>107</v>
      </c>
      <c r="CP12" s="117" t="s">
        <v>108</v>
      </c>
      <c r="CQ12" s="121" t="s">
        <v>109</v>
      </c>
      <c r="CR12" s="121" t="s">
        <v>110</v>
      </c>
      <c r="CS12" s="117" t="s">
        <v>6</v>
      </c>
      <c r="CT12" s="117" t="s">
        <v>51</v>
      </c>
      <c r="CU12" s="117" t="s">
        <v>49</v>
      </c>
      <c r="CV12" s="118" t="s">
        <v>50</v>
      </c>
    </row>
    <row r="13" spans="2:100" x14ac:dyDescent="0.25">
      <c r="B13" s="76" t="s">
        <v>48</v>
      </c>
      <c r="C13" s="55" t="s">
        <v>97</v>
      </c>
      <c r="D13" s="77" t="s">
        <v>98</v>
      </c>
      <c r="E13" s="106">
        <f t="shared" ref="E13:F16" si="8">SUMIFS(E$22:E$45,$C$22:$C$45,$D13)</f>
        <v>23</v>
      </c>
      <c r="F13" s="106">
        <f t="shared" si="8"/>
        <v>12</v>
      </c>
      <c r="G13" s="100">
        <f>IFERROR(F13/E13,"")</f>
        <v>0.52173913043478259</v>
      </c>
      <c r="H13" s="104">
        <f>IFERROR(L13/F13,"")</f>
        <v>1.5833333333333333</v>
      </c>
      <c r="I13" s="104">
        <f>IFERROR(J13/F13,"")</f>
        <v>33.242916666666666</v>
      </c>
      <c r="J13" s="3">
        <f t="shared" ref="J13:O16" si="9">SUMIFS(J$22:J$45,$C$22:$C$45,$D13)</f>
        <v>398.91499999999996</v>
      </c>
      <c r="K13" s="3">
        <f t="shared" si="9"/>
        <v>14.779000000000003</v>
      </c>
      <c r="L13" s="3">
        <f t="shared" si="9"/>
        <v>19</v>
      </c>
      <c r="M13" s="80">
        <f t="shared" si="9"/>
        <v>18</v>
      </c>
      <c r="N13" s="106">
        <f t="shared" si="9"/>
        <v>24</v>
      </c>
      <c r="O13" s="106">
        <f t="shared" si="9"/>
        <v>10</v>
      </c>
      <c r="P13" s="100">
        <f>IFERROR(O13/N13,"")</f>
        <v>0.41666666666666669</v>
      </c>
      <c r="Q13" s="104">
        <f>IFERROR(U13/O13,"")</f>
        <v>1</v>
      </c>
      <c r="R13" s="104">
        <f>IFERROR(S13/O13,"")</f>
        <v>20.782699999999998</v>
      </c>
      <c r="S13" s="3">
        <f t="shared" ref="S13:X16" si="10">SUMIFS(S$22:S$45,$C$22:$C$45,$D13)</f>
        <v>207.827</v>
      </c>
      <c r="T13" s="79">
        <f t="shared" si="10"/>
        <v>-3.395</v>
      </c>
      <c r="U13" s="79">
        <f t="shared" si="10"/>
        <v>10</v>
      </c>
      <c r="V13" s="80">
        <f t="shared" si="10"/>
        <v>2</v>
      </c>
      <c r="W13" s="106">
        <f t="shared" si="10"/>
        <v>20</v>
      </c>
      <c r="X13" s="106">
        <f t="shared" si="10"/>
        <v>11</v>
      </c>
      <c r="Y13" s="100">
        <f>IFERROR(X13/W13,"")</f>
        <v>0.55000000000000004</v>
      </c>
      <c r="Z13" s="104">
        <f>IFERROR(AD13/X13,"")</f>
        <v>2</v>
      </c>
      <c r="AA13" s="104">
        <f>IFERROR(AB13/X13,"")</f>
        <v>39.585454545454546</v>
      </c>
      <c r="AB13" s="3">
        <f t="shared" ref="AB13:AG16" si="11">SUMIFS(AB$22:AB$45,$C$22:$C$45,$D13)</f>
        <v>435.44</v>
      </c>
      <c r="AC13" s="3">
        <f t="shared" si="11"/>
        <v>5.5739999999999998</v>
      </c>
      <c r="AD13" s="3">
        <f t="shared" si="11"/>
        <v>22</v>
      </c>
      <c r="AE13" s="80">
        <f t="shared" si="11"/>
        <v>15</v>
      </c>
      <c r="AF13" s="106">
        <f t="shared" si="11"/>
        <v>14</v>
      </c>
      <c r="AG13" s="106">
        <f t="shared" si="11"/>
        <v>6</v>
      </c>
      <c r="AH13" s="100">
        <f>IFERROR(AG13/AF13,"")</f>
        <v>0.42857142857142855</v>
      </c>
      <c r="AI13" s="104">
        <f>IFERROR(AM13/AG13,"")</f>
        <v>1.5</v>
      </c>
      <c r="AJ13" s="104">
        <f>IFERROR(AK13/AG13,"")</f>
        <v>26.2805</v>
      </c>
      <c r="AK13" s="79">
        <f t="shared" ref="AK13:AP16" si="12">SUMIFS(AK$22:AK$45,$C$22:$C$45,$D13)</f>
        <v>157.68299999999999</v>
      </c>
      <c r="AL13" s="79">
        <f t="shared" si="12"/>
        <v>5.3759999999999994</v>
      </c>
      <c r="AM13" s="79">
        <f t="shared" si="12"/>
        <v>9</v>
      </c>
      <c r="AN13" s="80">
        <f t="shared" si="12"/>
        <v>9</v>
      </c>
      <c r="AO13" s="106">
        <f t="shared" si="12"/>
        <v>10</v>
      </c>
      <c r="AP13" s="106">
        <f t="shared" si="12"/>
        <v>3</v>
      </c>
      <c r="AQ13" s="100">
        <f>IFERROR(AP13/AO13,"")</f>
        <v>0.3</v>
      </c>
      <c r="AR13" s="104">
        <f>IFERROR(AV13/AP13,"")</f>
        <v>2.6666666666666665</v>
      </c>
      <c r="AS13" s="104">
        <f>IFERROR(AT13/AP13,"")</f>
        <v>47.199333333333328</v>
      </c>
      <c r="AT13" s="3">
        <f t="shared" ref="AT13:AY16" si="13">SUMIFS(AT$22:AT$45,$C$22:$C$45,$D13)</f>
        <v>141.59799999999998</v>
      </c>
      <c r="AU13" s="3">
        <f t="shared" si="13"/>
        <v>2.9119999999999999</v>
      </c>
      <c r="AV13" s="3">
        <f t="shared" si="13"/>
        <v>8</v>
      </c>
      <c r="AW13" s="3">
        <f t="shared" si="13"/>
        <v>9</v>
      </c>
      <c r="AX13" s="106">
        <f t="shared" si="13"/>
        <v>19</v>
      </c>
      <c r="AY13" s="106">
        <f t="shared" si="13"/>
        <v>3</v>
      </c>
      <c r="AZ13" s="100">
        <f>IFERROR(AY13/AX13,"")</f>
        <v>0.15789473684210525</v>
      </c>
      <c r="BA13" s="104">
        <f>IFERROR(BE13/AY13,"")</f>
        <v>1.6666666666666667</v>
      </c>
      <c r="BB13" s="104">
        <f>IFERROR(BC13/AY13,"")</f>
        <v>34.629666666666658</v>
      </c>
      <c r="BC13" s="79">
        <f t="shared" ref="BC13:BH16" si="14">SUMIFS(BC$22:BC$45,$C$22:$C$45,$D13)</f>
        <v>103.88899999999998</v>
      </c>
      <c r="BD13" s="79">
        <f t="shared" si="14"/>
        <v>4.5449999999999999</v>
      </c>
      <c r="BE13" s="79">
        <f t="shared" si="14"/>
        <v>5</v>
      </c>
      <c r="BF13" s="80">
        <f t="shared" si="14"/>
        <v>5</v>
      </c>
      <c r="BG13" s="106">
        <f t="shared" si="14"/>
        <v>0</v>
      </c>
      <c r="BH13" s="106">
        <f t="shared" si="14"/>
        <v>0</v>
      </c>
      <c r="BI13" s="100" t="str">
        <f>IFERROR(BH13/BG13,"")</f>
        <v/>
      </c>
      <c r="BJ13" s="104" t="str">
        <f>IFERROR(BP13/BH13,"")</f>
        <v/>
      </c>
      <c r="BK13" s="104" t="str">
        <f>IFERROR(BM13/BH13,"")</f>
        <v/>
      </c>
      <c r="BL13" s="79">
        <f t="shared" ref="BL13:BM16" si="15">SUMIFS(BL$22:BL$45,$C$22:$C$45,$D13)</f>
        <v>0</v>
      </c>
      <c r="BM13" s="79">
        <f t="shared" si="15"/>
        <v>0</v>
      </c>
      <c r="BN13" s="79"/>
      <c r="BO13" s="79">
        <f t="shared" ref="BO13:BS16" si="16">SUMIFS(BO$22:BO$45,$C$22:$C$45,$D13)</f>
        <v>0</v>
      </c>
      <c r="BP13" s="79">
        <f t="shared" si="16"/>
        <v>0</v>
      </c>
      <c r="BQ13" s="80">
        <f t="shared" si="16"/>
        <v>0</v>
      </c>
      <c r="BR13" s="106">
        <f t="shared" si="16"/>
        <v>20</v>
      </c>
      <c r="BS13" s="106">
        <f t="shared" si="16"/>
        <v>12</v>
      </c>
      <c r="BT13" s="100">
        <f>IFERROR(BS13/BR13,"")</f>
        <v>0.6</v>
      </c>
      <c r="BU13" s="104">
        <f>IFERROR(CA13/BS13,"")</f>
        <v>0.5</v>
      </c>
      <c r="BV13" s="104" t="str">
        <f>IFERROR(BX13/BS13,"")</f>
        <v/>
      </c>
      <c r="BW13" s="79">
        <f t="shared" ref="BW13:BX16" si="17">SUMIFS(BW$22:BW$45,$C$22:$C$45,$D13)</f>
        <v>210</v>
      </c>
      <c r="BX13" s="79" t="e">
        <f t="shared" si="17"/>
        <v>#REF!</v>
      </c>
      <c r="BY13" s="79"/>
      <c r="BZ13" s="79" t="e">
        <f t="shared" ref="BZ13:CD16" si="18">SUMIFS(BZ$22:BZ$45,$C$22:$C$45,$D13)</f>
        <v>#REF!</v>
      </c>
      <c r="CA13" s="79">
        <f t="shared" si="18"/>
        <v>6</v>
      </c>
      <c r="CB13" s="80">
        <f t="shared" si="18"/>
        <v>8</v>
      </c>
      <c r="CC13" s="106">
        <f t="shared" si="18"/>
        <v>0</v>
      </c>
      <c r="CD13" s="106" t="e">
        <f t="shared" si="18"/>
        <v>#DIV/0!</v>
      </c>
      <c r="CE13" s="100" t="str">
        <f>IFERROR(CD13/CC13,"")</f>
        <v/>
      </c>
      <c r="CF13" s="104" t="str">
        <f>IFERROR(CL13/CD13,"")</f>
        <v/>
      </c>
      <c r="CG13" s="104" t="str">
        <f>IFERROR(CI13/CD13,"")</f>
        <v/>
      </c>
      <c r="CH13" s="79" t="e">
        <f t="shared" ref="CH13:CI16" si="19">SUMIFS(CH$22:CH$45,$C$22:$C$45,$D13)</f>
        <v>#DIV/0!</v>
      </c>
      <c r="CI13" s="79" t="e">
        <f t="shared" si="19"/>
        <v>#REF!</v>
      </c>
      <c r="CJ13" s="79"/>
      <c r="CK13" s="79" t="e">
        <f t="shared" ref="CK13:CO16" si="20">SUMIFS(CK$22:CK$45,$C$22:$C$45,$D13)</f>
        <v>#REF!</v>
      </c>
      <c r="CL13" s="79">
        <f t="shared" si="20"/>
        <v>6</v>
      </c>
      <c r="CM13" s="80">
        <f t="shared" si="20"/>
        <v>8</v>
      </c>
      <c r="CN13" s="106">
        <f t="shared" si="20"/>
        <v>19</v>
      </c>
      <c r="CO13" s="106">
        <f t="shared" si="20"/>
        <v>45</v>
      </c>
      <c r="CP13" s="100">
        <f>IFERROR(CO13/SUMIF($E$22:$BF$22,"MP",$E13:$BF13),"")</f>
        <v>0.40909090909090912</v>
      </c>
      <c r="CQ13" s="104">
        <f>IFERROR(CU13/CO13,"")</f>
        <v>1.6222222222222222</v>
      </c>
      <c r="CR13" s="104">
        <f>IFERROR(CS13/CO13,"")</f>
        <v>32.118933333333331</v>
      </c>
      <c r="CS13" s="79">
        <f t="shared" ref="CS13:CV16" si="21">SUMIFS(CS$22:CS$45,$C$22:$C$45,$D13)</f>
        <v>1445.3519999999999</v>
      </c>
      <c r="CT13" s="79">
        <f t="shared" si="21"/>
        <v>29.791</v>
      </c>
      <c r="CU13" s="79">
        <f t="shared" si="21"/>
        <v>73</v>
      </c>
      <c r="CV13" s="80">
        <f t="shared" si="21"/>
        <v>58</v>
      </c>
    </row>
    <row r="14" spans="2:100" x14ac:dyDescent="0.25">
      <c r="B14" s="76" t="s">
        <v>48</v>
      </c>
      <c r="C14" s="55" t="s">
        <v>99</v>
      </c>
      <c r="D14" s="77" t="s">
        <v>100</v>
      </c>
      <c r="E14" s="106">
        <f t="shared" si="8"/>
        <v>55</v>
      </c>
      <c r="F14" s="106">
        <f t="shared" si="8"/>
        <v>33</v>
      </c>
      <c r="G14" s="100">
        <f>IFERROR(F14/E14,"")</f>
        <v>0.6</v>
      </c>
      <c r="H14" s="104">
        <f>IFERROR(L14/F14,"")</f>
        <v>2.5151515151515151</v>
      </c>
      <c r="I14" s="104">
        <f>IFERROR(J14/F14,"")</f>
        <v>46.804787878787877</v>
      </c>
      <c r="J14" s="3">
        <f t="shared" si="9"/>
        <v>1544.558</v>
      </c>
      <c r="K14" s="3">
        <f t="shared" si="9"/>
        <v>29.145000000000003</v>
      </c>
      <c r="L14" s="3">
        <f t="shared" si="9"/>
        <v>83</v>
      </c>
      <c r="M14" s="80">
        <f t="shared" si="9"/>
        <v>56</v>
      </c>
      <c r="N14" s="106">
        <f t="shared" si="9"/>
        <v>52</v>
      </c>
      <c r="O14" s="106">
        <f t="shared" si="9"/>
        <v>28</v>
      </c>
      <c r="P14" s="100">
        <f>IFERROR(O14/N14,"")</f>
        <v>0.53846153846153844</v>
      </c>
      <c r="Q14" s="104">
        <f>IFERROR(U14/O14,"")</f>
        <v>1.6785714285714286</v>
      </c>
      <c r="R14" s="104">
        <f>IFERROR(S14/O14,"")</f>
        <v>30.827107142857137</v>
      </c>
      <c r="S14" s="3">
        <f t="shared" si="10"/>
        <v>863.15899999999988</v>
      </c>
      <c r="T14" s="79">
        <f t="shared" si="10"/>
        <v>15.65</v>
      </c>
      <c r="U14" s="79">
        <f t="shared" si="10"/>
        <v>47</v>
      </c>
      <c r="V14" s="80">
        <f t="shared" si="10"/>
        <v>39</v>
      </c>
      <c r="W14" s="106">
        <f t="shared" si="10"/>
        <v>48</v>
      </c>
      <c r="X14" s="106">
        <f t="shared" si="10"/>
        <v>27</v>
      </c>
      <c r="Y14" s="100">
        <f>IFERROR(X14/W14,"")</f>
        <v>0.5625</v>
      </c>
      <c r="Z14" s="104">
        <f>IFERROR(AD14/X14,"")</f>
        <v>1.7407407407407407</v>
      </c>
      <c r="AA14" s="104">
        <f>IFERROR(AB14/X14,"")</f>
        <v>30.581666666666663</v>
      </c>
      <c r="AB14" s="3">
        <f t="shared" si="11"/>
        <v>825.70499999999993</v>
      </c>
      <c r="AC14" s="3">
        <f t="shared" si="11"/>
        <v>24.463999999999999</v>
      </c>
      <c r="AD14" s="3">
        <f t="shared" si="11"/>
        <v>47</v>
      </c>
      <c r="AE14" s="80">
        <f t="shared" si="11"/>
        <v>50</v>
      </c>
      <c r="AF14" s="106">
        <f t="shared" si="11"/>
        <v>44</v>
      </c>
      <c r="AG14" s="106">
        <f t="shared" si="11"/>
        <v>20</v>
      </c>
      <c r="AH14" s="100">
        <f>IFERROR(AG14/AF14,"")</f>
        <v>0.45454545454545453</v>
      </c>
      <c r="AI14" s="104">
        <f>IFERROR(AM14/AG14,"")</f>
        <v>2</v>
      </c>
      <c r="AJ14" s="104">
        <f>IFERROR(AK14/AG14,"")</f>
        <v>36.437200000000004</v>
      </c>
      <c r="AK14" s="79">
        <f t="shared" si="12"/>
        <v>728.74400000000003</v>
      </c>
      <c r="AL14" s="79">
        <f t="shared" si="12"/>
        <v>20.739000000000001</v>
      </c>
      <c r="AM14" s="79">
        <f t="shared" si="12"/>
        <v>40</v>
      </c>
      <c r="AN14" s="80">
        <f t="shared" si="12"/>
        <v>35</v>
      </c>
      <c r="AO14" s="106">
        <f t="shared" si="12"/>
        <v>43</v>
      </c>
      <c r="AP14" s="106">
        <f t="shared" si="12"/>
        <v>19</v>
      </c>
      <c r="AQ14" s="100">
        <f>IFERROR(AP14/AO14,"")</f>
        <v>0.44186046511627908</v>
      </c>
      <c r="AR14" s="104">
        <f>IFERROR(AV14/AP14,"")</f>
        <v>2.4210526315789473</v>
      </c>
      <c r="AS14" s="104">
        <f>IFERROR(AT14/AP14,"")</f>
        <v>44.077842105263159</v>
      </c>
      <c r="AT14" s="3">
        <f t="shared" si="13"/>
        <v>837.47900000000004</v>
      </c>
      <c r="AU14" s="3">
        <f t="shared" si="13"/>
        <v>10.576000000000001</v>
      </c>
      <c r="AV14" s="3">
        <f t="shared" si="13"/>
        <v>46</v>
      </c>
      <c r="AW14" s="3">
        <f t="shared" si="13"/>
        <v>20</v>
      </c>
      <c r="AX14" s="106">
        <f t="shared" si="13"/>
        <v>35</v>
      </c>
      <c r="AY14" s="106">
        <f t="shared" si="13"/>
        <v>14</v>
      </c>
      <c r="AZ14" s="100">
        <f>IFERROR(AY14/AX14,"")</f>
        <v>0.4</v>
      </c>
      <c r="BA14" s="104">
        <f>IFERROR(BE14/AY14,"")</f>
        <v>1.5</v>
      </c>
      <c r="BB14" s="104">
        <f>IFERROR(BC14/AY14,"")</f>
        <v>21.814285714285713</v>
      </c>
      <c r="BC14" s="79">
        <f t="shared" si="14"/>
        <v>305.39999999999998</v>
      </c>
      <c r="BD14" s="79">
        <f t="shared" si="14"/>
        <v>14.355</v>
      </c>
      <c r="BE14" s="79">
        <f t="shared" si="14"/>
        <v>21</v>
      </c>
      <c r="BF14" s="80">
        <f t="shared" si="14"/>
        <v>25</v>
      </c>
      <c r="BG14" s="106">
        <f t="shared" si="14"/>
        <v>0</v>
      </c>
      <c r="BH14" s="106">
        <f t="shared" si="14"/>
        <v>0</v>
      </c>
      <c r="BI14" s="100" t="str">
        <f>IFERROR(BH14/BG14,"")</f>
        <v/>
      </c>
      <c r="BJ14" s="104" t="str">
        <f>IFERROR(BP14/BH14,"")</f>
        <v/>
      </c>
      <c r="BK14" s="104" t="str">
        <f>IFERROR(BM14/BH14,"")</f>
        <v/>
      </c>
      <c r="BL14" s="79">
        <f t="shared" si="15"/>
        <v>0</v>
      </c>
      <c r="BM14" s="79">
        <f t="shared" si="15"/>
        <v>0</v>
      </c>
      <c r="BN14" s="79"/>
      <c r="BO14" s="79">
        <f t="shared" si="16"/>
        <v>0</v>
      </c>
      <c r="BP14" s="79">
        <f t="shared" si="16"/>
        <v>0</v>
      </c>
      <c r="BQ14" s="80">
        <f t="shared" si="16"/>
        <v>0</v>
      </c>
      <c r="BR14" s="106">
        <f t="shared" si="16"/>
        <v>54</v>
      </c>
      <c r="BS14" s="106">
        <f t="shared" si="16"/>
        <v>30</v>
      </c>
      <c r="BT14" s="100">
        <f>IFERROR(BS14/BR14,"")</f>
        <v>0.55555555555555558</v>
      </c>
      <c r="BU14" s="104" t="str">
        <f>IFERROR(CA14/BS14,"")</f>
        <v/>
      </c>
      <c r="BV14" s="104" t="str">
        <f>IFERROR(BX14/BS14,"")</f>
        <v/>
      </c>
      <c r="BW14" s="79">
        <f t="shared" si="17"/>
        <v>435</v>
      </c>
      <c r="BX14" s="79" t="e">
        <f t="shared" si="17"/>
        <v>#REF!</v>
      </c>
      <c r="BY14" s="79"/>
      <c r="BZ14" s="79" t="e">
        <f t="shared" si="18"/>
        <v>#REF!</v>
      </c>
      <c r="CA14" s="79" t="e">
        <f t="shared" si="18"/>
        <v>#REF!</v>
      </c>
      <c r="CB14" s="80">
        <f t="shared" si="18"/>
        <v>36</v>
      </c>
      <c r="CC14" s="106">
        <f t="shared" si="18"/>
        <v>0</v>
      </c>
      <c r="CD14" s="106" t="e">
        <f t="shared" si="18"/>
        <v>#DIV/0!</v>
      </c>
      <c r="CE14" s="100" t="str">
        <f>IFERROR(CD14/CC14,"")</f>
        <v/>
      </c>
      <c r="CF14" s="104" t="str">
        <f>IFERROR(CL14/CD14,"")</f>
        <v/>
      </c>
      <c r="CG14" s="104" t="str">
        <f>IFERROR(CI14/CD14,"")</f>
        <v/>
      </c>
      <c r="CH14" s="79" t="e">
        <f t="shared" si="19"/>
        <v>#DIV/0!</v>
      </c>
      <c r="CI14" s="79" t="e">
        <f t="shared" si="19"/>
        <v>#REF!</v>
      </c>
      <c r="CJ14" s="79"/>
      <c r="CK14" s="79" t="e">
        <f t="shared" si="20"/>
        <v>#REF!</v>
      </c>
      <c r="CL14" s="79" t="e">
        <f t="shared" si="20"/>
        <v>#REF!</v>
      </c>
      <c r="CM14" s="80">
        <f t="shared" si="20"/>
        <v>36</v>
      </c>
      <c r="CN14" s="106">
        <f t="shared" si="20"/>
        <v>35</v>
      </c>
      <c r="CO14" s="106">
        <f t="shared" si="20"/>
        <v>141</v>
      </c>
      <c r="CP14" s="100">
        <f>IFERROR(CO14/SUMIF($E$22:$BF$22,"MP",$E14:$BF14),"")</f>
        <v>0.50902527075812276</v>
      </c>
      <c r="CQ14" s="104">
        <f>IFERROR(CU14/CO14,"")</f>
        <v>2.0141843971631204</v>
      </c>
      <c r="CR14" s="104">
        <f>IFERROR(CS14/CO14,"")</f>
        <v>36.205992907801416</v>
      </c>
      <c r="CS14" s="79">
        <f t="shared" si="21"/>
        <v>5105.0450000000001</v>
      </c>
      <c r="CT14" s="79">
        <f t="shared" si="21"/>
        <v>114.929</v>
      </c>
      <c r="CU14" s="79">
        <f t="shared" si="21"/>
        <v>284</v>
      </c>
      <c r="CV14" s="80">
        <f t="shared" si="21"/>
        <v>225</v>
      </c>
    </row>
    <row r="15" spans="2:100" x14ac:dyDescent="0.25">
      <c r="B15" s="76" t="s">
        <v>47</v>
      </c>
      <c r="C15" s="55" t="s">
        <v>101</v>
      </c>
      <c r="D15" s="77" t="s">
        <v>102</v>
      </c>
      <c r="E15" s="106">
        <f t="shared" si="8"/>
        <v>63</v>
      </c>
      <c r="F15" s="106">
        <f t="shared" si="8"/>
        <v>43</v>
      </c>
      <c r="G15" s="100">
        <f>IFERROR(F15/E15,"")</f>
        <v>0.68253968253968256</v>
      </c>
      <c r="H15" s="104">
        <f>IFERROR(L15/F15,"")</f>
        <v>1.8372093023255813</v>
      </c>
      <c r="I15" s="104">
        <f>IFERROR(J15/F15,"")</f>
        <v>25.499744186046513</v>
      </c>
      <c r="J15" s="3">
        <f t="shared" si="9"/>
        <v>1096.489</v>
      </c>
      <c r="K15" s="3">
        <f t="shared" si="9"/>
        <v>50.782000000000004</v>
      </c>
      <c r="L15" s="3">
        <f t="shared" si="9"/>
        <v>79</v>
      </c>
      <c r="M15" s="80">
        <f t="shared" si="9"/>
        <v>104</v>
      </c>
      <c r="N15" s="106">
        <f t="shared" si="9"/>
        <v>62</v>
      </c>
      <c r="O15" s="106">
        <f t="shared" si="9"/>
        <v>40</v>
      </c>
      <c r="P15" s="100">
        <f>IFERROR(O15/N15,"")</f>
        <v>0.64516129032258063</v>
      </c>
      <c r="Q15" s="104">
        <f>IFERROR(U15/O15,"")</f>
        <v>1.875</v>
      </c>
      <c r="R15" s="104">
        <f>IFERROR(S15/O15,"")</f>
        <v>34.097549999999998</v>
      </c>
      <c r="S15" s="3">
        <f t="shared" si="10"/>
        <v>1363.902</v>
      </c>
      <c r="T15" s="79">
        <f t="shared" si="10"/>
        <v>63.453999999999986</v>
      </c>
      <c r="U15" s="79">
        <f t="shared" si="10"/>
        <v>75</v>
      </c>
      <c r="V15" s="80">
        <f t="shared" si="10"/>
        <v>98</v>
      </c>
      <c r="W15" s="106">
        <f t="shared" si="10"/>
        <v>64</v>
      </c>
      <c r="X15" s="106">
        <f t="shared" si="10"/>
        <v>52</v>
      </c>
      <c r="Y15" s="100">
        <f>IFERROR(X15/W15,"")</f>
        <v>0.8125</v>
      </c>
      <c r="Z15" s="104">
        <f>IFERROR(AD15/X15,"")</f>
        <v>4.5576923076923075</v>
      </c>
      <c r="AA15" s="104">
        <f>IFERROR(AB15/X15,"")</f>
        <v>75.466269230769228</v>
      </c>
      <c r="AB15" s="3">
        <f t="shared" si="11"/>
        <v>3924.2459999999996</v>
      </c>
      <c r="AC15" s="3">
        <f t="shared" si="11"/>
        <v>110.768</v>
      </c>
      <c r="AD15" s="3">
        <f t="shared" si="11"/>
        <v>237</v>
      </c>
      <c r="AE15" s="80">
        <f t="shared" si="11"/>
        <v>202</v>
      </c>
      <c r="AF15" s="106">
        <f t="shared" si="11"/>
        <v>69</v>
      </c>
      <c r="AG15" s="106">
        <f t="shared" si="11"/>
        <v>55</v>
      </c>
      <c r="AH15" s="100">
        <f>IFERROR(AG15/AF15,"")</f>
        <v>0.79710144927536231</v>
      </c>
      <c r="AI15" s="104">
        <f>IFERROR(AM15/AG15,"")</f>
        <v>4.4363636363636365</v>
      </c>
      <c r="AJ15" s="104">
        <f>IFERROR(AK15/AG15,"")</f>
        <v>67.155254545454554</v>
      </c>
      <c r="AK15" s="79">
        <f t="shared" si="12"/>
        <v>3693.5390000000002</v>
      </c>
      <c r="AL15" s="79">
        <f t="shared" si="12"/>
        <v>130.99700000000001</v>
      </c>
      <c r="AM15" s="79">
        <f t="shared" si="12"/>
        <v>244</v>
      </c>
      <c r="AN15" s="80">
        <f t="shared" si="12"/>
        <v>278</v>
      </c>
      <c r="AO15" s="106">
        <f t="shared" si="12"/>
        <v>68</v>
      </c>
      <c r="AP15" s="106">
        <f t="shared" si="12"/>
        <v>53</v>
      </c>
      <c r="AQ15" s="100">
        <f>IFERROR(AP15/AO15,"")</f>
        <v>0.77941176470588236</v>
      </c>
      <c r="AR15" s="104">
        <f>IFERROR(AV15/AP15,"")</f>
        <v>5.1698113207547172</v>
      </c>
      <c r="AS15" s="104">
        <f>IFERROR(AT15/AP15,"")</f>
        <v>82.472716981132066</v>
      </c>
      <c r="AT15" s="3">
        <f t="shared" si="13"/>
        <v>4371.0539999999992</v>
      </c>
      <c r="AU15" s="3">
        <f t="shared" si="13"/>
        <v>172.38299999999998</v>
      </c>
      <c r="AV15" s="3">
        <f t="shared" si="13"/>
        <v>274</v>
      </c>
      <c r="AW15" s="3">
        <f t="shared" si="13"/>
        <v>324</v>
      </c>
      <c r="AX15" s="106">
        <f t="shared" si="13"/>
        <v>69</v>
      </c>
      <c r="AY15" s="106">
        <f t="shared" si="13"/>
        <v>54</v>
      </c>
      <c r="AZ15" s="100">
        <f>IFERROR(AY15/AX15,"")</f>
        <v>0.78260869565217395</v>
      </c>
      <c r="BA15" s="104">
        <f>IFERROR(BE15/AY15,"")</f>
        <v>5.7407407407407405</v>
      </c>
      <c r="BB15" s="104">
        <f>IFERROR(BC15/AY15,"")</f>
        <v>100.80475925925924</v>
      </c>
      <c r="BC15" s="79">
        <f t="shared" si="14"/>
        <v>5443.4569999999994</v>
      </c>
      <c r="BD15" s="79">
        <f t="shared" si="14"/>
        <v>160.285</v>
      </c>
      <c r="BE15" s="79">
        <f t="shared" si="14"/>
        <v>310</v>
      </c>
      <c r="BF15" s="80">
        <f t="shared" si="14"/>
        <v>303</v>
      </c>
      <c r="BG15" s="106">
        <f t="shared" si="14"/>
        <v>70</v>
      </c>
      <c r="BH15" s="106">
        <f t="shared" si="14"/>
        <v>53</v>
      </c>
      <c r="BI15" s="100">
        <f>IFERROR(BH15/BG15,"")</f>
        <v>0.75714285714285712</v>
      </c>
      <c r="BJ15" s="104">
        <f>IFERROR(BP15/BH15,"")</f>
        <v>4.9433962264150946</v>
      </c>
      <c r="BK15" s="104">
        <f>IFERROR(BM15/BH15,"")</f>
        <v>85.247396226415077</v>
      </c>
      <c r="BL15" s="79">
        <f t="shared" si="15"/>
        <v>4950</v>
      </c>
      <c r="BM15" s="79">
        <f t="shared" si="15"/>
        <v>4518.1119999999992</v>
      </c>
      <c r="BN15" s="139">
        <f>BM15/BL15</f>
        <v>0.91274989898989878</v>
      </c>
      <c r="BO15" s="79">
        <f t="shared" si="16"/>
        <v>169.83099999999999</v>
      </c>
      <c r="BP15" s="79">
        <f t="shared" si="16"/>
        <v>262</v>
      </c>
      <c r="BQ15" s="80">
        <f t="shared" si="16"/>
        <v>315</v>
      </c>
      <c r="BR15" s="106">
        <f t="shared" si="16"/>
        <v>67</v>
      </c>
      <c r="BS15" s="106">
        <f t="shared" si="16"/>
        <v>56</v>
      </c>
      <c r="BT15" s="100">
        <f>IFERROR(BS15/BR15,"")</f>
        <v>0.83582089552238803</v>
      </c>
      <c r="BU15" s="104">
        <f>IFERROR(CA15/BS15,"")</f>
        <v>6</v>
      </c>
      <c r="BV15" s="104" t="str">
        <f>IFERROR(BX15/BS15,"")</f>
        <v/>
      </c>
      <c r="BW15" s="79">
        <f t="shared" si="17"/>
        <v>5600</v>
      </c>
      <c r="BX15" s="79" t="e">
        <f t="shared" si="17"/>
        <v>#REF!</v>
      </c>
      <c r="BY15" s="139" t="e">
        <f>BX15/BW15</f>
        <v>#REF!</v>
      </c>
      <c r="BZ15" s="79">
        <f t="shared" si="18"/>
        <v>214.71800000000002</v>
      </c>
      <c r="CA15" s="79">
        <f t="shared" si="18"/>
        <v>336</v>
      </c>
      <c r="CB15" s="80">
        <f t="shared" si="18"/>
        <v>381</v>
      </c>
      <c r="CC15" s="106">
        <f t="shared" si="18"/>
        <v>61</v>
      </c>
      <c r="CD15" s="106">
        <f t="shared" si="18"/>
        <v>57</v>
      </c>
      <c r="CE15" s="100">
        <f>IFERROR(CD15/CC15,"")</f>
        <v>0.93442622950819676</v>
      </c>
      <c r="CF15" s="104">
        <f>IFERROR(CL15/CD15,"")</f>
        <v>5.8947368421052628</v>
      </c>
      <c r="CG15" s="104" t="str">
        <f>IFERROR(CI15/CD15,"")</f>
        <v/>
      </c>
      <c r="CH15" s="79">
        <f t="shared" si="19"/>
        <v>1140.0051434172819</v>
      </c>
      <c r="CI15" s="79" t="e">
        <f t="shared" si="19"/>
        <v>#REF!</v>
      </c>
      <c r="CJ15" s="139" t="e">
        <f>CI15/CH15</f>
        <v>#REF!</v>
      </c>
      <c r="CK15" s="79">
        <f t="shared" si="20"/>
        <v>214.71800000000002</v>
      </c>
      <c r="CL15" s="79">
        <f t="shared" si="20"/>
        <v>336</v>
      </c>
      <c r="CM15" s="80">
        <f t="shared" si="20"/>
        <v>381</v>
      </c>
      <c r="CN15" s="106">
        <f t="shared" si="20"/>
        <v>70</v>
      </c>
      <c r="CO15" s="106">
        <f t="shared" si="20"/>
        <v>350</v>
      </c>
      <c r="CP15" s="100">
        <f>IFERROR(CO15/SUMIF($E$22:$BF$22,"MP",$E15:$BF15),"")</f>
        <v>0.88607594936708856</v>
      </c>
      <c r="CQ15" s="104">
        <f>IFERROR(CU15/CO15,"")</f>
        <v>4.2314285714285713</v>
      </c>
      <c r="CR15" s="104">
        <f>IFERROR(CS15/CO15,"")</f>
        <v>69.745139999999992</v>
      </c>
      <c r="CS15" s="79">
        <f t="shared" si="21"/>
        <v>24410.798999999999</v>
      </c>
      <c r="CT15" s="79">
        <f t="shared" si="21"/>
        <v>858.49999999999989</v>
      </c>
      <c r="CU15" s="79">
        <f t="shared" si="21"/>
        <v>1481</v>
      </c>
      <c r="CV15" s="80">
        <f t="shared" si="21"/>
        <v>1624</v>
      </c>
    </row>
    <row r="16" spans="2:100" x14ac:dyDescent="0.25">
      <c r="B16" s="76" t="s">
        <v>47</v>
      </c>
      <c r="C16" s="55" t="s">
        <v>103</v>
      </c>
      <c r="D16" s="77" t="s">
        <v>104</v>
      </c>
      <c r="E16" s="106">
        <f t="shared" si="8"/>
        <v>108</v>
      </c>
      <c r="F16" s="106">
        <f t="shared" si="8"/>
        <v>89</v>
      </c>
      <c r="G16" s="100">
        <f>IFERROR(F16/E16,"")</f>
        <v>0.82407407407407407</v>
      </c>
      <c r="H16" s="104">
        <f>IFERROR(L16/F16,"")</f>
        <v>3.1460674157303372</v>
      </c>
      <c r="I16" s="104">
        <f>IFERROR(J16/F16,"")</f>
        <v>51.544337078651672</v>
      </c>
      <c r="J16" s="3">
        <f t="shared" si="9"/>
        <v>4587.445999999999</v>
      </c>
      <c r="K16" s="3">
        <f t="shared" si="9"/>
        <v>93.839999999999989</v>
      </c>
      <c r="L16" s="3">
        <f t="shared" si="9"/>
        <v>280</v>
      </c>
      <c r="M16" s="80">
        <f t="shared" si="9"/>
        <v>230</v>
      </c>
      <c r="N16" s="106">
        <f t="shared" si="9"/>
        <v>105</v>
      </c>
      <c r="O16" s="106">
        <f t="shared" si="9"/>
        <v>89</v>
      </c>
      <c r="P16" s="100">
        <f>IFERROR(O16/N16,"")</f>
        <v>0.84761904761904761</v>
      </c>
      <c r="Q16" s="104">
        <f>IFERROR(U16/O16,"")</f>
        <v>5.0898876404494384</v>
      </c>
      <c r="R16" s="104">
        <f>IFERROR(S16/O16,"")</f>
        <v>85.42244943820225</v>
      </c>
      <c r="S16" s="3">
        <f t="shared" si="10"/>
        <v>7602.598</v>
      </c>
      <c r="T16" s="79">
        <f t="shared" si="10"/>
        <v>207.24299999999999</v>
      </c>
      <c r="U16" s="79">
        <f t="shared" si="10"/>
        <v>453</v>
      </c>
      <c r="V16" s="80">
        <f t="shared" si="10"/>
        <v>535</v>
      </c>
      <c r="W16" s="106">
        <f t="shared" si="10"/>
        <v>104</v>
      </c>
      <c r="X16" s="106">
        <f t="shared" si="10"/>
        <v>91</v>
      </c>
      <c r="Y16" s="100">
        <f>IFERROR(X16/W16,"")</f>
        <v>0.875</v>
      </c>
      <c r="Z16" s="104">
        <f>IFERROR(AD16/X16,"")</f>
        <v>6.7692307692307692</v>
      </c>
      <c r="AA16" s="104">
        <f>IFERROR(AB16/X16,"")</f>
        <v>112.69154945054946</v>
      </c>
      <c r="AB16" s="3">
        <f t="shared" si="11"/>
        <v>10254.931</v>
      </c>
      <c r="AC16" s="3">
        <f t="shared" si="11"/>
        <v>238.315</v>
      </c>
      <c r="AD16" s="3">
        <f t="shared" si="11"/>
        <v>616</v>
      </c>
      <c r="AE16" s="80">
        <f t="shared" si="11"/>
        <v>595</v>
      </c>
      <c r="AF16" s="106">
        <f t="shared" si="11"/>
        <v>114</v>
      </c>
      <c r="AG16" s="106">
        <f t="shared" si="11"/>
        <v>95</v>
      </c>
      <c r="AH16" s="100">
        <f>IFERROR(AG16/AF16,"")</f>
        <v>0.83333333333333337</v>
      </c>
      <c r="AI16" s="104">
        <f>IFERROR(AM16/AG16,"")</f>
        <v>4.8421052631578947</v>
      </c>
      <c r="AJ16" s="104">
        <f>IFERROR(AK16/AG16,"")</f>
        <v>85.035221052631584</v>
      </c>
      <c r="AK16" s="79">
        <f t="shared" si="12"/>
        <v>8078.3460000000005</v>
      </c>
      <c r="AL16" s="79">
        <f t="shared" si="12"/>
        <v>208.31399999999996</v>
      </c>
      <c r="AM16" s="79">
        <f t="shared" si="12"/>
        <v>460</v>
      </c>
      <c r="AN16" s="80">
        <f t="shared" si="12"/>
        <v>431</v>
      </c>
      <c r="AO16" s="106">
        <f t="shared" si="12"/>
        <v>112</v>
      </c>
      <c r="AP16" s="106">
        <f t="shared" si="12"/>
        <v>93</v>
      </c>
      <c r="AQ16" s="100">
        <f>IFERROR(AP16/AO16,"")</f>
        <v>0.8303571428571429</v>
      </c>
      <c r="AR16" s="104">
        <f>IFERROR(AV16/AP16,"")</f>
        <v>6.440860215053763</v>
      </c>
      <c r="AS16" s="104">
        <f>IFERROR(AT16/AP16,"")</f>
        <v>116.2622580645161</v>
      </c>
      <c r="AT16" s="3">
        <f t="shared" si="13"/>
        <v>10812.389999999998</v>
      </c>
      <c r="AU16" s="3">
        <f t="shared" si="13"/>
        <v>272.428</v>
      </c>
      <c r="AV16" s="3">
        <f t="shared" si="13"/>
        <v>599</v>
      </c>
      <c r="AW16" s="3">
        <f t="shared" si="13"/>
        <v>556</v>
      </c>
      <c r="AX16" s="106">
        <f t="shared" si="13"/>
        <v>112</v>
      </c>
      <c r="AY16" s="106">
        <f t="shared" si="13"/>
        <v>92</v>
      </c>
      <c r="AZ16" s="100">
        <f>IFERROR(AY16/AX16,"")</f>
        <v>0.8214285714285714</v>
      </c>
      <c r="BA16" s="104">
        <f>IFERROR(BE16/AY16,"")</f>
        <v>6.4347826086956523</v>
      </c>
      <c r="BB16" s="104">
        <f>IFERROR(BC16/AY16,"")</f>
        <v>114.84063043478261</v>
      </c>
      <c r="BC16" s="79">
        <f t="shared" si="14"/>
        <v>10565.338</v>
      </c>
      <c r="BD16" s="79">
        <f t="shared" si="14"/>
        <v>251.63</v>
      </c>
      <c r="BE16" s="79">
        <f t="shared" si="14"/>
        <v>592</v>
      </c>
      <c r="BF16" s="80">
        <f t="shared" si="14"/>
        <v>570</v>
      </c>
      <c r="BG16" s="106">
        <f t="shared" si="14"/>
        <v>113</v>
      </c>
      <c r="BH16" s="106">
        <f t="shared" si="14"/>
        <v>92</v>
      </c>
      <c r="BI16" s="100">
        <f>IFERROR(BH16/BG16,"")</f>
        <v>0.81415929203539827</v>
      </c>
      <c r="BJ16" s="104">
        <f>IFERROR(BP16/BH16,"")</f>
        <v>5.2391304347826084</v>
      </c>
      <c r="BK16" s="104">
        <f>IFERROR(BM16/BH16,"")</f>
        <v>91.719434782608701</v>
      </c>
      <c r="BL16" s="79">
        <f t="shared" si="15"/>
        <v>11550</v>
      </c>
      <c r="BM16" s="79">
        <f t="shared" si="15"/>
        <v>8438.1880000000001</v>
      </c>
      <c r="BN16" s="139">
        <f>BM16/BL16</f>
        <v>0.73057904761904757</v>
      </c>
      <c r="BO16" s="79">
        <f t="shared" si="16"/>
        <v>214.92000000000002</v>
      </c>
      <c r="BP16" s="79">
        <f t="shared" si="16"/>
        <v>482</v>
      </c>
      <c r="BQ16" s="80">
        <f t="shared" si="16"/>
        <v>463</v>
      </c>
      <c r="BR16" s="106">
        <f t="shared" si="16"/>
        <v>115</v>
      </c>
      <c r="BS16" s="106">
        <f t="shared" si="16"/>
        <v>100</v>
      </c>
      <c r="BT16" s="100">
        <f>IFERROR(BS16/BR16,"")</f>
        <v>0.86956521739130432</v>
      </c>
      <c r="BU16" s="104">
        <f>IFERROR(CA16/BS16,"")</f>
        <v>5.7</v>
      </c>
      <c r="BV16" s="104" t="str">
        <f>IFERROR(BX16/BS16,"")</f>
        <v/>
      </c>
      <c r="BW16" s="79">
        <f t="shared" si="17"/>
        <v>11900</v>
      </c>
      <c r="BX16" s="79" t="e">
        <f t="shared" si="17"/>
        <v>#REF!</v>
      </c>
      <c r="BY16" s="139" t="e">
        <f>BX16/BW16</f>
        <v>#REF!</v>
      </c>
      <c r="BZ16" s="79">
        <f t="shared" si="18"/>
        <v>219.94299999999998</v>
      </c>
      <c r="CA16" s="79">
        <f t="shared" si="18"/>
        <v>570</v>
      </c>
      <c r="CB16" s="80">
        <f t="shared" si="18"/>
        <v>490</v>
      </c>
      <c r="CC16" s="106">
        <f t="shared" si="18"/>
        <v>105</v>
      </c>
      <c r="CD16" s="106">
        <f t="shared" si="18"/>
        <v>94</v>
      </c>
      <c r="CE16" s="100">
        <f>IFERROR(CD16/CC16,"")</f>
        <v>0.89523809523809528</v>
      </c>
      <c r="CF16" s="104">
        <f>IFERROR(CL16/CD16,"")</f>
        <v>5.4255319148936172</v>
      </c>
      <c r="CG16" s="104" t="str">
        <f>IFERROR(CI16/CD16,"")</f>
        <v/>
      </c>
      <c r="CH16" s="79">
        <f t="shared" si="19"/>
        <v>6.7478882997543781E-3</v>
      </c>
      <c r="CI16" s="79" t="e">
        <f t="shared" si="19"/>
        <v>#REF!</v>
      </c>
      <c r="CJ16" s="139" t="e">
        <f>CI16/CH16</f>
        <v>#REF!</v>
      </c>
      <c r="CK16" s="79">
        <f t="shared" si="20"/>
        <v>199.20599999999999</v>
      </c>
      <c r="CL16" s="79">
        <f t="shared" si="20"/>
        <v>510</v>
      </c>
      <c r="CM16" s="80">
        <f t="shared" si="20"/>
        <v>429</v>
      </c>
      <c r="CN16" s="106">
        <f t="shared" si="20"/>
        <v>113</v>
      </c>
      <c r="CO16" s="106">
        <f t="shared" si="20"/>
        <v>641</v>
      </c>
      <c r="CP16" s="100">
        <f>IFERROR(CO16/SUMIF($E$22:$BF$22,"MP",$E16:$BF16),"")</f>
        <v>0.97862595419847331</v>
      </c>
      <c r="CQ16" s="104">
        <f>IFERROR(CU16/CO16,"")</f>
        <v>5.4321372854914198</v>
      </c>
      <c r="CR16" s="104">
        <f>IFERROR(CS16/CO16,"")</f>
        <v>94.132975039001565</v>
      </c>
      <c r="CS16" s="79">
        <f t="shared" si="21"/>
        <v>60339.237000000001</v>
      </c>
      <c r="CT16" s="79">
        <f t="shared" si="21"/>
        <v>1486.69</v>
      </c>
      <c r="CU16" s="79">
        <f t="shared" si="21"/>
        <v>3482</v>
      </c>
      <c r="CV16" s="80">
        <f t="shared" si="21"/>
        <v>3380</v>
      </c>
    </row>
    <row r="17" spans="1:115" ht="15.75" thickBot="1" x14ac:dyDescent="0.3">
      <c r="B17" s="78" t="s">
        <v>105</v>
      </c>
      <c r="C17" s="58"/>
      <c r="D17" s="75"/>
      <c r="E17" s="58">
        <f>SUM(E13:E16)</f>
        <v>249</v>
      </c>
      <c r="F17" s="58">
        <f>SUM(F13:F16)</f>
        <v>177</v>
      </c>
      <c r="G17" s="101">
        <f>IFERROR(F17/E17,"")</f>
        <v>0.71084337349397586</v>
      </c>
      <c r="H17" s="102">
        <f>IFERROR(L17/F17,"")</f>
        <v>2.6045197740112993</v>
      </c>
      <c r="I17" s="102">
        <f>IFERROR(J17/F17,"")</f>
        <v>43.09270056497175</v>
      </c>
      <c r="J17" s="60">
        <f t="shared" ref="J17:O17" si="22">SUM(J13:J16)</f>
        <v>7627.4079999999994</v>
      </c>
      <c r="K17" s="60">
        <f t="shared" si="22"/>
        <v>188.54599999999999</v>
      </c>
      <c r="L17" s="60">
        <f t="shared" si="22"/>
        <v>461</v>
      </c>
      <c r="M17" s="70">
        <f t="shared" si="22"/>
        <v>408</v>
      </c>
      <c r="N17" s="58">
        <f t="shared" si="22"/>
        <v>243</v>
      </c>
      <c r="O17" s="58">
        <f t="shared" si="22"/>
        <v>167</v>
      </c>
      <c r="P17" s="101">
        <f>IFERROR(O17/N17,"")</f>
        <v>0.68724279835390945</v>
      </c>
      <c r="Q17" s="102">
        <f>IFERROR(U17/O17,"")</f>
        <v>3.5029940119760479</v>
      </c>
      <c r="R17" s="102">
        <f>IFERROR(S17/O17,"")</f>
        <v>60.104706586826353</v>
      </c>
      <c r="S17" s="60">
        <f t="shared" ref="S17:X17" si="23">SUM(S13:S16)</f>
        <v>10037.486000000001</v>
      </c>
      <c r="T17" s="60">
        <f t="shared" si="23"/>
        <v>282.952</v>
      </c>
      <c r="U17" s="60">
        <f t="shared" si="23"/>
        <v>585</v>
      </c>
      <c r="V17" s="70">
        <f t="shared" si="23"/>
        <v>674</v>
      </c>
      <c r="W17" s="58">
        <f t="shared" si="23"/>
        <v>236</v>
      </c>
      <c r="X17" s="58">
        <f t="shared" si="23"/>
        <v>181</v>
      </c>
      <c r="Y17" s="101">
        <f>IFERROR(X17/W17,"")</f>
        <v>0.76694915254237284</v>
      </c>
      <c r="Z17" s="102">
        <f>IFERROR(AD17/X17,"")</f>
        <v>5.0939226519337018</v>
      </c>
      <c r="AA17" s="102">
        <f>IFERROR(AB17/X17,"")</f>
        <v>85.305646408839777</v>
      </c>
      <c r="AB17" s="60">
        <f t="shared" ref="AB17:AG17" si="24">SUM(AB13:AB16)</f>
        <v>15440.322</v>
      </c>
      <c r="AC17" s="60">
        <f t="shared" si="24"/>
        <v>379.12099999999998</v>
      </c>
      <c r="AD17" s="60">
        <f t="shared" si="24"/>
        <v>922</v>
      </c>
      <c r="AE17" s="70">
        <f t="shared" si="24"/>
        <v>862</v>
      </c>
      <c r="AF17" s="58">
        <f t="shared" si="24"/>
        <v>241</v>
      </c>
      <c r="AG17" s="58">
        <f t="shared" si="24"/>
        <v>176</v>
      </c>
      <c r="AH17" s="101">
        <f>IFERROR(AG17/AF17,"")</f>
        <v>0.73029045643153523</v>
      </c>
      <c r="AI17" s="102">
        <f>IFERROR(AM17/AG17,"")</f>
        <v>4.2784090909090908</v>
      </c>
      <c r="AJ17" s="102">
        <f>IFERROR(AK17/AG17,"")</f>
        <v>71.922227272727284</v>
      </c>
      <c r="AK17" s="60">
        <f t="shared" ref="AK17:AP17" si="25">SUM(AK13:AK16)</f>
        <v>12658.312000000002</v>
      </c>
      <c r="AL17" s="60">
        <f t="shared" si="25"/>
        <v>365.42599999999999</v>
      </c>
      <c r="AM17" s="60">
        <f t="shared" si="25"/>
        <v>753</v>
      </c>
      <c r="AN17" s="70">
        <f t="shared" si="25"/>
        <v>753</v>
      </c>
      <c r="AO17" s="58">
        <f t="shared" si="25"/>
        <v>233</v>
      </c>
      <c r="AP17" s="58">
        <f t="shared" si="25"/>
        <v>168</v>
      </c>
      <c r="AQ17" s="101">
        <f>IFERROR(AP17/AO17,"")</f>
        <v>0.72103004291845496</v>
      </c>
      <c r="AR17" s="102">
        <f>IFERROR(AV17/AP17,"")</f>
        <v>5.5178571428571432</v>
      </c>
      <c r="AS17" s="102">
        <f>IFERROR(AT17/AP17,"")</f>
        <v>96.205482142857122</v>
      </c>
      <c r="AT17" s="60">
        <f t="shared" ref="AT17:AY17" si="26">SUM(AT13:AT16)</f>
        <v>16162.520999999997</v>
      </c>
      <c r="AU17" s="60">
        <f t="shared" si="26"/>
        <v>458.29899999999998</v>
      </c>
      <c r="AV17" s="60">
        <f t="shared" si="26"/>
        <v>927</v>
      </c>
      <c r="AW17" s="60">
        <f t="shared" si="26"/>
        <v>909</v>
      </c>
      <c r="AX17" s="58">
        <f t="shared" si="26"/>
        <v>235</v>
      </c>
      <c r="AY17" s="58">
        <f t="shared" si="26"/>
        <v>163</v>
      </c>
      <c r="AZ17" s="101">
        <f>IFERROR(AY17/AX17,"")</f>
        <v>0.69361702127659575</v>
      </c>
      <c r="BA17" s="102">
        <f>IFERROR(BE17/AY17,"")</f>
        <v>5.6932515337423313</v>
      </c>
      <c r="BB17" s="102">
        <f>IFERROR(BC17/AY17,"")</f>
        <v>100.72444171779141</v>
      </c>
      <c r="BC17" s="60">
        <f t="shared" ref="BC17:BH17" si="27">SUM(BC13:BC16)</f>
        <v>16418.083999999999</v>
      </c>
      <c r="BD17" s="60">
        <f t="shared" si="27"/>
        <v>430.815</v>
      </c>
      <c r="BE17" s="60">
        <f t="shared" si="27"/>
        <v>928</v>
      </c>
      <c r="BF17" s="70">
        <f t="shared" si="27"/>
        <v>903</v>
      </c>
      <c r="BG17" s="58">
        <f t="shared" si="27"/>
        <v>183</v>
      </c>
      <c r="BH17" s="58">
        <f t="shared" si="27"/>
        <v>145</v>
      </c>
      <c r="BI17" s="101">
        <f>IFERROR(BH17/BG17,"")</f>
        <v>0.79234972677595628</v>
      </c>
      <c r="BJ17" s="102">
        <f>IFERROR(BP17/BH17,"")</f>
        <v>5.1310344827586203</v>
      </c>
      <c r="BK17" s="102">
        <f>IFERROR(BM17/BH17,"")</f>
        <v>89.353793103448268</v>
      </c>
      <c r="BL17" s="140">
        <f>SUM(BL13:BL16)</f>
        <v>16500</v>
      </c>
      <c r="BM17" s="140">
        <f>SUM(BM13:BM16)</f>
        <v>12956.3</v>
      </c>
      <c r="BN17" s="141">
        <f>BM17/BL17</f>
        <v>0.78523030303030295</v>
      </c>
      <c r="BO17" s="60">
        <f>SUM(BO13:BO16)</f>
        <v>384.75099999999998</v>
      </c>
      <c r="BP17" s="60">
        <f>SUM(BP13:BP16)</f>
        <v>744</v>
      </c>
      <c r="BQ17" s="70">
        <f>SUM(BQ13:BQ16)</f>
        <v>778</v>
      </c>
      <c r="BR17" s="58">
        <f>SUM(BR13:BR16)</f>
        <v>256</v>
      </c>
      <c r="BS17" s="58">
        <f>SUM(BS13:BS16)</f>
        <v>198</v>
      </c>
      <c r="BT17" s="101">
        <f>IFERROR(BS17/BR17,"")</f>
        <v>0.7734375</v>
      </c>
      <c r="BU17" s="102" t="str">
        <f>IFERROR(CA17/BS17,"")</f>
        <v/>
      </c>
      <c r="BV17" s="102" t="str">
        <f>IFERROR(BX17/BS17,"")</f>
        <v/>
      </c>
      <c r="BW17" s="140">
        <f>SUM(BW13:BW16)</f>
        <v>18145</v>
      </c>
      <c r="BX17" s="140" t="e">
        <f>SUM(BX13:BX16)</f>
        <v>#REF!</v>
      </c>
      <c r="BY17" s="141" t="e">
        <f>BX17/BW17</f>
        <v>#REF!</v>
      </c>
      <c r="BZ17" s="60" t="e">
        <f>SUM(BZ13:BZ16)</f>
        <v>#REF!</v>
      </c>
      <c r="CA17" s="60" t="e">
        <f>SUM(CA13:CA16)</f>
        <v>#REF!</v>
      </c>
      <c r="CB17" s="70">
        <f>SUM(CB13:CB16)</f>
        <v>915</v>
      </c>
      <c r="CC17" s="58">
        <f>SUM(CC13:CC16)</f>
        <v>166</v>
      </c>
      <c r="CD17" s="58" t="e">
        <f>SUM(CD13:CD16)</f>
        <v>#DIV/0!</v>
      </c>
      <c r="CE17" s="101" t="str">
        <f>IFERROR(CD17/CC17,"")</f>
        <v/>
      </c>
      <c r="CF17" s="102" t="str">
        <f>IFERROR(CL17/CD17,"")</f>
        <v/>
      </c>
      <c r="CG17" s="102" t="str">
        <f>IFERROR(CI17/CD17,"")</f>
        <v/>
      </c>
      <c r="CH17" s="140" t="e">
        <f>SUM(CH13:CH16)</f>
        <v>#DIV/0!</v>
      </c>
      <c r="CI17" s="140" t="e">
        <f>SUM(CI13:CI16)</f>
        <v>#REF!</v>
      </c>
      <c r="CJ17" s="141" t="e">
        <f>CI17/CH17</f>
        <v>#REF!</v>
      </c>
      <c r="CK17" s="60" t="e">
        <f>SUM(CK13:CK16)</f>
        <v>#REF!</v>
      </c>
      <c r="CL17" s="60" t="e">
        <f>SUM(CL13:CL16)</f>
        <v>#REF!</v>
      </c>
      <c r="CM17" s="70">
        <f>SUM(CM13:CM16)</f>
        <v>854</v>
      </c>
      <c r="CN17" s="58">
        <f>SUM(CN13:CN16)</f>
        <v>237</v>
      </c>
      <c r="CO17" s="58">
        <f>SUM(CO13:CO16)</f>
        <v>1177</v>
      </c>
      <c r="CP17" s="101">
        <f>IFERROR(CO17/SUMIF($E$22:$BF$22,"MP",$E17:$BF17),"")</f>
        <v>0.81906750173973553</v>
      </c>
      <c r="CQ17" s="102">
        <f>IFERROR(CU17/CO17,"")</f>
        <v>4.519966015293118</v>
      </c>
      <c r="CR17" s="102">
        <f>IFERROR(CS17/CO17,"")</f>
        <v>77.57046134239593</v>
      </c>
      <c r="CS17" s="60">
        <f>SUM(CS13:CS16)</f>
        <v>91300.433000000005</v>
      </c>
      <c r="CT17" s="60">
        <f>SUM(CT13:CT16)</f>
        <v>2489.91</v>
      </c>
      <c r="CU17" s="60">
        <f>SUM(CU13:CU16)</f>
        <v>5320</v>
      </c>
      <c r="CV17" s="70">
        <f>SUM(CV13:CV16)</f>
        <v>5287</v>
      </c>
    </row>
    <row r="18" spans="1:115" x14ac:dyDescent="0.25">
      <c r="T18"/>
    </row>
    <row r="20" spans="1:115" x14ac:dyDescent="0.25">
      <c r="Q20" s="231"/>
      <c r="R20" s="231"/>
      <c r="S20" s="231"/>
      <c r="T20" s="231"/>
    </row>
    <row r="21" spans="1:115" x14ac:dyDescent="0.25">
      <c r="A21" s="107"/>
      <c r="B21" s="110"/>
      <c r="C21" s="110"/>
      <c r="D21" s="110"/>
      <c r="E21" s="109" t="s">
        <v>91</v>
      </c>
      <c r="F21" s="111"/>
      <c r="G21" s="111"/>
      <c r="H21" s="111"/>
      <c r="I21" s="111"/>
      <c r="J21" s="111"/>
      <c r="K21" s="111"/>
      <c r="L21" s="111"/>
      <c r="M21" s="112"/>
      <c r="N21" s="109" t="s">
        <v>92</v>
      </c>
      <c r="O21" s="111"/>
      <c r="P21" s="111"/>
      <c r="Q21" s="111"/>
      <c r="R21" s="111"/>
      <c r="S21" s="111"/>
      <c r="T21" s="111"/>
      <c r="U21" s="111"/>
      <c r="V21" s="112"/>
      <c r="W21" s="111" t="s">
        <v>93</v>
      </c>
      <c r="X21" s="111"/>
      <c r="Y21" s="111"/>
      <c r="Z21" s="111"/>
      <c r="AA21" s="111"/>
      <c r="AB21" s="111"/>
      <c r="AC21" s="111"/>
      <c r="AD21" s="111"/>
      <c r="AE21" s="111"/>
      <c r="AF21" s="109" t="s">
        <v>94</v>
      </c>
      <c r="AG21" s="111"/>
      <c r="AH21" s="111"/>
      <c r="AI21" s="111"/>
      <c r="AJ21" s="111"/>
      <c r="AK21" s="111"/>
      <c r="AL21" s="111"/>
      <c r="AM21" s="111"/>
      <c r="AN21" s="112"/>
      <c r="AO21" s="111" t="s">
        <v>95</v>
      </c>
      <c r="AP21" s="111"/>
      <c r="AQ21" s="111"/>
      <c r="AR21" s="111"/>
      <c r="AS21" s="111"/>
      <c r="AT21" s="111"/>
      <c r="AU21" s="111"/>
      <c r="AV21" s="111"/>
      <c r="AW21" s="111"/>
      <c r="AX21" s="109" t="s">
        <v>96</v>
      </c>
      <c r="AY21" s="111"/>
      <c r="AZ21" s="111"/>
      <c r="BA21" s="111"/>
      <c r="BB21" s="111"/>
      <c r="BC21" s="111"/>
      <c r="BD21" s="111"/>
      <c r="BE21" s="111"/>
      <c r="BF21" s="112"/>
      <c r="BG21" s="109" t="str">
        <f>$BG$4</f>
        <v>Jul '16</v>
      </c>
      <c r="BH21" s="111"/>
      <c r="BI21" s="111"/>
      <c r="BJ21" s="111"/>
      <c r="BK21" s="111"/>
      <c r="BL21" s="111"/>
      <c r="BM21" s="111"/>
      <c r="BN21" s="111"/>
      <c r="BO21" s="111"/>
      <c r="BP21" s="111"/>
      <c r="BQ21" s="112"/>
      <c r="BR21" s="109" t="str">
        <f>BR4</f>
        <v>Aug '16</v>
      </c>
      <c r="BS21" s="111"/>
      <c r="BT21" s="111"/>
      <c r="BU21" s="111"/>
      <c r="BV21" s="111"/>
      <c r="BW21" s="111"/>
      <c r="BX21" s="111"/>
      <c r="BY21" s="111"/>
      <c r="BZ21" s="111"/>
      <c r="CA21" s="111"/>
      <c r="CB21" s="112"/>
      <c r="CC21" s="109" t="str">
        <f>CC4</f>
        <v>Sep '16</v>
      </c>
      <c r="CD21" s="111"/>
      <c r="CE21" s="111"/>
      <c r="CF21" s="111"/>
      <c r="CG21" s="111"/>
      <c r="CH21" s="111"/>
      <c r="CI21" s="111"/>
      <c r="CJ21" s="111"/>
      <c r="CK21" s="111"/>
      <c r="CL21" s="111"/>
      <c r="CM21" s="112"/>
      <c r="CN21" s="109" t="s">
        <v>39</v>
      </c>
      <c r="CO21" s="111"/>
      <c r="CP21" s="111"/>
      <c r="CQ21" s="111"/>
      <c r="CR21" s="111"/>
      <c r="CS21" s="111"/>
      <c r="CT21" s="111"/>
      <c r="CU21" s="111"/>
      <c r="CV21" s="112"/>
    </row>
    <row r="22" spans="1:115" x14ac:dyDescent="0.25">
      <c r="A22" s="113" t="s">
        <v>42</v>
      </c>
      <c r="B22" s="115" t="s">
        <v>43</v>
      </c>
      <c r="C22" s="115" t="s">
        <v>45</v>
      </c>
      <c r="D22" s="115" t="s">
        <v>46</v>
      </c>
      <c r="E22" s="113" t="s">
        <v>64</v>
      </c>
      <c r="F22" s="115" t="s">
        <v>107</v>
      </c>
      <c r="G22" s="115" t="s">
        <v>108</v>
      </c>
      <c r="H22" s="115" t="s">
        <v>109</v>
      </c>
      <c r="I22" s="115" t="s">
        <v>110</v>
      </c>
      <c r="J22" s="115" t="s">
        <v>6</v>
      </c>
      <c r="K22" s="115" t="s">
        <v>51</v>
      </c>
      <c r="L22" s="115" t="s">
        <v>49</v>
      </c>
      <c r="M22" s="114" t="s">
        <v>50</v>
      </c>
      <c r="N22" s="113" t="s">
        <v>64</v>
      </c>
      <c r="O22" s="115" t="s">
        <v>107</v>
      </c>
      <c r="P22" s="115" t="s">
        <v>108</v>
      </c>
      <c r="Q22" s="115" t="s">
        <v>109</v>
      </c>
      <c r="R22" s="115" t="s">
        <v>110</v>
      </c>
      <c r="S22" s="115" t="s">
        <v>6</v>
      </c>
      <c r="T22" s="115" t="s">
        <v>51</v>
      </c>
      <c r="U22" s="115" t="s">
        <v>49</v>
      </c>
      <c r="V22" s="114" t="s">
        <v>50</v>
      </c>
      <c r="W22" s="113" t="s">
        <v>64</v>
      </c>
      <c r="X22" s="115" t="s">
        <v>107</v>
      </c>
      <c r="Y22" s="115" t="s">
        <v>108</v>
      </c>
      <c r="Z22" s="115" t="s">
        <v>109</v>
      </c>
      <c r="AA22" s="115" t="s">
        <v>110</v>
      </c>
      <c r="AB22" s="115" t="s">
        <v>6</v>
      </c>
      <c r="AC22" s="115" t="s">
        <v>51</v>
      </c>
      <c r="AD22" s="115" t="s">
        <v>49</v>
      </c>
      <c r="AE22" s="115" t="s">
        <v>50</v>
      </c>
      <c r="AF22" s="113" t="s">
        <v>64</v>
      </c>
      <c r="AG22" s="115" t="s">
        <v>107</v>
      </c>
      <c r="AH22" s="115" t="s">
        <v>108</v>
      </c>
      <c r="AI22" s="115" t="s">
        <v>109</v>
      </c>
      <c r="AJ22" s="115" t="s">
        <v>110</v>
      </c>
      <c r="AK22" s="115" t="s">
        <v>6</v>
      </c>
      <c r="AL22" s="115" t="s">
        <v>51</v>
      </c>
      <c r="AM22" s="115" t="s">
        <v>49</v>
      </c>
      <c r="AN22" s="114" t="s">
        <v>50</v>
      </c>
      <c r="AO22" s="113" t="s">
        <v>64</v>
      </c>
      <c r="AP22" s="115" t="s">
        <v>107</v>
      </c>
      <c r="AQ22" s="115" t="s">
        <v>108</v>
      </c>
      <c r="AR22" s="115" t="s">
        <v>109</v>
      </c>
      <c r="AS22" s="115" t="s">
        <v>110</v>
      </c>
      <c r="AT22" s="115" t="s">
        <v>6</v>
      </c>
      <c r="AU22" s="115" t="s">
        <v>51</v>
      </c>
      <c r="AV22" s="115" t="s">
        <v>49</v>
      </c>
      <c r="AW22" s="115" t="s">
        <v>50</v>
      </c>
      <c r="AX22" s="113" t="s">
        <v>64</v>
      </c>
      <c r="AY22" s="115" t="s">
        <v>107</v>
      </c>
      <c r="AZ22" s="115" t="s">
        <v>108</v>
      </c>
      <c r="BA22" s="115" t="s">
        <v>109</v>
      </c>
      <c r="BB22" s="115" t="s">
        <v>110</v>
      </c>
      <c r="BC22" s="115" t="s">
        <v>6</v>
      </c>
      <c r="BD22" s="115" t="s">
        <v>51</v>
      </c>
      <c r="BE22" s="115" t="s">
        <v>49</v>
      </c>
      <c r="BF22" s="114" t="s">
        <v>50</v>
      </c>
      <c r="BG22" s="113" t="s">
        <v>64</v>
      </c>
      <c r="BH22" s="115" t="s">
        <v>107</v>
      </c>
      <c r="BI22" s="115" t="s">
        <v>108</v>
      </c>
      <c r="BJ22" s="115" t="s">
        <v>109</v>
      </c>
      <c r="BK22" s="115" t="s">
        <v>110</v>
      </c>
      <c r="BL22" s="117" t="str">
        <f>$BL$5</f>
        <v>APE target</v>
      </c>
      <c r="BM22" s="117" t="s">
        <v>6</v>
      </c>
      <c r="BN22" s="117" t="s">
        <v>179</v>
      </c>
      <c r="BO22" s="115" t="s">
        <v>51</v>
      </c>
      <c r="BP22" s="115" t="s">
        <v>49</v>
      </c>
      <c r="BQ22" s="114" t="s">
        <v>50</v>
      </c>
      <c r="BR22" s="113" t="s">
        <v>64</v>
      </c>
      <c r="BS22" s="115" t="s">
        <v>107</v>
      </c>
      <c r="BT22" s="115" t="s">
        <v>108</v>
      </c>
      <c r="BU22" s="115" t="s">
        <v>109</v>
      </c>
      <c r="BV22" s="115" t="s">
        <v>110</v>
      </c>
      <c r="BW22" s="117" t="str">
        <f>$BL$5</f>
        <v>APE target</v>
      </c>
      <c r="BX22" s="117" t="s">
        <v>6</v>
      </c>
      <c r="BY22" s="117" t="s">
        <v>179</v>
      </c>
      <c r="BZ22" s="115" t="s">
        <v>51</v>
      </c>
      <c r="CA22" s="115" t="s">
        <v>49</v>
      </c>
      <c r="CB22" s="114" t="s">
        <v>50</v>
      </c>
      <c r="CC22" s="113" t="s">
        <v>64</v>
      </c>
      <c r="CD22" s="115" t="s">
        <v>107</v>
      </c>
      <c r="CE22" s="115" t="s">
        <v>108</v>
      </c>
      <c r="CF22" s="115" t="s">
        <v>109</v>
      </c>
      <c r="CG22" s="115" t="s">
        <v>110</v>
      </c>
      <c r="CH22" s="117" t="str">
        <f>$BL$5</f>
        <v>APE target</v>
      </c>
      <c r="CI22" s="117" t="s">
        <v>6</v>
      </c>
      <c r="CJ22" s="117" t="s">
        <v>179</v>
      </c>
      <c r="CK22" s="115" t="s">
        <v>51</v>
      </c>
      <c r="CL22" s="115" t="s">
        <v>49</v>
      </c>
      <c r="CM22" s="114" t="s">
        <v>50</v>
      </c>
      <c r="CN22" s="116" t="s">
        <v>64</v>
      </c>
      <c r="CO22" s="117" t="s">
        <v>107</v>
      </c>
      <c r="CP22" s="117" t="s">
        <v>108</v>
      </c>
      <c r="CQ22" s="117" t="s">
        <v>109</v>
      </c>
      <c r="CR22" s="117" t="s">
        <v>110</v>
      </c>
      <c r="CS22" s="117" t="s">
        <v>6</v>
      </c>
      <c r="CT22" s="117" t="s">
        <v>51</v>
      </c>
      <c r="CU22" s="117" t="s">
        <v>49</v>
      </c>
      <c r="CV22" s="118" t="s">
        <v>50</v>
      </c>
    </row>
    <row r="23" spans="1:115" outlineLevel="1" x14ac:dyDescent="0.25">
      <c r="A23" s="82" t="s">
        <v>48</v>
      </c>
      <c r="B23" s="82" t="s">
        <v>97</v>
      </c>
      <c r="C23" s="83" t="s">
        <v>98</v>
      </c>
      <c r="D23" s="84" t="s">
        <v>76</v>
      </c>
      <c r="E23" s="85">
        <v>6</v>
      </c>
      <c r="F23" s="86">
        <v>5</v>
      </c>
      <c r="G23" s="92">
        <f>IFERROR(F23/E23,"")</f>
        <v>0.83333333333333337</v>
      </c>
      <c r="H23" s="93">
        <f>IFERROR(L23/F23,"")</f>
        <v>1.6</v>
      </c>
      <c r="I23" s="93">
        <f>IFERROR(J23/F23,"")</f>
        <v>32.850999999999999</v>
      </c>
      <c r="J23" s="86">
        <v>164.255</v>
      </c>
      <c r="K23" s="86">
        <v>4.0049999999999999</v>
      </c>
      <c r="L23" s="87">
        <v>8</v>
      </c>
      <c r="M23" s="88">
        <v>7</v>
      </c>
      <c r="N23" s="85">
        <v>0</v>
      </c>
      <c r="O23" s="86">
        <v>0</v>
      </c>
      <c r="P23" s="92" t="str">
        <f>IFERROR(O23/N23,"")</f>
        <v/>
      </c>
      <c r="Q23" s="93" t="str">
        <f>IFERROR(U23/O23,"")</f>
        <v/>
      </c>
      <c r="R23" s="93" t="str">
        <f>IFERROR(S23/O23,"")</f>
        <v/>
      </c>
      <c r="S23" s="86">
        <v>0</v>
      </c>
      <c r="T23" s="86">
        <v>0</v>
      </c>
      <c r="U23" s="87">
        <v>0</v>
      </c>
      <c r="V23" s="88">
        <v>0</v>
      </c>
      <c r="W23" s="85">
        <v>0</v>
      </c>
      <c r="X23" s="86">
        <v>0</v>
      </c>
      <c r="Y23" s="92" t="str">
        <f>IFERROR(X23/W23,"")</f>
        <v/>
      </c>
      <c r="Z23" s="93" t="str">
        <f>IFERROR(AD23/X23,"")</f>
        <v/>
      </c>
      <c r="AA23" s="93" t="str">
        <f>IFERROR(AB23/X23,"")</f>
        <v/>
      </c>
      <c r="AB23" s="50"/>
      <c r="AC23" s="50"/>
      <c r="AD23" s="89"/>
      <c r="AE23" s="50"/>
      <c r="AF23" s="85">
        <v>0</v>
      </c>
      <c r="AG23" s="86">
        <v>0</v>
      </c>
      <c r="AH23" s="92" t="str">
        <f>IFERROR(AG23/AF23,"")</f>
        <v/>
      </c>
      <c r="AI23" s="93" t="str">
        <f>IFERROR(AM23/AG23,"")</f>
        <v/>
      </c>
      <c r="AJ23" s="93" t="str">
        <f>IFERROR(AK23/AG23,"")</f>
        <v/>
      </c>
      <c r="AK23" s="86"/>
      <c r="AL23" s="86"/>
      <c r="AM23" s="87"/>
      <c r="AN23" s="88"/>
      <c r="AO23" s="85">
        <v>0</v>
      </c>
      <c r="AP23" s="86">
        <v>0</v>
      </c>
      <c r="AQ23" s="92" t="str">
        <f>IFERROR(AP23/AO23,"")</f>
        <v/>
      </c>
      <c r="AR23" s="93" t="str">
        <f>IFERROR(AV23/AP23,"")</f>
        <v/>
      </c>
      <c r="AS23" s="93" t="str">
        <f>IFERROR(AT23/AP23,"")</f>
        <v/>
      </c>
      <c r="AT23" s="50"/>
      <c r="AU23" s="50"/>
      <c r="AV23" s="89"/>
      <c r="AW23" s="50"/>
      <c r="AX23" s="85">
        <v>0</v>
      </c>
      <c r="AY23" s="86">
        <v>0</v>
      </c>
      <c r="AZ23" s="92" t="str">
        <f>IFERROR(AY23/AX23,"")</f>
        <v/>
      </c>
      <c r="BA23" s="93" t="str">
        <f>IFERROR(BE23/AY23,"")</f>
        <v/>
      </c>
      <c r="BB23" s="93" t="str">
        <f>IFERROR(BC23/AY23,"")</f>
        <v/>
      </c>
      <c r="BC23" s="86"/>
      <c r="BD23" s="86"/>
      <c r="BE23" s="86"/>
      <c r="BF23" s="88"/>
      <c r="BG23" s="85"/>
      <c r="BH23" s="86"/>
      <c r="BI23" s="92" t="str">
        <f>IFERROR(BH23/BG23,"")</f>
        <v/>
      </c>
      <c r="BJ23" s="93" t="str">
        <f>IFERROR(BP23/BH23,"")</f>
        <v/>
      </c>
      <c r="BK23" s="93" t="str">
        <f>IFERROR(BM23/BH23,"")</f>
        <v/>
      </c>
      <c r="BL23" s="86"/>
      <c r="BM23" s="86"/>
      <c r="BN23" s="86"/>
      <c r="BO23" s="86"/>
      <c r="BP23" s="86"/>
      <c r="BQ23" s="88"/>
      <c r="BR23" s="85"/>
      <c r="BS23" s="86"/>
      <c r="BT23" s="92" t="str">
        <f>IFERROR(BS23/BR23,"")</f>
        <v/>
      </c>
      <c r="BU23" s="93" t="str">
        <f>IFERROR(CA23/BS23,"")</f>
        <v/>
      </c>
      <c r="BV23" s="93" t="str">
        <f>IFERROR(BX23/BS23,"")</f>
        <v/>
      </c>
      <c r="BW23" s="86"/>
      <c r="BX23" s="86"/>
      <c r="BY23" s="92" t="str">
        <f>IF(BW23&lt;&gt;0,BX23/BW23,"")</f>
        <v/>
      </c>
      <c r="BZ23" s="86"/>
      <c r="CA23" s="86">
        <v>6</v>
      </c>
      <c r="CB23" s="88">
        <v>8</v>
      </c>
      <c r="CC23" s="85"/>
      <c r="CD23" s="86"/>
      <c r="CE23" s="92" t="str">
        <f>IFERROR(CD23/CC23,"")</f>
        <v/>
      </c>
      <c r="CF23" s="93" t="str">
        <f>IFERROR(CL23/CD23,"")</f>
        <v/>
      </c>
      <c r="CG23" s="93" t="str">
        <f>IFERROR(CI23/CD23,"")</f>
        <v/>
      </c>
      <c r="CH23" s="86"/>
      <c r="CI23" s="86"/>
      <c r="CJ23" s="92" t="str">
        <f>IF(CH23&lt;&gt;0,CI23/CH23,"")</f>
        <v/>
      </c>
      <c r="CK23" s="86"/>
      <c r="CL23" s="86">
        <v>6</v>
      </c>
      <c r="CM23" s="88">
        <v>8</v>
      </c>
      <c r="CN23" s="85">
        <f>AX23</f>
        <v>0</v>
      </c>
      <c r="CO23" s="86">
        <f t="shared" ref="CO23:CO30" si="28">SUMIF($E$22:$BF$22,CO$22,$E23:$BF23)</f>
        <v>5</v>
      </c>
      <c r="CP23" s="92">
        <f t="shared" ref="CP23:CP31" si="29">IFERROR(CO23/SUMIF($E$22:$BQ$22,"MP",$E23:$BQ23),"")</f>
        <v>0.83333333333333337</v>
      </c>
      <c r="CQ23" s="93">
        <f>IFERROR(CU23/CO23,"")</f>
        <v>1.6</v>
      </c>
      <c r="CR23" s="93">
        <f>IFERROR(CS23/CO23,"")</f>
        <v>32.850999999999999</v>
      </c>
      <c r="CS23" s="86">
        <f>SUMIF($E$22:$BQ$22,CS$22,$E23:$BQ23)</f>
        <v>164.255</v>
      </c>
      <c r="CT23" s="86">
        <f>SUMIF($E$22:$BQ$22,CT$22,$E23:$BQ23)</f>
        <v>4.0049999999999999</v>
      </c>
      <c r="CU23" s="87">
        <f>SUMIF($E$22:$BQ$22,CU$22,$E23:$BQ23)</f>
        <v>8</v>
      </c>
      <c r="CV23" s="90">
        <f>SUMIF($E$22:$BQ$22,CV$22,$E23:$BQ23)</f>
        <v>7</v>
      </c>
    </row>
    <row r="24" spans="1:115" outlineLevel="1" x14ac:dyDescent="0.25">
      <c r="A24" s="82" t="s">
        <v>48</v>
      </c>
      <c r="B24" s="82" t="s">
        <v>97</v>
      </c>
      <c r="C24" s="83" t="s">
        <v>98</v>
      </c>
      <c r="D24" s="84" t="s">
        <v>77</v>
      </c>
      <c r="E24" s="85">
        <v>17</v>
      </c>
      <c r="F24" s="86">
        <v>7</v>
      </c>
      <c r="G24" s="92">
        <f t="shared" ref="G24:G62" si="30">IFERROR(F24/E24,"")</f>
        <v>0.41176470588235292</v>
      </c>
      <c r="H24" s="93">
        <f t="shared" ref="H24:H62" si="31">IFERROR(L24/F24,"")</f>
        <v>1.5714285714285714</v>
      </c>
      <c r="I24" s="93">
        <f t="shared" ref="I24:I62" si="32">IFERROR(J24/F24,"")</f>
        <v>33.522857142857141</v>
      </c>
      <c r="J24" s="86">
        <v>234.66</v>
      </c>
      <c r="K24" s="86">
        <v>10.774000000000003</v>
      </c>
      <c r="L24" s="87">
        <v>11</v>
      </c>
      <c r="M24" s="88">
        <v>11</v>
      </c>
      <c r="N24" s="85">
        <v>18</v>
      </c>
      <c r="O24" s="86">
        <v>7</v>
      </c>
      <c r="P24" s="92">
        <f t="shared" ref="P24:P31" si="33">IFERROR(O24/N24,"")</f>
        <v>0.3888888888888889</v>
      </c>
      <c r="Q24" s="93">
        <f t="shared" ref="Q24:Q31" si="34">IFERROR(U24/O24,"")</f>
        <v>0.8571428571428571</v>
      </c>
      <c r="R24" s="93">
        <f t="shared" ref="R24:R31" si="35">IFERROR(S24/O24,"")</f>
        <v>21.181428571428572</v>
      </c>
      <c r="S24" s="86">
        <v>148.27000000000001</v>
      </c>
      <c r="T24" s="86">
        <v>-4.9020000000000001</v>
      </c>
      <c r="U24" s="87">
        <v>6</v>
      </c>
      <c r="V24" s="88">
        <v>-1</v>
      </c>
      <c r="W24" s="85">
        <v>14</v>
      </c>
      <c r="X24" s="86">
        <v>8</v>
      </c>
      <c r="Y24" s="92">
        <f t="shared" ref="Y24:Y31" si="36">IFERROR(X24/W24,"")</f>
        <v>0.5714285714285714</v>
      </c>
      <c r="Z24" s="93">
        <f t="shared" ref="Z24:Z31" si="37">IFERROR(AD24/X24,"")</f>
        <v>2</v>
      </c>
      <c r="AA24" s="93">
        <f t="shared" ref="AA24:AA31" si="38">IFERROR(AB24/X24,"")</f>
        <v>43.949874999999999</v>
      </c>
      <c r="AB24" s="50">
        <v>351.59899999999999</v>
      </c>
      <c r="AC24" s="50">
        <v>4.7389999999999999</v>
      </c>
      <c r="AD24" s="89">
        <v>16</v>
      </c>
      <c r="AE24" s="50">
        <v>13</v>
      </c>
      <c r="AF24" s="85">
        <v>11</v>
      </c>
      <c r="AG24" s="86">
        <v>4</v>
      </c>
      <c r="AH24" s="92">
        <f t="shared" ref="AH24:AH31" si="39">IFERROR(AG24/AF24,"")</f>
        <v>0.36363636363636365</v>
      </c>
      <c r="AI24" s="93">
        <f t="shared" ref="AI24:AI31" si="40">IFERROR(AM24/AG24,"")</f>
        <v>1.5</v>
      </c>
      <c r="AJ24" s="93">
        <f t="shared" ref="AJ24:AJ31" si="41">IFERROR(AK24/AG24,"")</f>
        <v>21.410499999999999</v>
      </c>
      <c r="AK24" s="86">
        <v>85.641999999999996</v>
      </c>
      <c r="AL24" s="86">
        <v>1.62</v>
      </c>
      <c r="AM24" s="87">
        <v>6</v>
      </c>
      <c r="AN24" s="88">
        <v>4</v>
      </c>
      <c r="AO24" s="85">
        <v>9</v>
      </c>
      <c r="AP24" s="86">
        <v>3</v>
      </c>
      <c r="AQ24" s="92">
        <f t="shared" ref="AQ24:AQ31" si="42">IFERROR(AP24/AO24,"")</f>
        <v>0.33333333333333331</v>
      </c>
      <c r="AR24" s="93">
        <f t="shared" ref="AR24:AR31" si="43">IFERROR(AV24/AP24,"")</f>
        <v>3</v>
      </c>
      <c r="AS24" s="93">
        <f t="shared" ref="AS24:AS31" si="44">IFERROR(AT24/AP24,"")</f>
        <v>50.765333333333331</v>
      </c>
      <c r="AT24" s="50">
        <v>152.29599999999999</v>
      </c>
      <c r="AU24" s="50">
        <v>2.9119999999999999</v>
      </c>
      <c r="AV24" s="89">
        <v>9</v>
      </c>
      <c r="AW24" s="50">
        <v>9</v>
      </c>
      <c r="AX24" s="85">
        <v>8</v>
      </c>
      <c r="AY24" s="86">
        <v>2</v>
      </c>
      <c r="AZ24" s="92">
        <f t="shared" ref="AZ24:AZ31" si="45">IFERROR(AY24/AX24,"")</f>
        <v>0.25</v>
      </c>
      <c r="BA24" s="93">
        <f t="shared" ref="BA24:BA31" si="46">IFERROR(BE24/AY24,"")</f>
        <v>2</v>
      </c>
      <c r="BB24" s="93">
        <f t="shared" ref="BB24:BB31" si="47">IFERROR(BC24/AY24,"")</f>
        <v>44.702499999999993</v>
      </c>
      <c r="BC24" s="86">
        <v>89.404999999999987</v>
      </c>
      <c r="BD24" s="86">
        <v>3.2269999999999999</v>
      </c>
      <c r="BE24" s="86">
        <v>4</v>
      </c>
      <c r="BF24" s="88">
        <v>4</v>
      </c>
      <c r="BG24" s="85"/>
      <c r="BH24" s="86"/>
      <c r="BI24" s="92" t="str">
        <f t="shared" ref="BI24:BI31" si="48">IFERROR(BH24/BG24,"")</f>
        <v/>
      </c>
      <c r="BJ24" s="93" t="str">
        <f t="shared" ref="BJ24:BJ31" si="49">IFERROR(BP24/BH24,"")</f>
        <v/>
      </c>
      <c r="BK24" s="93" t="str">
        <f t="shared" ref="BK24:BK31" si="50">IFERROR(BM24/BH24,"")</f>
        <v/>
      </c>
      <c r="BL24" s="86"/>
      <c r="BM24" s="86"/>
      <c r="BN24" s="86"/>
      <c r="BO24" s="86"/>
      <c r="BP24" s="86"/>
      <c r="BQ24" s="88"/>
      <c r="BR24" s="85"/>
      <c r="BS24" s="86"/>
      <c r="BT24" s="92" t="str">
        <f t="shared" ref="BT24:BT31" si="51">IFERROR(BS24/BR24,"")</f>
        <v/>
      </c>
      <c r="BU24" s="93" t="str">
        <f t="shared" ref="BU24:BU31" si="52">IFERROR(CA24/BS24,"")</f>
        <v/>
      </c>
      <c r="BV24" s="93" t="str">
        <f t="shared" ref="BV24:BV31" si="53">IFERROR(BX24/BS24,"")</f>
        <v/>
      </c>
      <c r="BW24" s="86"/>
      <c r="BX24" s="86" t="e">
        <f>#REF!</f>
        <v>#REF!</v>
      </c>
      <c r="BY24" s="92" t="str">
        <f t="shared" ref="BY24:BY31" si="54">IF(BW24&lt;&gt;0,BX24/BW24,"")</f>
        <v/>
      </c>
      <c r="BZ24" s="86" t="e">
        <f>#REF!</f>
        <v>#REF!</v>
      </c>
      <c r="CA24" s="86"/>
      <c r="CB24" s="88"/>
      <c r="CC24" s="85"/>
      <c r="CD24" s="86"/>
      <c r="CE24" s="92" t="str">
        <f t="shared" ref="CE24:CE26" si="55">IFERROR(CD24/CC24,"")</f>
        <v/>
      </c>
      <c r="CF24" s="93" t="str">
        <f t="shared" ref="CF24:CF26" si="56">IFERROR(CL24/CD24,"")</f>
        <v/>
      </c>
      <c r="CG24" s="93" t="str">
        <f t="shared" ref="CG24:CG26" si="57">IFERROR(CI24/CD24,"")</f>
        <v/>
      </c>
      <c r="CH24" s="86"/>
      <c r="CI24" s="86" t="e">
        <f>#REF!</f>
        <v>#REF!</v>
      </c>
      <c r="CJ24" s="92" t="str">
        <f t="shared" ref="CJ24:CJ31" si="58">IF(CH24&lt;&gt;0,CI24/CH24,"")</f>
        <v/>
      </c>
      <c r="CK24" s="86" t="e">
        <f>#REF!</f>
        <v>#REF!</v>
      </c>
      <c r="CL24" s="86"/>
      <c r="CM24" s="88"/>
      <c r="CN24" s="85">
        <f>AX24</f>
        <v>8</v>
      </c>
      <c r="CO24" s="86">
        <f t="shared" si="28"/>
        <v>31</v>
      </c>
      <c r="CP24" s="92">
        <f t="shared" si="29"/>
        <v>0.40259740259740262</v>
      </c>
      <c r="CQ24" s="93">
        <f t="shared" ref="CQ24:CQ31" si="59">IFERROR(CU24/CO24,"")</f>
        <v>1.6774193548387097</v>
      </c>
      <c r="CR24" s="93">
        <f t="shared" ref="CR24:CR31" si="60">IFERROR(CS24/CO24,"")</f>
        <v>34.253935483870968</v>
      </c>
      <c r="CS24" s="86">
        <f t="shared" ref="CS24:CV30" si="61">SUMIF($E$22:$BQ$22,CS$22,$E24:$BQ24)</f>
        <v>1061.8720000000001</v>
      </c>
      <c r="CT24" s="86">
        <f t="shared" si="61"/>
        <v>18.37</v>
      </c>
      <c r="CU24" s="87">
        <f t="shared" si="61"/>
        <v>52</v>
      </c>
      <c r="CV24" s="90">
        <f t="shared" si="61"/>
        <v>40</v>
      </c>
    </row>
    <row r="25" spans="1:115" outlineLevel="1" x14ac:dyDescent="0.25">
      <c r="A25" s="82" t="s">
        <v>48</v>
      </c>
      <c r="B25" s="82" t="s">
        <v>97</v>
      </c>
      <c r="C25" s="83" t="s">
        <v>98</v>
      </c>
      <c r="D25" s="84" t="s">
        <v>78</v>
      </c>
      <c r="E25" s="85">
        <v>0</v>
      </c>
      <c r="F25" s="86">
        <v>0</v>
      </c>
      <c r="G25" s="92" t="str">
        <f t="shared" si="30"/>
        <v/>
      </c>
      <c r="H25" s="93" t="str">
        <f t="shared" si="31"/>
        <v/>
      </c>
      <c r="I25" s="93" t="str">
        <f t="shared" si="32"/>
        <v/>
      </c>
      <c r="J25" s="86"/>
      <c r="K25" s="86"/>
      <c r="L25" s="87"/>
      <c r="M25" s="88"/>
      <c r="N25" s="85">
        <v>6</v>
      </c>
      <c r="O25" s="86">
        <v>3</v>
      </c>
      <c r="P25" s="92">
        <f t="shared" si="33"/>
        <v>0.5</v>
      </c>
      <c r="Q25" s="93">
        <f t="shared" si="34"/>
        <v>1.3333333333333333</v>
      </c>
      <c r="R25" s="93">
        <f t="shared" si="35"/>
        <v>19.852333333333334</v>
      </c>
      <c r="S25" s="86">
        <v>59.557000000000002</v>
      </c>
      <c r="T25" s="86">
        <v>1.5070000000000001</v>
      </c>
      <c r="U25" s="87">
        <v>4</v>
      </c>
      <c r="V25" s="88">
        <v>3</v>
      </c>
      <c r="W25" s="85">
        <v>6</v>
      </c>
      <c r="X25" s="86">
        <v>3</v>
      </c>
      <c r="Y25" s="92">
        <f t="shared" si="36"/>
        <v>0.5</v>
      </c>
      <c r="Z25" s="93">
        <f t="shared" si="37"/>
        <v>2</v>
      </c>
      <c r="AA25" s="93">
        <f t="shared" si="38"/>
        <v>27.947000000000003</v>
      </c>
      <c r="AB25" s="50">
        <v>83.841000000000008</v>
      </c>
      <c r="AC25" s="50">
        <v>0.83499999999999996</v>
      </c>
      <c r="AD25" s="89">
        <v>6</v>
      </c>
      <c r="AE25" s="50">
        <v>2</v>
      </c>
      <c r="AF25" s="85">
        <v>3</v>
      </c>
      <c r="AG25" s="86">
        <v>2</v>
      </c>
      <c r="AH25" s="92">
        <f t="shared" si="39"/>
        <v>0.66666666666666663</v>
      </c>
      <c r="AI25" s="93">
        <f t="shared" si="40"/>
        <v>1.5</v>
      </c>
      <c r="AJ25" s="93">
        <f t="shared" si="41"/>
        <v>36.020500000000006</v>
      </c>
      <c r="AK25" s="86">
        <v>72.041000000000011</v>
      </c>
      <c r="AL25" s="86">
        <v>3.7559999999999998</v>
      </c>
      <c r="AM25" s="87">
        <v>3</v>
      </c>
      <c r="AN25" s="88">
        <v>5</v>
      </c>
      <c r="AO25" s="85">
        <v>1</v>
      </c>
      <c r="AP25" s="86">
        <v>0</v>
      </c>
      <c r="AQ25" s="92">
        <f t="shared" si="42"/>
        <v>0</v>
      </c>
      <c r="AR25" s="93" t="str">
        <f t="shared" si="43"/>
        <v/>
      </c>
      <c r="AS25" s="93" t="str">
        <f t="shared" si="44"/>
        <v/>
      </c>
      <c r="AT25" s="50">
        <v>-10.698</v>
      </c>
      <c r="AU25" s="50">
        <v>0</v>
      </c>
      <c r="AV25" s="89">
        <v>-1</v>
      </c>
      <c r="AW25" s="50">
        <v>0</v>
      </c>
      <c r="AX25" s="85">
        <v>11</v>
      </c>
      <c r="AY25" s="86">
        <v>1</v>
      </c>
      <c r="AZ25" s="92">
        <f t="shared" si="45"/>
        <v>9.0909090909090912E-2</v>
      </c>
      <c r="BA25" s="93">
        <f t="shared" si="46"/>
        <v>1</v>
      </c>
      <c r="BB25" s="93">
        <f t="shared" si="47"/>
        <v>14.484</v>
      </c>
      <c r="BC25" s="86">
        <v>14.484</v>
      </c>
      <c r="BD25" s="86">
        <v>1.3180000000000001</v>
      </c>
      <c r="BE25" s="86">
        <v>1</v>
      </c>
      <c r="BF25" s="88">
        <v>1</v>
      </c>
      <c r="BG25" s="85"/>
      <c r="BH25" s="86"/>
      <c r="BI25" s="92" t="str">
        <f t="shared" si="48"/>
        <v/>
      </c>
      <c r="BJ25" s="93" t="str">
        <f t="shared" si="49"/>
        <v/>
      </c>
      <c r="BK25" s="93" t="str">
        <f t="shared" si="50"/>
        <v/>
      </c>
      <c r="BL25" s="86"/>
      <c r="BM25" s="86"/>
      <c r="BN25" s="86"/>
      <c r="BO25" s="86"/>
      <c r="BP25" s="86"/>
      <c r="BQ25" s="88"/>
      <c r="BR25" s="85">
        <f>'[3]MTD performance'!I42</f>
        <v>20</v>
      </c>
      <c r="BS25" s="86">
        <f>'[3]MTD performance'!J42</f>
        <v>12</v>
      </c>
      <c r="BT25" s="92">
        <f t="shared" si="51"/>
        <v>0.6</v>
      </c>
      <c r="BU25" s="93">
        <f t="shared" si="52"/>
        <v>0</v>
      </c>
      <c r="BV25" s="93">
        <f t="shared" si="53"/>
        <v>0</v>
      </c>
      <c r="BW25" s="86">
        <f>'[3]MTD performance'!H42/10^3</f>
        <v>210</v>
      </c>
      <c r="BX25" s="86"/>
      <c r="BY25" s="92">
        <f t="shared" si="54"/>
        <v>0</v>
      </c>
      <c r="BZ25" s="86"/>
      <c r="CA25" s="86"/>
      <c r="CB25" s="88"/>
      <c r="CC25" s="85">
        <f>'[3]MTD performance'!T42</f>
        <v>0</v>
      </c>
      <c r="CD25" s="86" t="e">
        <f>'[3]MTD performance'!U42</f>
        <v>#DIV/0!</v>
      </c>
      <c r="CE25" s="92" t="str">
        <f t="shared" si="55"/>
        <v/>
      </c>
      <c r="CF25" s="93" t="str">
        <f t="shared" si="56"/>
        <v/>
      </c>
      <c r="CG25" s="93" t="str">
        <f t="shared" si="57"/>
        <v/>
      </c>
      <c r="CH25" s="86" t="e">
        <f>'[3]MTD performance'!S42/10^3</f>
        <v>#DIV/0!</v>
      </c>
      <c r="CI25" s="86"/>
      <c r="CJ25" s="92" t="e">
        <f t="shared" si="58"/>
        <v>#DIV/0!</v>
      </c>
      <c r="CK25" s="86"/>
      <c r="CL25" s="86"/>
      <c r="CM25" s="88"/>
      <c r="CN25" s="85">
        <f>AX25</f>
        <v>11</v>
      </c>
      <c r="CO25" s="86">
        <f t="shared" si="28"/>
        <v>9</v>
      </c>
      <c r="CP25" s="92">
        <f t="shared" si="29"/>
        <v>0.33333333333333331</v>
      </c>
      <c r="CQ25" s="93">
        <f t="shared" si="59"/>
        <v>1.4444444444444444</v>
      </c>
      <c r="CR25" s="93">
        <f t="shared" si="60"/>
        <v>24.358333333333334</v>
      </c>
      <c r="CS25" s="86">
        <f t="shared" si="61"/>
        <v>219.22500000000002</v>
      </c>
      <c r="CT25" s="86">
        <f t="shared" si="61"/>
        <v>7.4160000000000004</v>
      </c>
      <c r="CU25" s="87">
        <f t="shared" si="61"/>
        <v>13</v>
      </c>
      <c r="CV25" s="90">
        <f t="shared" si="61"/>
        <v>11</v>
      </c>
    </row>
    <row r="26" spans="1:115" outlineLevel="1" x14ac:dyDescent="0.25">
      <c r="A26" s="53" t="s">
        <v>48</v>
      </c>
      <c r="B26" s="53" t="s">
        <v>99</v>
      </c>
      <c r="C26" s="54" t="s">
        <v>100</v>
      </c>
      <c r="D26" s="56" t="s">
        <v>73</v>
      </c>
      <c r="E26" s="65">
        <v>21</v>
      </c>
      <c r="F26" s="66">
        <v>14</v>
      </c>
      <c r="G26" s="94">
        <f t="shared" si="30"/>
        <v>0.66666666666666663</v>
      </c>
      <c r="H26" s="95">
        <f t="shared" si="31"/>
        <v>3.2857142857142856</v>
      </c>
      <c r="I26" s="95">
        <f t="shared" si="32"/>
        <v>67.249428571428567</v>
      </c>
      <c r="J26" s="66">
        <v>941.49199999999996</v>
      </c>
      <c r="K26" s="66">
        <v>19.817000000000004</v>
      </c>
      <c r="L26" s="67">
        <v>46</v>
      </c>
      <c r="M26" s="68">
        <v>33</v>
      </c>
      <c r="N26" s="65">
        <v>20</v>
      </c>
      <c r="O26" s="66">
        <v>15</v>
      </c>
      <c r="P26" s="94">
        <f t="shared" si="33"/>
        <v>0.75</v>
      </c>
      <c r="Q26" s="95">
        <f t="shared" si="34"/>
        <v>2.1333333333333333</v>
      </c>
      <c r="R26" s="95">
        <f t="shared" si="35"/>
        <v>46.517999999999994</v>
      </c>
      <c r="S26" s="66">
        <v>697.76999999999987</v>
      </c>
      <c r="T26" s="66">
        <v>8.4480000000000004</v>
      </c>
      <c r="U26" s="67">
        <v>32</v>
      </c>
      <c r="V26" s="68">
        <v>23</v>
      </c>
      <c r="W26" s="65">
        <v>19</v>
      </c>
      <c r="X26" s="66">
        <v>10</v>
      </c>
      <c r="Y26" s="94">
        <f t="shared" si="36"/>
        <v>0.52631578947368418</v>
      </c>
      <c r="Z26" s="95">
        <f t="shared" si="37"/>
        <v>2.2000000000000002</v>
      </c>
      <c r="AA26" s="95">
        <f t="shared" si="38"/>
        <v>47.271300000000004</v>
      </c>
      <c r="AB26" s="11">
        <v>472.71300000000002</v>
      </c>
      <c r="AC26" s="11">
        <v>15.195</v>
      </c>
      <c r="AD26" s="25">
        <v>22</v>
      </c>
      <c r="AE26" s="11">
        <v>28</v>
      </c>
      <c r="AF26" s="65">
        <v>17</v>
      </c>
      <c r="AG26" s="66">
        <v>10</v>
      </c>
      <c r="AH26" s="94">
        <f t="shared" si="39"/>
        <v>0.58823529411764708</v>
      </c>
      <c r="AI26" s="95">
        <f t="shared" si="40"/>
        <v>2</v>
      </c>
      <c r="AJ26" s="95">
        <f t="shared" si="41"/>
        <v>41.625900000000001</v>
      </c>
      <c r="AK26" s="66">
        <v>416.25900000000001</v>
      </c>
      <c r="AL26" s="66">
        <v>10.621</v>
      </c>
      <c r="AM26" s="67">
        <v>20</v>
      </c>
      <c r="AN26" s="68">
        <v>16</v>
      </c>
      <c r="AO26" s="65">
        <v>18</v>
      </c>
      <c r="AP26" s="66">
        <v>10</v>
      </c>
      <c r="AQ26" s="94">
        <f t="shared" si="42"/>
        <v>0.55555555555555558</v>
      </c>
      <c r="AR26" s="95">
        <f t="shared" si="43"/>
        <v>3.5</v>
      </c>
      <c r="AS26" s="95">
        <f t="shared" si="44"/>
        <v>63.345300000000009</v>
      </c>
      <c r="AT26" s="11">
        <v>633.45300000000009</v>
      </c>
      <c r="AU26" s="11">
        <v>5.4879999999999995</v>
      </c>
      <c r="AV26" s="25">
        <v>35</v>
      </c>
      <c r="AW26" s="11">
        <v>11</v>
      </c>
      <c r="AX26" s="65">
        <v>16</v>
      </c>
      <c r="AY26" s="66">
        <v>7</v>
      </c>
      <c r="AZ26" s="94">
        <f t="shared" si="45"/>
        <v>0.4375</v>
      </c>
      <c r="BA26" s="95">
        <f t="shared" si="46"/>
        <v>2.1428571428571428</v>
      </c>
      <c r="BB26" s="95">
        <f t="shared" si="47"/>
        <v>38.726999999999997</v>
      </c>
      <c r="BC26" s="66">
        <v>271.089</v>
      </c>
      <c r="BD26" s="66">
        <v>6.2289999999999992</v>
      </c>
      <c r="BE26" s="66">
        <v>15</v>
      </c>
      <c r="BF26" s="68">
        <v>12</v>
      </c>
      <c r="BG26" s="65"/>
      <c r="BH26" s="66"/>
      <c r="BI26" s="94" t="str">
        <f t="shared" si="48"/>
        <v/>
      </c>
      <c r="BJ26" s="95" t="str">
        <f t="shared" si="49"/>
        <v/>
      </c>
      <c r="BK26" s="95" t="str">
        <f t="shared" si="50"/>
        <v/>
      </c>
      <c r="BL26" s="66"/>
      <c r="BM26" s="66"/>
      <c r="BN26" s="66"/>
      <c r="BO26" s="66"/>
      <c r="BP26" s="66"/>
      <c r="BQ26" s="68"/>
      <c r="BR26" s="65">
        <f>'[3]MTD performance'!I43</f>
        <v>15</v>
      </c>
      <c r="BS26" s="66">
        <f>'[3]MTD performance'!J43</f>
        <v>14</v>
      </c>
      <c r="BT26" s="94">
        <f t="shared" si="51"/>
        <v>0.93333333333333335</v>
      </c>
      <c r="BU26" s="95" t="str">
        <f t="shared" si="52"/>
        <v/>
      </c>
      <c r="BV26" s="95" t="str">
        <f t="shared" si="53"/>
        <v/>
      </c>
      <c r="BW26" s="66">
        <f>'[3]MTD performance'!H43/10^3</f>
        <v>210</v>
      </c>
      <c r="BX26" s="66" t="e">
        <f>#REF!+#REF!</f>
        <v>#REF!</v>
      </c>
      <c r="BY26" s="138" t="e">
        <f t="shared" si="54"/>
        <v>#REF!</v>
      </c>
      <c r="BZ26" s="66" t="e">
        <f>#REF!</f>
        <v>#REF!</v>
      </c>
      <c r="CA26" s="66" t="e">
        <f>+#REF!+#REF!</f>
        <v>#REF!</v>
      </c>
      <c r="CB26" s="68">
        <v>3</v>
      </c>
      <c r="CC26" s="65">
        <f>'[3]MTD performance'!T43</f>
        <v>0</v>
      </c>
      <c r="CD26" s="66" t="e">
        <f>'[3]MTD performance'!U43</f>
        <v>#DIV/0!</v>
      </c>
      <c r="CE26" s="94" t="str">
        <f t="shared" si="55"/>
        <v/>
      </c>
      <c r="CF26" s="95" t="str">
        <f t="shared" si="56"/>
        <v/>
      </c>
      <c r="CG26" s="95" t="str">
        <f t="shared" si="57"/>
        <v/>
      </c>
      <c r="CH26" s="66" t="e">
        <f>'[3]MTD performance'!S43/10^3</f>
        <v>#DIV/0!</v>
      </c>
      <c r="CI26" s="66" t="e">
        <f>#REF!+#REF!</f>
        <v>#REF!</v>
      </c>
      <c r="CJ26" s="138" t="e">
        <f t="shared" si="58"/>
        <v>#DIV/0!</v>
      </c>
      <c r="CK26" s="66" t="e">
        <f>#REF!</f>
        <v>#REF!</v>
      </c>
      <c r="CL26" s="66" t="e">
        <f>+#REF!+#REF!</f>
        <v>#REF!</v>
      </c>
      <c r="CM26" s="68">
        <v>3</v>
      </c>
      <c r="CN26" s="65">
        <f>AX26</f>
        <v>16</v>
      </c>
      <c r="CO26" s="66">
        <f t="shared" si="28"/>
        <v>66</v>
      </c>
      <c r="CP26" s="94">
        <f t="shared" si="29"/>
        <v>0.59459459459459463</v>
      </c>
      <c r="CQ26" s="95">
        <f t="shared" si="59"/>
        <v>2.5757575757575757</v>
      </c>
      <c r="CR26" s="95">
        <f t="shared" si="60"/>
        <v>52.011757575757571</v>
      </c>
      <c r="CS26" s="66">
        <f t="shared" si="61"/>
        <v>3432.7759999999998</v>
      </c>
      <c r="CT26" s="66">
        <f t="shared" si="61"/>
        <v>65.798000000000002</v>
      </c>
      <c r="CU26" s="67">
        <f t="shared" si="61"/>
        <v>170</v>
      </c>
      <c r="CV26" s="73">
        <f t="shared" si="61"/>
        <v>123</v>
      </c>
    </row>
    <row r="27" spans="1:115" outlineLevel="1" x14ac:dyDescent="0.25">
      <c r="A27" s="53" t="s">
        <v>48</v>
      </c>
      <c r="B27" s="53" t="s">
        <v>99</v>
      </c>
      <c r="C27" s="54" t="s">
        <v>100</v>
      </c>
      <c r="D27" s="56" t="s">
        <v>177</v>
      </c>
      <c r="E27" s="65"/>
      <c r="F27" s="66"/>
      <c r="G27" s="94"/>
      <c r="H27" s="95"/>
      <c r="I27" s="95"/>
      <c r="J27" s="66"/>
      <c r="K27" s="66"/>
      <c r="L27" s="67"/>
      <c r="M27" s="68"/>
      <c r="N27" s="65"/>
      <c r="O27" s="66"/>
      <c r="P27" s="94"/>
      <c r="Q27" s="95"/>
      <c r="R27" s="95"/>
      <c r="S27" s="66"/>
      <c r="T27" s="66"/>
      <c r="U27" s="67"/>
      <c r="V27" s="68"/>
      <c r="W27" s="65"/>
      <c r="X27" s="66"/>
      <c r="Y27" s="94"/>
      <c r="Z27" s="95"/>
      <c r="AA27" s="95"/>
      <c r="AB27" s="11"/>
      <c r="AC27" s="11"/>
      <c r="AD27" s="25"/>
      <c r="AE27" s="11"/>
      <c r="AF27" s="65"/>
      <c r="AG27" s="66"/>
      <c r="AH27" s="94"/>
      <c r="AI27" s="95"/>
      <c r="AJ27" s="95"/>
      <c r="AK27" s="66"/>
      <c r="AL27" s="66"/>
      <c r="AM27" s="67"/>
      <c r="AN27" s="68"/>
      <c r="AO27" s="65"/>
      <c r="AP27" s="66"/>
      <c r="AQ27" s="94"/>
      <c r="AR27" s="95"/>
      <c r="AS27" s="95"/>
      <c r="AT27" s="11"/>
      <c r="AU27" s="11"/>
      <c r="AV27" s="25"/>
      <c r="AW27" s="11"/>
      <c r="AX27" s="65"/>
      <c r="AY27" s="66"/>
      <c r="AZ27" s="94"/>
      <c r="BA27" s="95"/>
      <c r="BB27" s="95"/>
      <c r="BC27" s="66"/>
      <c r="BD27" s="66"/>
      <c r="BE27" s="66"/>
      <c r="BF27" s="68"/>
      <c r="BG27" s="65"/>
      <c r="BH27" s="66"/>
      <c r="BI27" s="94"/>
      <c r="BJ27" s="95"/>
      <c r="BK27" s="95"/>
      <c r="BL27" s="66"/>
      <c r="BM27" s="66"/>
      <c r="BN27" s="66"/>
      <c r="BO27" s="66"/>
      <c r="BP27" s="66"/>
      <c r="BQ27" s="68"/>
      <c r="BR27" s="65"/>
      <c r="BS27" s="66"/>
      <c r="BT27" s="94"/>
      <c r="BU27" s="95"/>
      <c r="BV27" s="95"/>
      <c r="BW27" s="66"/>
      <c r="BX27" s="66" t="e">
        <f>#REF!</f>
        <v>#REF!</v>
      </c>
      <c r="BY27" s="138" t="str">
        <f t="shared" si="54"/>
        <v/>
      </c>
      <c r="BZ27" s="66" t="e">
        <f>#REF!</f>
        <v>#REF!</v>
      </c>
      <c r="CA27" s="66">
        <v>17</v>
      </c>
      <c r="CB27" s="68">
        <v>16</v>
      </c>
      <c r="CC27" s="65"/>
      <c r="CD27" s="66"/>
      <c r="CE27" s="94"/>
      <c r="CF27" s="95"/>
      <c r="CG27" s="95"/>
      <c r="CH27" s="66"/>
      <c r="CI27" s="66" t="e">
        <f>#REF!</f>
        <v>#REF!</v>
      </c>
      <c r="CJ27" s="138" t="str">
        <f t="shared" si="58"/>
        <v/>
      </c>
      <c r="CK27" s="66" t="e">
        <f>#REF!</f>
        <v>#REF!</v>
      </c>
      <c r="CL27" s="66">
        <v>17</v>
      </c>
      <c r="CM27" s="68">
        <v>16</v>
      </c>
      <c r="CN27" s="65"/>
      <c r="CO27" s="66"/>
      <c r="CP27" s="94"/>
      <c r="CQ27" s="95"/>
      <c r="CR27" s="95"/>
      <c r="CS27" s="66"/>
      <c r="CT27" s="66"/>
      <c r="CU27" s="67"/>
      <c r="CV27" s="73"/>
    </row>
    <row r="28" spans="1:115" outlineLevel="1" x14ac:dyDescent="0.25">
      <c r="A28" s="53" t="s">
        <v>48</v>
      </c>
      <c r="B28" s="53" t="s">
        <v>99</v>
      </c>
      <c r="C28" s="54" t="s">
        <v>100</v>
      </c>
      <c r="D28" s="56" t="s">
        <v>178</v>
      </c>
      <c r="E28" s="65"/>
      <c r="F28" s="66"/>
      <c r="G28" s="94"/>
      <c r="H28" s="95"/>
      <c r="I28" s="95"/>
      <c r="J28" s="66"/>
      <c r="K28" s="66"/>
      <c r="L28" s="67"/>
      <c r="M28" s="68"/>
      <c r="N28" s="65"/>
      <c r="O28" s="66"/>
      <c r="P28" s="94"/>
      <c r="Q28" s="95"/>
      <c r="R28" s="95"/>
      <c r="S28" s="66"/>
      <c r="T28" s="66"/>
      <c r="U28" s="67"/>
      <c r="V28" s="68"/>
      <c r="W28" s="65"/>
      <c r="X28" s="66"/>
      <c r="Y28" s="94"/>
      <c r="Z28" s="95"/>
      <c r="AA28" s="95"/>
      <c r="AB28" s="11"/>
      <c r="AC28" s="11"/>
      <c r="AD28" s="25"/>
      <c r="AE28" s="11"/>
      <c r="AF28" s="65"/>
      <c r="AG28" s="66"/>
      <c r="AH28" s="94"/>
      <c r="AI28" s="95"/>
      <c r="AJ28" s="95"/>
      <c r="AK28" s="66"/>
      <c r="AL28" s="66"/>
      <c r="AM28" s="67"/>
      <c r="AN28" s="68"/>
      <c r="AO28" s="65"/>
      <c r="AP28" s="66"/>
      <c r="AQ28" s="94"/>
      <c r="AR28" s="95"/>
      <c r="AS28" s="95"/>
      <c r="AT28" s="11"/>
      <c r="AU28" s="11"/>
      <c r="AV28" s="25"/>
      <c r="AW28" s="11"/>
      <c r="AX28" s="65"/>
      <c r="AY28" s="66"/>
      <c r="AZ28" s="94"/>
      <c r="BA28" s="95"/>
      <c r="BB28" s="95"/>
      <c r="BC28" s="66"/>
      <c r="BD28" s="66"/>
      <c r="BE28" s="66"/>
      <c r="BF28" s="68"/>
      <c r="BG28" s="65"/>
      <c r="BH28" s="66"/>
      <c r="BI28" s="94"/>
      <c r="BJ28" s="95"/>
      <c r="BK28" s="95"/>
      <c r="BL28" s="66"/>
      <c r="BM28" s="66"/>
      <c r="BN28" s="66"/>
      <c r="BO28" s="66"/>
      <c r="BP28" s="66"/>
      <c r="BQ28" s="68"/>
      <c r="BR28" s="65"/>
      <c r="BS28" s="66"/>
      <c r="BT28" s="94"/>
      <c r="BU28" s="95"/>
      <c r="BV28" s="95"/>
      <c r="BW28" s="66"/>
      <c r="BX28" s="66" t="e">
        <f>#REF!</f>
        <v>#REF!</v>
      </c>
      <c r="BY28" s="138" t="str">
        <f t="shared" si="54"/>
        <v/>
      </c>
      <c r="BZ28" s="66" t="e">
        <f>#REF!</f>
        <v>#REF!</v>
      </c>
      <c r="CA28" s="66">
        <v>13</v>
      </c>
      <c r="CB28" s="68">
        <v>10</v>
      </c>
      <c r="CC28" s="65"/>
      <c r="CD28" s="66"/>
      <c r="CE28" s="94"/>
      <c r="CF28" s="95"/>
      <c r="CG28" s="95"/>
      <c r="CH28" s="66"/>
      <c r="CI28" s="66" t="e">
        <f>#REF!</f>
        <v>#REF!</v>
      </c>
      <c r="CJ28" s="138" t="str">
        <f t="shared" si="58"/>
        <v/>
      </c>
      <c r="CK28" s="66" t="e">
        <f>#REF!</f>
        <v>#REF!</v>
      </c>
      <c r="CL28" s="66">
        <v>13</v>
      </c>
      <c r="CM28" s="68">
        <v>10</v>
      </c>
      <c r="CN28" s="65"/>
      <c r="CO28" s="66"/>
      <c r="CP28" s="94"/>
      <c r="CQ28" s="95"/>
      <c r="CR28" s="95"/>
      <c r="CS28" s="66"/>
      <c r="CT28" s="66"/>
      <c r="CU28" s="67"/>
      <c r="CV28" s="73"/>
    </row>
    <row r="29" spans="1:115" outlineLevel="1" x14ac:dyDescent="0.25">
      <c r="A29" s="53" t="s">
        <v>48</v>
      </c>
      <c r="B29" s="53" t="s">
        <v>99</v>
      </c>
      <c r="C29" s="54" t="s">
        <v>100</v>
      </c>
      <c r="D29" s="56" t="s">
        <v>74</v>
      </c>
      <c r="E29" s="65">
        <v>20</v>
      </c>
      <c r="F29" s="66">
        <v>14</v>
      </c>
      <c r="G29" s="94">
        <f t="shared" si="30"/>
        <v>0.7</v>
      </c>
      <c r="H29" s="95">
        <f t="shared" si="31"/>
        <v>2.1428571428571428</v>
      </c>
      <c r="I29" s="95">
        <f t="shared" si="32"/>
        <v>33.053642857142854</v>
      </c>
      <c r="J29" s="66">
        <v>462.75099999999998</v>
      </c>
      <c r="K29" s="66">
        <v>8.2809999999999988</v>
      </c>
      <c r="L29" s="67">
        <v>30</v>
      </c>
      <c r="M29" s="68">
        <v>21</v>
      </c>
      <c r="N29" s="65">
        <v>18</v>
      </c>
      <c r="O29" s="66">
        <v>9</v>
      </c>
      <c r="P29" s="94">
        <f t="shared" si="33"/>
        <v>0.5</v>
      </c>
      <c r="Q29" s="95">
        <f t="shared" si="34"/>
        <v>1.1111111111111112</v>
      </c>
      <c r="R29" s="95">
        <f t="shared" si="35"/>
        <v>11.781333333333338</v>
      </c>
      <c r="S29" s="66">
        <v>106.03200000000004</v>
      </c>
      <c r="T29" s="66">
        <v>3.4390000000000005</v>
      </c>
      <c r="U29" s="67">
        <v>10</v>
      </c>
      <c r="V29" s="68">
        <v>8</v>
      </c>
      <c r="W29" s="65">
        <v>17</v>
      </c>
      <c r="X29" s="66">
        <v>12</v>
      </c>
      <c r="Y29" s="94">
        <f t="shared" si="36"/>
        <v>0.70588235294117652</v>
      </c>
      <c r="Z29" s="95">
        <f t="shared" si="37"/>
        <v>1.5</v>
      </c>
      <c r="AA29" s="95">
        <f t="shared" si="38"/>
        <v>22.016833333333334</v>
      </c>
      <c r="AB29" s="11">
        <v>264.202</v>
      </c>
      <c r="AC29" s="11">
        <v>7.327</v>
      </c>
      <c r="AD29" s="25">
        <v>18</v>
      </c>
      <c r="AE29" s="11">
        <v>16</v>
      </c>
      <c r="AF29" s="65">
        <v>15</v>
      </c>
      <c r="AG29" s="66">
        <v>7</v>
      </c>
      <c r="AH29" s="94">
        <f t="shared" si="39"/>
        <v>0.46666666666666667</v>
      </c>
      <c r="AI29" s="95">
        <f t="shared" si="40"/>
        <v>2.2857142857142856</v>
      </c>
      <c r="AJ29" s="95">
        <f t="shared" si="41"/>
        <v>33.844142857142856</v>
      </c>
      <c r="AK29" s="66">
        <v>236.90899999999999</v>
      </c>
      <c r="AL29" s="66">
        <v>9.4879999999999995</v>
      </c>
      <c r="AM29" s="67">
        <v>16</v>
      </c>
      <c r="AN29" s="68">
        <v>17</v>
      </c>
      <c r="AO29" s="65">
        <v>14</v>
      </c>
      <c r="AP29" s="66">
        <v>8</v>
      </c>
      <c r="AQ29" s="94">
        <f t="shared" si="42"/>
        <v>0.5714285714285714</v>
      </c>
      <c r="AR29" s="95">
        <f t="shared" si="43"/>
        <v>1.25</v>
      </c>
      <c r="AS29" s="95">
        <f t="shared" si="44"/>
        <v>24.809624999999997</v>
      </c>
      <c r="AT29" s="11">
        <v>198.47699999999998</v>
      </c>
      <c r="AU29" s="11">
        <v>5.0880000000000001</v>
      </c>
      <c r="AV29" s="25">
        <v>10</v>
      </c>
      <c r="AW29" s="11">
        <v>9</v>
      </c>
      <c r="AX29" s="65">
        <v>12</v>
      </c>
      <c r="AY29" s="66">
        <v>6</v>
      </c>
      <c r="AZ29" s="94">
        <f t="shared" si="45"/>
        <v>0.5</v>
      </c>
      <c r="BA29" s="95">
        <f t="shared" si="46"/>
        <v>1</v>
      </c>
      <c r="BB29" s="95">
        <f t="shared" si="47"/>
        <v>5.6555</v>
      </c>
      <c r="BC29" s="66">
        <v>33.933</v>
      </c>
      <c r="BD29" s="66">
        <v>7.05</v>
      </c>
      <c r="BE29" s="66">
        <v>6</v>
      </c>
      <c r="BF29" s="68">
        <v>12</v>
      </c>
      <c r="BG29" s="65"/>
      <c r="BH29" s="66"/>
      <c r="BI29" s="94" t="str">
        <f t="shared" si="48"/>
        <v/>
      </c>
      <c r="BJ29" s="95" t="str">
        <f t="shared" si="49"/>
        <v/>
      </c>
      <c r="BK29" s="95" t="str">
        <f t="shared" si="50"/>
        <v/>
      </c>
      <c r="BL29" s="66"/>
      <c r="BM29" s="66"/>
      <c r="BN29" s="66"/>
      <c r="BO29" s="66"/>
      <c r="BP29" s="66"/>
      <c r="BQ29" s="68"/>
      <c r="BR29" s="65">
        <f>'[3]MTD performance'!I44</f>
        <v>17</v>
      </c>
      <c r="BS29" s="66">
        <f>'[3]MTD performance'!J44</f>
        <v>11</v>
      </c>
      <c r="BT29" s="94">
        <f t="shared" si="51"/>
        <v>0.6470588235294118</v>
      </c>
      <c r="BU29" s="95">
        <f t="shared" si="52"/>
        <v>9.0909090909090912E-2</v>
      </c>
      <c r="BV29" s="95" t="str">
        <f t="shared" si="53"/>
        <v/>
      </c>
      <c r="BW29" s="66">
        <f>'[3]MTD performance'!H44/10^3</f>
        <v>125</v>
      </c>
      <c r="BX29" s="66" t="e">
        <f>SUM(#REF!,#REF!)</f>
        <v>#REF!</v>
      </c>
      <c r="BY29" s="138" t="e">
        <f t="shared" si="54"/>
        <v>#REF!</v>
      </c>
      <c r="BZ29" s="66"/>
      <c r="CA29" s="66">
        <v>1</v>
      </c>
      <c r="CB29" s="68"/>
      <c r="CC29" s="65">
        <f>'[3]MTD performance'!T44</f>
        <v>0</v>
      </c>
      <c r="CD29" s="66" t="e">
        <f>'[3]MTD performance'!U44</f>
        <v>#DIV/0!</v>
      </c>
      <c r="CE29" s="94" t="str">
        <f t="shared" ref="CE29:CE31" si="62">IFERROR(CD29/CC29,"")</f>
        <v/>
      </c>
      <c r="CF29" s="95" t="str">
        <f t="shared" ref="CF29:CF31" si="63">IFERROR(CL29/CD29,"")</f>
        <v/>
      </c>
      <c r="CG29" s="95" t="str">
        <f t="shared" ref="CG29:CG31" si="64">IFERROR(CI29/CD29,"")</f>
        <v/>
      </c>
      <c r="CH29" s="66" t="e">
        <f>'[3]MTD performance'!S44/10^3</f>
        <v>#DIV/0!</v>
      </c>
      <c r="CI29" s="66" t="e">
        <f>SUM(#REF!,#REF!)</f>
        <v>#REF!</v>
      </c>
      <c r="CJ29" s="138" t="e">
        <f t="shared" si="58"/>
        <v>#DIV/0!</v>
      </c>
      <c r="CK29" s="66"/>
      <c r="CL29" s="66">
        <v>1</v>
      </c>
      <c r="CM29" s="68"/>
      <c r="CN29" s="65">
        <f>AX29</f>
        <v>12</v>
      </c>
      <c r="CO29" s="66">
        <f t="shared" si="28"/>
        <v>56</v>
      </c>
      <c r="CP29" s="94">
        <f t="shared" si="29"/>
        <v>0.58333333333333337</v>
      </c>
      <c r="CQ29" s="95">
        <f t="shared" si="59"/>
        <v>1.6071428571428572</v>
      </c>
      <c r="CR29" s="95">
        <f t="shared" si="60"/>
        <v>23.255428571428574</v>
      </c>
      <c r="CS29" s="66">
        <f t="shared" si="61"/>
        <v>1302.3040000000001</v>
      </c>
      <c r="CT29" s="66">
        <f t="shared" si="61"/>
        <v>40.672999999999995</v>
      </c>
      <c r="CU29" s="67">
        <f t="shared" si="61"/>
        <v>90</v>
      </c>
      <c r="CV29" s="73">
        <f t="shared" si="61"/>
        <v>83</v>
      </c>
    </row>
    <row r="30" spans="1:115" outlineLevel="1" x14ac:dyDescent="0.25">
      <c r="A30" s="53" t="s">
        <v>48</v>
      </c>
      <c r="B30" s="53" t="s">
        <v>99</v>
      </c>
      <c r="C30" s="54" t="s">
        <v>100</v>
      </c>
      <c r="D30" s="56" t="s">
        <v>75</v>
      </c>
      <c r="E30" s="65">
        <v>14</v>
      </c>
      <c r="F30" s="66">
        <v>5</v>
      </c>
      <c r="G30" s="94">
        <f t="shared" si="30"/>
        <v>0.35714285714285715</v>
      </c>
      <c r="H30" s="95">
        <f t="shared" si="31"/>
        <v>1.4</v>
      </c>
      <c r="I30" s="95">
        <f t="shared" si="32"/>
        <v>28.062999999999999</v>
      </c>
      <c r="J30" s="66">
        <v>140.315</v>
      </c>
      <c r="K30" s="66">
        <v>1.0469999999999999</v>
      </c>
      <c r="L30" s="67">
        <v>7</v>
      </c>
      <c r="M30" s="68">
        <v>2</v>
      </c>
      <c r="N30" s="65">
        <v>14</v>
      </c>
      <c r="O30" s="66">
        <v>4</v>
      </c>
      <c r="P30" s="94">
        <f t="shared" si="33"/>
        <v>0.2857142857142857</v>
      </c>
      <c r="Q30" s="95">
        <f t="shared" si="34"/>
        <v>1.25</v>
      </c>
      <c r="R30" s="95">
        <f t="shared" si="35"/>
        <v>14.83925</v>
      </c>
      <c r="S30" s="66">
        <v>59.356999999999999</v>
      </c>
      <c r="T30" s="66">
        <v>3.7629999999999999</v>
      </c>
      <c r="U30" s="67">
        <v>5</v>
      </c>
      <c r="V30" s="68">
        <v>8</v>
      </c>
      <c r="W30" s="65">
        <v>12</v>
      </c>
      <c r="X30" s="66">
        <v>5</v>
      </c>
      <c r="Y30" s="94">
        <f t="shared" si="36"/>
        <v>0.41666666666666669</v>
      </c>
      <c r="Z30" s="95">
        <f t="shared" si="37"/>
        <v>1.4</v>
      </c>
      <c r="AA30" s="95">
        <f t="shared" si="38"/>
        <v>17.758000000000003</v>
      </c>
      <c r="AB30" s="11">
        <v>88.79</v>
      </c>
      <c r="AC30" s="11">
        <v>1.9420000000000002</v>
      </c>
      <c r="AD30" s="25">
        <v>7</v>
      </c>
      <c r="AE30" s="11">
        <v>6</v>
      </c>
      <c r="AF30" s="65">
        <v>12</v>
      </c>
      <c r="AG30" s="66">
        <v>3</v>
      </c>
      <c r="AH30" s="94">
        <f t="shared" si="39"/>
        <v>0.25</v>
      </c>
      <c r="AI30" s="95">
        <f t="shared" si="40"/>
        <v>1.3333333333333333</v>
      </c>
      <c r="AJ30" s="95">
        <f t="shared" si="41"/>
        <v>25.192000000000004</v>
      </c>
      <c r="AK30" s="66">
        <v>75.576000000000008</v>
      </c>
      <c r="AL30" s="66">
        <v>0.63</v>
      </c>
      <c r="AM30" s="67">
        <v>4</v>
      </c>
      <c r="AN30" s="68">
        <v>2</v>
      </c>
      <c r="AO30" s="65">
        <v>11</v>
      </c>
      <c r="AP30" s="66">
        <v>1</v>
      </c>
      <c r="AQ30" s="94">
        <f t="shared" si="42"/>
        <v>9.0909090909090912E-2</v>
      </c>
      <c r="AR30" s="95">
        <f t="shared" si="43"/>
        <v>1</v>
      </c>
      <c r="AS30" s="95">
        <f t="shared" si="44"/>
        <v>5.5489999999999995</v>
      </c>
      <c r="AT30" s="11">
        <v>5.5489999999999995</v>
      </c>
      <c r="AU30" s="11">
        <v>0</v>
      </c>
      <c r="AV30" s="25">
        <v>1</v>
      </c>
      <c r="AW30" s="11">
        <v>0</v>
      </c>
      <c r="AX30" s="65">
        <v>7</v>
      </c>
      <c r="AY30" s="66">
        <v>1</v>
      </c>
      <c r="AZ30" s="94">
        <f t="shared" si="45"/>
        <v>0.14285714285714285</v>
      </c>
      <c r="BA30" s="95">
        <f t="shared" si="46"/>
        <v>0</v>
      </c>
      <c r="BB30" s="95">
        <f t="shared" si="47"/>
        <v>0.37800000000000011</v>
      </c>
      <c r="BC30" s="66">
        <v>0.37800000000000011</v>
      </c>
      <c r="BD30" s="66">
        <v>1.0760000000000001</v>
      </c>
      <c r="BE30" s="66">
        <v>0</v>
      </c>
      <c r="BF30" s="68">
        <v>1</v>
      </c>
      <c r="BG30" s="65"/>
      <c r="BH30" s="66"/>
      <c r="BI30" s="94" t="str">
        <f t="shared" si="48"/>
        <v/>
      </c>
      <c r="BJ30" s="95" t="str">
        <f t="shared" si="49"/>
        <v/>
      </c>
      <c r="BK30" s="95" t="str">
        <f t="shared" si="50"/>
        <v/>
      </c>
      <c r="BL30" s="66"/>
      <c r="BM30" s="66"/>
      <c r="BN30" s="66"/>
      <c r="BO30" s="66"/>
      <c r="BP30" s="66"/>
      <c r="BQ30" s="68"/>
      <c r="BR30" s="65">
        <f>'[3]MTD performance'!I45</f>
        <v>22</v>
      </c>
      <c r="BS30" s="66">
        <f>'[3]MTD performance'!J45</f>
        <v>5</v>
      </c>
      <c r="BT30" s="94">
        <f t="shared" si="51"/>
        <v>0.22727272727272727</v>
      </c>
      <c r="BU30" s="95">
        <f t="shared" si="52"/>
        <v>0</v>
      </c>
      <c r="BV30" s="95" t="str">
        <f t="shared" si="53"/>
        <v/>
      </c>
      <c r="BW30" s="66">
        <f>'[3]MTD performance'!H45/10^3</f>
        <v>100</v>
      </c>
      <c r="BX30" s="66" t="e">
        <f>#REF!</f>
        <v>#REF!</v>
      </c>
      <c r="BY30" s="138" t="e">
        <f t="shared" si="54"/>
        <v>#REF!</v>
      </c>
      <c r="BZ30" s="66" t="e">
        <f>#REF!</f>
        <v>#REF!</v>
      </c>
      <c r="CA30" s="66"/>
      <c r="CB30" s="68">
        <v>7</v>
      </c>
      <c r="CC30" s="65">
        <f>'[3]MTD performance'!T45</f>
        <v>0</v>
      </c>
      <c r="CD30" s="66" t="e">
        <f>'[3]MTD performance'!U45</f>
        <v>#DIV/0!</v>
      </c>
      <c r="CE30" s="94" t="str">
        <f t="shared" si="62"/>
        <v/>
      </c>
      <c r="CF30" s="95" t="str">
        <f t="shared" si="63"/>
        <v/>
      </c>
      <c r="CG30" s="95" t="str">
        <f t="shared" si="64"/>
        <v/>
      </c>
      <c r="CH30" s="66" t="e">
        <f>'[3]MTD performance'!S45/10^3</f>
        <v>#DIV/0!</v>
      </c>
      <c r="CI30" s="66" t="e">
        <f>#REF!</f>
        <v>#REF!</v>
      </c>
      <c r="CJ30" s="138" t="e">
        <f t="shared" si="58"/>
        <v>#DIV/0!</v>
      </c>
      <c r="CK30" s="66" t="e">
        <f>#REF!</f>
        <v>#REF!</v>
      </c>
      <c r="CL30" s="66"/>
      <c r="CM30" s="68">
        <v>7</v>
      </c>
      <c r="CN30" s="65">
        <f>AX30</f>
        <v>7</v>
      </c>
      <c r="CO30" s="66">
        <f t="shared" si="28"/>
        <v>19</v>
      </c>
      <c r="CP30" s="94">
        <f t="shared" si="29"/>
        <v>0.27142857142857141</v>
      </c>
      <c r="CQ30" s="95">
        <f t="shared" si="59"/>
        <v>1.263157894736842</v>
      </c>
      <c r="CR30" s="95">
        <f t="shared" si="60"/>
        <v>19.471842105263157</v>
      </c>
      <c r="CS30" s="66">
        <f t="shared" si="61"/>
        <v>369.96499999999997</v>
      </c>
      <c r="CT30" s="66">
        <f t="shared" si="61"/>
        <v>8.4580000000000002</v>
      </c>
      <c r="CU30" s="67">
        <f t="shared" si="61"/>
        <v>24</v>
      </c>
      <c r="CV30" s="73">
        <f t="shared" si="61"/>
        <v>19</v>
      </c>
    </row>
    <row r="31" spans="1:115" s="9" customFormat="1" outlineLevel="1" x14ac:dyDescent="0.25">
      <c r="A31" s="61" t="s">
        <v>106</v>
      </c>
      <c r="B31" s="62"/>
      <c r="C31" s="62"/>
      <c r="D31" s="63"/>
      <c r="E31" s="71">
        <f>SUM(E23:E30)</f>
        <v>78</v>
      </c>
      <c r="F31" s="64">
        <f>SUM(F23:F30)</f>
        <v>45</v>
      </c>
      <c r="G31" s="123">
        <f t="shared" si="30"/>
        <v>0.57692307692307687</v>
      </c>
      <c r="H31" s="124">
        <f t="shared" si="31"/>
        <v>2.2666666666666666</v>
      </c>
      <c r="I31" s="124">
        <f t="shared" si="32"/>
        <v>43.188288888888891</v>
      </c>
      <c r="J31" s="64">
        <f>SUM(J23:J30)</f>
        <v>1943.473</v>
      </c>
      <c r="K31" s="64">
        <f>SUM(K23:K30)</f>
        <v>43.923999999999999</v>
      </c>
      <c r="L31" s="64">
        <f>SUM(L23:L30)</f>
        <v>102</v>
      </c>
      <c r="M31" s="72">
        <f>SUM(M23:M30)</f>
        <v>74</v>
      </c>
      <c r="N31" s="71">
        <v>76</v>
      </c>
      <c r="O31" s="64">
        <v>38</v>
      </c>
      <c r="P31" s="123">
        <f t="shared" si="33"/>
        <v>0.5</v>
      </c>
      <c r="Q31" s="124">
        <f t="shared" si="34"/>
        <v>1.5</v>
      </c>
      <c r="R31" s="124">
        <f t="shared" si="35"/>
        <v>28.183842105263153</v>
      </c>
      <c r="S31" s="64">
        <f>SUM(S23:S30)</f>
        <v>1070.9859999999999</v>
      </c>
      <c r="T31" s="64">
        <f>SUM(T23:T30)</f>
        <v>12.255000000000001</v>
      </c>
      <c r="U31" s="64">
        <f>SUM(U23:U30)</f>
        <v>57</v>
      </c>
      <c r="V31" s="72">
        <f>SUM(V23:V30)</f>
        <v>41</v>
      </c>
      <c r="W31" s="71">
        <v>68</v>
      </c>
      <c r="X31" s="64">
        <v>38</v>
      </c>
      <c r="Y31" s="123">
        <f t="shared" si="36"/>
        <v>0.55882352941176472</v>
      </c>
      <c r="Z31" s="124">
        <f t="shared" si="37"/>
        <v>1.8157894736842106</v>
      </c>
      <c r="AA31" s="124">
        <f t="shared" si="38"/>
        <v>33.188026315789472</v>
      </c>
      <c r="AB31" s="64">
        <f>SUM(AB23:AB30)</f>
        <v>1261.145</v>
      </c>
      <c r="AC31" s="64">
        <f>SUM(AC23:AC30)</f>
        <v>30.037999999999997</v>
      </c>
      <c r="AD31" s="64">
        <f>SUM(AD23:AD30)</f>
        <v>69</v>
      </c>
      <c r="AE31" s="64">
        <f>SUM(AE23:AE30)</f>
        <v>65</v>
      </c>
      <c r="AF31" s="71">
        <v>58</v>
      </c>
      <c r="AG31" s="64">
        <v>26</v>
      </c>
      <c r="AH31" s="123">
        <f t="shared" si="39"/>
        <v>0.44827586206896552</v>
      </c>
      <c r="AI31" s="124">
        <f t="shared" si="40"/>
        <v>1.8846153846153846</v>
      </c>
      <c r="AJ31" s="124">
        <f t="shared" si="41"/>
        <v>34.093346153846156</v>
      </c>
      <c r="AK31" s="64">
        <f>SUM(AK23:AK30)</f>
        <v>886.42700000000002</v>
      </c>
      <c r="AL31" s="64">
        <f>SUM(AL23:AL30)</f>
        <v>26.114999999999998</v>
      </c>
      <c r="AM31" s="64">
        <f>SUM(AM23:AM30)</f>
        <v>49</v>
      </c>
      <c r="AN31" s="72">
        <f>SUM(AN23:AN30)</f>
        <v>44</v>
      </c>
      <c r="AO31" s="71">
        <v>53</v>
      </c>
      <c r="AP31" s="64">
        <v>22</v>
      </c>
      <c r="AQ31" s="123">
        <f t="shared" si="42"/>
        <v>0.41509433962264153</v>
      </c>
      <c r="AR31" s="124">
        <f t="shared" si="43"/>
        <v>2.4545454545454546</v>
      </c>
      <c r="AS31" s="124">
        <f t="shared" si="44"/>
        <v>44.503500000000003</v>
      </c>
      <c r="AT31" s="64">
        <f>SUM(AT23:AT30)</f>
        <v>979.077</v>
      </c>
      <c r="AU31" s="64">
        <f>SUM(AU23:AU30)</f>
        <v>13.488</v>
      </c>
      <c r="AV31" s="64">
        <f>SUM(AV23:AV30)</f>
        <v>54</v>
      </c>
      <c r="AW31" s="64">
        <f>SUM(AW23:AW30)</f>
        <v>29</v>
      </c>
      <c r="AX31" s="71">
        <v>54</v>
      </c>
      <c r="AY31" s="64">
        <v>17</v>
      </c>
      <c r="AZ31" s="123">
        <f t="shared" si="45"/>
        <v>0.31481481481481483</v>
      </c>
      <c r="BA31" s="124">
        <f t="shared" si="46"/>
        <v>1.5294117647058822</v>
      </c>
      <c r="BB31" s="124">
        <f t="shared" si="47"/>
        <v>24.07582352941176</v>
      </c>
      <c r="BC31" s="64">
        <f>SUM(BC23:BC30)</f>
        <v>409.28899999999993</v>
      </c>
      <c r="BD31" s="64">
        <f>SUM(BD23:BD30)</f>
        <v>18.899999999999999</v>
      </c>
      <c r="BE31" s="64">
        <f>SUM(BE23:BE30)</f>
        <v>26</v>
      </c>
      <c r="BF31" s="72">
        <f>SUM(BF23:BF30)</f>
        <v>30</v>
      </c>
      <c r="BG31" s="71"/>
      <c r="BH31" s="64"/>
      <c r="BI31" s="123" t="str">
        <f t="shared" si="48"/>
        <v/>
      </c>
      <c r="BJ31" s="124" t="str">
        <f t="shared" si="49"/>
        <v/>
      </c>
      <c r="BK31" s="124" t="str">
        <f t="shared" si="50"/>
        <v/>
      </c>
      <c r="BL31" s="64"/>
      <c r="BM31" s="64"/>
      <c r="BN31" s="64"/>
      <c r="BO31" s="64"/>
      <c r="BP31" s="64"/>
      <c r="BQ31" s="72"/>
      <c r="BR31" s="64">
        <f>SUM(BR25:BR30)</f>
        <v>74</v>
      </c>
      <c r="BS31" s="64">
        <f>SUM(BS25:BS30)</f>
        <v>42</v>
      </c>
      <c r="BT31" s="123">
        <f t="shared" si="51"/>
        <v>0.56756756756756754</v>
      </c>
      <c r="BU31" s="124" t="str">
        <f t="shared" si="52"/>
        <v/>
      </c>
      <c r="BV31" s="124" t="str">
        <f t="shared" si="53"/>
        <v/>
      </c>
      <c r="BW31" s="64">
        <f>SUM(BW25:BW30)</f>
        <v>645</v>
      </c>
      <c r="BX31" s="64" t="e">
        <f>SUM(BX23:BX30)</f>
        <v>#REF!</v>
      </c>
      <c r="BY31" s="190" t="e">
        <f t="shared" si="54"/>
        <v>#REF!</v>
      </c>
      <c r="BZ31" s="64" t="e">
        <f>SUM(BZ23:BZ30)</f>
        <v>#REF!</v>
      </c>
      <c r="CA31" s="64" t="e">
        <f t="shared" ref="CA31:CB31" si="65">SUM(CA23:CA30)</f>
        <v>#REF!</v>
      </c>
      <c r="CB31" s="72">
        <f t="shared" si="65"/>
        <v>44</v>
      </c>
      <c r="CC31" s="64">
        <f>SUM(CC25:CC30)</f>
        <v>0</v>
      </c>
      <c r="CD31" s="64" t="e">
        <f>SUM(CD25:CD30)</f>
        <v>#DIV/0!</v>
      </c>
      <c r="CE31" s="123" t="str">
        <f t="shared" si="62"/>
        <v/>
      </c>
      <c r="CF31" s="124" t="str">
        <f t="shared" si="63"/>
        <v/>
      </c>
      <c r="CG31" s="124" t="str">
        <f t="shared" si="64"/>
        <v/>
      </c>
      <c r="CH31" s="64" t="e">
        <f>SUM(CH25:CH30)</f>
        <v>#DIV/0!</v>
      </c>
      <c r="CI31" s="64" t="e">
        <f>SUM(CI23:CI30)</f>
        <v>#REF!</v>
      </c>
      <c r="CJ31" s="190" t="e">
        <f t="shared" si="58"/>
        <v>#DIV/0!</v>
      </c>
      <c r="CK31" s="64" t="e">
        <f>SUM(CK23:CK30)</f>
        <v>#REF!</v>
      </c>
      <c r="CL31" s="64" t="e">
        <f t="shared" ref="CL31" si="66">SUM(CL23:CL30)</f>
        <v>#REF!</v>
      </c>
      <c r="CM31" s="72">
        <f t="shared" ref="CM31" si="67">SUM(CM23:CM30)</f>
        <v>44</v>
      </c>
      <c r="CN31" s="71">
        <f>AX31</f>
        <v>54</v>
      </c>
      <c r="CO31" s="64">
        <f>SUM(CO23:CO30)</f>
        <v>186</v>
      </c>
      <c r="CP31" s="123">
        <f t="shared" si="29"/>
        <v>0.48062015503875971</v>
      </c>
      <c r="CQ31" s="124">
        <f t="shared" si="59"/>
        <v>1.9193548387096775</v>
      </c>
      <c r="CR31" s="124">
        <f t="shared" si="60"/>
        <v>35.217188172043009</v>
      </c>
      <c r="CS31" s="64">
        <f>SUM(CS23:CS30)</f>
        <v>6550.3969999999999</v>
      </c>
      <c r="CT31" s="64">
        <f>SUM(CT23:CT30)</f>
        <v>144.72</v>
      </c>
      <c r="CU31" s="64">
        <f>SUM(CU23:CU30)</f>
        <v>357</v>
      </c>
      <c r="CV31" s="72">
        <f>SUM(CV23:CV30)</f>
        <v>283</v>
      </c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1:115" ht="8.25" customHeight="1" x14ac:dyDescent="0.25">
      <c r="A32" s="53"/>
      <c r="B32" s="53"/>
      <c r="C32" s="54"/>
      <c r="D32" s="56"/>
      <c r="E32" s="65"/>
      <c r="F32" s="66"/>
      <c r="G32" s="66"/>
      <c r="H32" s="66"/>
      <c r="I32" s="66"/>
      <c r="J32" s="66"/>
      <c r="K32" s="66"/>
      <c r="L32" s="67"/>
      <c r="M32" s="68"/>
      <c r="N32" s="65"/>
      <c r="O32" s="66"/>
      <c r="P32" s="66"/>
      <c r="Q32" s="66"/>
      <c r="R32" s="66"/>
      <c r="S32" s="66"/>
      <c r="T32" s="66"/>
      <c r="U32" s="67"/>
      <c r="V32" s="68"/>
      <c r="W32" s="65"/>
      <c r="X32" s="66"/>
      <c r="Y32" s="66"/>
      <c r="Z32" s="66"/>
      <c r="AA32" s="66"/>
      <c r="AB32" s="11"/>
      <c r="AC32" s="11"/>
      <c r="AD32" s="25"/>
      <c r="AE32" s="11"/>
      <c r="AF32" s="65"/>
      <c r="AG32" s="66"/>
      <c r="AH32" s="66"/>
      <c r="AI32" s="66"/>
      <c r="AJ32" s="66"/>
      <c r="AK32" s="66"/>
      <c r="AL32" s="66"/>
      <c r="AM32" s="67"/>
      <c r="AN32" s="68"/>
      <c r="AO32" s="65"/>
      <c r="AP32" s="66"/>
      <c r="AQ32" s="66"/>
      <c r="AR32" s="66"/>
      <c r="AS32" s="66"/>
      <c r="AT32" s="11"/>
      <c r="AU32" s="11"/>
      <c r="AV32" s="25"/>
      <c r="AW32" s="11"/>
      <c r="AX32" s="65"/>
      <c r="AY32" s="66"/>
      <c r="AZ32" s="66"/>
      <c r="BA32" s="66"/>
      <c r="BB32" s="66"/>
      <c r="BC32" s="66"/>
      <c r="BD32" s="66"/>
      <c r="BE32" s="66"/>
      <c r="BF32" s="68"/>
      <c r="BG32" s="65"/>
      <c r="BH32" s="66"/>
      <c r="BI32" s="66"/>
      <c r="BJ32" s="66"/>
      <c r="BK32" s="66"/>
      <c r="BL32" s="66"/>
      <c r="BM32" s="66"/>
      <c r="BN32" s="66"/>
      <c r="BO32" s="66"/>
      <c r="BP32" s="66"/>
      <c r="BQ32" s="68"/>
      <c r="BR32" s="65"/>
      <c r="BS32" s="66"/>
      <c r="BT32" s="66"/>
      <c r="BU32" s="66"/>
      <c r="BV32" s="66"/>
      <c r="BW32" s="66"/>
      <c r="BX32" s="66"/>
      <c r="BY32" s="66"/>
      <c r="BZ32" s="66"/>
      <c r="CA32" s="66"/>
      <c r="CB32" s="68"/>
      <c r="CC32" s="65"/>
      <c r="CD32" s="66"/>
      <c r="CE32" s="66"/>
      <c r="CF32" s="66"/>
      <c r="CG32" s="66"/>
      <c r="CH32" s="66"/>
      <c r="CI32" s="66"/>
      <c r="CJ32" s="66"/>
      <c r="CK32" s="66"/>
      <c r="CL32" s="66"/>
      <c r="CM32" s="68"/>
      <c r="CN32" s="65"/>
      <c r="CO32" s="66"/>
      <c r="CP32" s="66"/>
      <c r="CQ32" s="66"/>
      <c r="CR32" s="66"/>
      <c r="CS32" s="66"/>
      <c r="CT32" s="66"/>
      <c r="CU32" s="67"/>
      <c r="CV32" s="73"/>
    </row>
    <row r="33" spans="1:115" x14ac:dyDescent="0.25">
      <c r="A33" s="91" t="s">
        <v>47</v>
      </c>
      <c r="B33" s="82" t="s">
        <v>101</v>
      </c>
      <c r="C33" s="168" t="s">
        <v>102</v>
      </c>
      <c r="D33" s="169" t="s">
        <v>80</v>
      </c>
      <c r="E33" s="85">
        <v>14</v>
      </c>
      <c r="F33" s="86">
        <v>5</v>
      </c>
      <c r="G33" s="92">
        <f t="shared" si="30"/>
        <v>0.35714285714285715</v>
      </c>
      <c r="H33" s="93">
        <f t="shared" si="31"/>
        <v>1.2</v>
      </c>
      <c r="I33" s="93">
        <f t="shared" si="32"/>
        <v>19.062600000000003</v>
      </c>
      <c r="J33" s="86">
        <v>95.313000000000017</v>
      </c>
      <c r="K33" s="86">
        <v>10.206</v>
      </c>
      <c r="L33" s="87">
        <v>6</v>
      </c>
      <c r="M33" s="88">
        <v>21</v>
      </c>
      <c r="N33" s="85">
        <v>14</v>
      </c>
      <c r="O33" s="86">
        <v>8</v>
      </c>
      <c r="P33" s="92">
        <f t="shared" ref="P33:P62" si="68">IFERROR(O33/N33,"")</f>
        <v>0.5714285714285714</v>
      </c>
      <c r="Q33" s="93">
        <f t="shared" ref="Q33:Q62" si="69">IFERROR(U33/O33,"")</f>
        <v>1.25</v>
      </c>
      <c r="R33" s="93">
        <f t="shared" ref="R33:R62" si="70">IFERROR(S33/O33,"")</f>
        <v>16.826625</v>
      </c>
      <c r="S33" s="86">
        <v>134.613</v>
      </c>
      <c r="T33" s="86">
        <v>3.3100000000000005</v>
      </c>
      <c r="U33" s="87">
        <v>10</v>
      </c>
      <c r="V33" s="88">
        <v>8</v>
      </c>
      <c r="W33" s="85">
        <v>14</v>
      </c>
      <c r="X33" s="86">
        <v>10</v>
      </c>
      <c r="Y33" s="92">
        <f t="shared" ref="Y33:Y62" si="71">IFERROR(X33/W33,"")</f>
        <v>0.7142857142857143</v>
      </c>
      <c r="Z33" s="93">
        <f t="shared" ref="Z33:Z62" si="72">IFERROR(AD33/X33,"")</f>
        <v>4.5999999999999996</v>
      </c>
      <c r="AA33" s="93">
        <f t="shared" ref="AA33:AA62" si="73">IFERROR(AB33/X33,"")</f>
        <v>75.094799999999992</v>
      </c>
      <c r="AB33" s="50">
        <v>750.94799999999998</v>
      </c>
      <c r="AC33" s="50">
        <v>21.328000000000003</v>
      </c>
      <c r="AD33" s="89">
        <v>46</v>
      </c>
      <c r="AE33" s="50">
        <v>34</v>
      </c>
      <c r="AF33" s="85">
        <v>16</v>
      </c>
      <c r="AG33" s="86">
        <v>12</v>
      </c>
      <c r="AH33" s="92">
        <f t="shared" ref="AH33:AH62" si="74">IFERROR(AG33/AF33,"")</f>
        <v>0.75</v>
      </c>
      <c r="AI33" s="93">
        <f t="shared" ref="AI33:AI62" si="75">IFERROR(AM33/AG33,"")</f>
        <v>2.8333333333333335</v>
      </c>
      <c r="AJ33" s="93">
        <f t="shared" ref="AJ33:AJ62" si="76">IFERROR(AK33/AG33,"")</f>
        <v>40.784916666666675</v>
      </c>
      <c r="AK33" s="86">
        <v>489.4190000000001</v>
      </c>
      <c r="AL33" s="86">
        <v>11.564</v>
      </c>
      <c r="AM33" s="87">
        <v>34</v>
      </c>
      <c r="AN33" s="88">
        <v>22</v>
      </c>
      <c r="AO33" s="85">
        <v>16</v>
      </c>
      <c r="AP33" s="86">
        <v>9</v>
      </c>
      <c r="AQ33" s="92">
        <f t="shared" ref="AQ33:AQ62" si="77">IFERROR(AP33/AO33,"")</f>
        <v>0.5625</v>
      </c>
      <c r="AR33" s="93">
        <f t="shared" ref="AR33:AR62" si="78">IFERROR(AV33/AP33,"")</f>
        <v>4</v>
      </c>
      <c r="AS33" s="93">
        <f t="shared" ref="AS33:AS62" si="79">IFERROR(AT33/AP33,"")</f>
        <v>57.903111111111102</v>
      </c>
      <c r="AT33" s="50">
        <v>521.12799999999993</v>
      </c>
      <c r="AU33" s="50">
        <v>16.04</v>
      </c>
      <c r="AV33" s="89">
        <v>36</v>
      </c>
      <c r="AW33" s="50">
        <v>31</v>
      </c>
      <c r="AX33" s="85">
        <v>14</v>
      </c>
      <c r="AY33" s="86">
        <v>10</v>
      </c>
      <c r="AZ33" s="92">
        <f t="shared" ref="AZ33:AZ62" si="80">IFERROR(AY33/AX33,"")</f>
        <v>0.7142857142857143</v>
      </c>
      <c r="BA33" s="93">
        <f t="shared" ref="BA33:BA62" si="81">IFERROR(BE33/AY33,"")</f>
        <v>3.7</v>
      </c>
      <c r="BB33" s="93">
        <f t="shared" ref="BB33:BB62" si="82">IFERROR(BC33/AY33,"")</f>
        <v>60.842799999999997</v>
      </c>
      <c r="BC33" s="86">
        <v>608.428</v>
      </c>
      <c r="BD33" s="86">
        <v>18.687999999999999</v>
      </c>
      <c r="BE33" s="86">
        <v>37</v>
      </c>
      <c r="BF33" s="88">
        <v>31</v>
      </c>
      <c r="BG33" s="85">
        <v>15</v>
      </c>
      <c r="BH33" s="86">
        <v>7</v>
      </c>
      <c r="BI33" s="92">
        <f t="shared" ref="BI33:BI62" si="83">IFERROR(BH33/BG33,"")</f>
        <v>0.46666666666666667</v>
      </c>
      <c r="BJ33" s="93">
        <f t="shared" ref="BJ33:BJ62" si="84">IFERROR(BP33/BH33,"")</f>
        <v>4.2857142857142856</v>
      </c>
      <c r="BK33" s="93">
        <f t="shared" ref="BK33:BK62" si="85">IFERROR(BM33/BH33,"")</f>
        <v>63.268142857142855</v>
      </c>
      <c r="BL33" s="86">
        <v>1030</v>
      </c>
      <c r="BM33" s="86">
        <v>442.87700000000001</v>
      </c>
      <c r="BN33" s="92">
        <f>BM33/BL33</f>
        <v>0.42997766990291264</v>
      </c>
      <c r="BO33" s="86">
        <v>12.802</v>
      </c>
      <c r="BP33" s="86">
        <v>30</v>
      </c>
      <c r="BQ33" s="88">
        <v>33</v>
      </c>
      <c r="BR33" s="85">
        <v>15</v>
      </c>
      <c r="BS33" s="86">
        <v>8</v>
      </c>
      <c r="BT33" s="92">
        <f t="shared" ref="BT33:BT62" si="86">IFERROR(BS33/BR33,"")</f>
        <v>0.53333333333333333</v>
      </c>
      <c r="BU33" s="93">
        <f t="shared" ref="BU33:BU62" si="87">IFERROR(CA33/BS33,"")</f>
        <v>8.125</v>
      </c>
      <c r="BV33" s="93" t="str">
        <f t="shared" ref="BV33:BV62" si="88">IFERROR(BX33/BS33,"")</f>
        <v/>
      </c>
      <c r="BW33" s="86">
        <f>('[3]MTD performance'!$H$52)/1000</f>
        <v>1140</v>
      </c>
      <c r="BX33" s="86" t="e">
        <f>#REF!</f>
        <v>#REF!</v>
      </c>
      <c r="BY33" s="92" t="e">
        <f>BX33/BW33</f>
        <v>#REF!</v>
      </c>
      <c r="BZ33" s="86">
        <v>16.8</v>
      </c>
      <c r="CA33" s="86">
        <v>65</v>
      </c>
      <c r="CB33" s="88">
        <v>43</v>
      </c>
      <c r="CC33" s="85">
        <f>'[4]MTD performance of BCA'!I53</f>
        <v>12</v>
      </c>
      <c r="CD33" s="86">
        <f>'[4]MTD performance of BCA'!J53</f>
        <v>9</v>
      </c>
      <c r="CE33" s="92">
        <f t="shared" ref="CE33:CE46" si="89">IFERROR(CD33/CC33,"")</f>
        <v>0.75</v>
      </c>
      <c r="CF33" s="93">
        <f t="shared" ref="CF33:CF46" si="90">IFERROR(CL33/CD33,"")</f>
        <v>7.2222222222222223</v>
      </c>
      <c r="CG33" s="93" t="str">
        <f t="shared" ref="CG33:CG46" si="91">IFERROR(CI33/CD33,"")</f>
        <v/>
      </c>
      <c r="CH33" s="86">
        <f>('[3]MTD performance'!$H$52)/1000</f>
        <v>1140</v>
      </c>
      <c r="CI33" s="86" t="e">
        <f>#REF!</f>
        <v>#REF!</v>
      </c>
      <c r="CJ33" s="92" t="e">
        <f>CI33/CH33</f>
        <v>#REF!</v>
      </c>
      <c r="CK33" s="86">
        <v>16.8</v>
      </c>
      <c r="CL33" s="86">
        <v>65</v>
      </c>
      <c r="CM33" s="88">
        <v>43</v>
      </c>
      <c r="CN33" s="85">
        <f t="shared" ref="CN33:CN42" si="92">BG33</f>
        <v>15</v>
      </c>
      <c r="CO33" s="86">
        <f>SUMIF($E$22:$BQ$22,CO$22,$E33:$BQ33)</f>
        <v>61</v>
      </c>
      <c r="CP33" s="92">
        <f>IFERROR(CO33/SUMIF($E$22:$BQ$22,"MP",$E33:$BQ33),"")</f>
        <v>0.59223300970873782</v>
      </c>
      <c r="CQ33" s="93">
        <f t="shared" ref="CQ33:CQ62" si="93">IFERROR(CU33/CO33,"")</f>
        <v>3.262295081967213</v>
      </c>
      <c r="CR33" s="93">
        <f t="shared" ref="CR33:CR62" si="94">IFERROR(CS33/CO33,"")</f>
        <v>49.880754098360654</v>
      </c>
      <c r="CS33" s="86">
        <f t="shared" ref="CS33:CV50" si="95">SUMIF($E$22:$BQ$22,CS$22,$E33:$BQ33)</f>
        <v>3042.7260000000001</v>
      </c>
      <c r="CT33" s="86">
        <f t="shared" si="95"/>
        <v>93.937999999999988</v>
      </c>
      <c r="CU33" s="87">
        <f t="shared" si="95"/>
        <v>199</v>
      </c>
      <c r="CV33" s="90">
        <f t="shared" si="95"/>
        <v>180</v>
      </c>
    </row>
    <row r="34" spans="1:115" x14ac:dyDescent="0.25">
      <c r="A34" s="91" t="s">
        <v>47</v>
      </c>
      <c r="B34" s="82" t="s">
        <v>101</v>
      </c>
      <c r="C34" s="168" t="s">
        <v>102</v>
      </c>
      <c r="D34" s="169" t="s">
        <v>90</v>
      </c>
      <c r="E34" s="85">
        <v>14</v>
      </c>
      <c r="F34" s="86">
        <v>11</v>
      </c>
      <c r="G34" s="92">
        <f t="shared" si="30"/>
        <v>0.7857142857142857</v>
      </c>
      <c r="H34" s="93">
        <f t="shared" si="31"/>
        <v>2</v>
      </c>
      <c r="I34" s="93">
        <f t="shared" si="32"/>
        <v>23.225363636363635</v>
      </c>
      <c r="J34" s="86">
        <v>255.47899999999998</v>
      </c>
      <c r="K34" s="86">
        <v>12.221</v>
      </c>
      <c r="L34" s="87">
        <v>22</v>
      </c>
      <c r="M34" s="88">
        <v>27</v>
      </c>
      <c r="N34" s="85">
        <v>14</v>
      </c>
      <c r="O34" s="86">
        <v>10</v>
      </c>
      <c r="P34" s="92">
        <f t="shared" si="68"/>
        <v>0.7142857142857143</v>
      </c>
      <c r="Q34" s="93">
        <f t="shared" si="69"/>
        <v>1.7</v>
      </c>
      <c r="R34" s="93">
        <f t="shared" si="70"/>
        <v>26.1144</v>
      </c>
      <c r="S34" s="86">
        <v>261.14400000000001</v>
      </c>
      <c r="T34" s="86">
        <v>12.229999999999999</v>
      </c>
      <c r="U34" s="87">
        <v>17</v>
      </c>
      <c r="V34" s="88">
        <v>25</v>
      </c>
      <c r="W34" s="85">
        <v>14</v>
      </c>
      <c r="X34" s="86">
        <v>13</v>
      </c>
      <c r="Y34" s="92">
        <f t="shared" si="71"/>
        <v>0.9285714285714286</v>
      </c>
      <c r="Z34" s="93">
        <f t="shared" si="72"/>
        <v>5.6923076923076925</v>
      </c>
      <c r="AA34" s="93">
        <f t="shared" si="73"/>
        <v>93.64169230769231</v>
      </c>
      <c r="AB34" s="50">
        <v>1217.3420000000001</v>
      </c>
      <c r="AC34" s="50">
        <v>29.901</v>
      </c>
      <c r="AD34" s="89">
        <v>74</v>
      </c>
      <c r="AE34" s="50">
        <v>50</v>
      </c>
      <c r="AF34" s="85">
        <v>14</v>
      </c>
      <c r="AG34" s="86">
        <v>12</v>
      </c>
      <c r="AH34" s="92">
        <f t="shared" si="74"/>
        <v>0.8571428571428571</v>
      </c>
      <c r="AI34" s="93">
        <f t="shared" si="75"/>
        <v>5.833333333333333</v>
      </c>
      <c r="AJ34" s="93">
        <f t="shared" si="76"/>
        <v>82.913166666666669</v>
      </c>
      <c r="AK34" s="86">
        <v>994.95800000000008</v>
      </c>
      <c r="AL34" s="86">
        <v>41.946000000000005</v>
      </c>
      <c r="AM34" s="87">
        <v>70</v>
      </c>
      <c r="AN34" s="88">
        <v>84</v>
      </c>
      <c r="AO34" s="85">
        <v>13</v>
      </c>
      <c r="AP34" s="86">
        <v>12</v>
      </c>
      <c r="AQ34" s="92">
        <f t="shared" si="77"/>
        <v>0.92307692307692313</v>
      </c>
      <c r="AR34" s="93">
        <f t="shared" si="78"/>
        <v>6.333333333333333</v>
      </c>
      <c r="AS34" s="93">
        <f t="shared" si="79"/>
        <v>113.93191666666667</v>
      </c>
      <c r="AT34" s="50">
        <v>1367.183</v>
      </c>
      <c r="AU34" s="50">
        <v>52.51</v>
      </c>
      <c r="AV34" s="89">
        <v>76</v>
      </c>
      <c r="AW34" s="50">
        <v>85</v>
      </c>
      <c r="AX34" s="85">
        <v>14</v>
      </c>
      <c r="AY34" s="86">
        <v>13</v>
      </c>
      <c r="AZ34" s="92">
        <f t="shared" si="80"/>
        <v>0.9285714285714286</v>
      </c>
      <c r="BA34" s="93">
        <f t="shared" si="81"/>
        <v>6.9230769230769234</v>
      </c>
      <c r="BB34" s="93">
        <f t="shared" si="82"/>
        <v>113.58738461538459</v>
      </c>
      <c r="BC34" s="86">
        <v>1476.6359999999997</v>
      </c>
      <c r="BD34" s="86">
        <v>37.024999999999999</v>
      </c>
      <c r="BE34" s="86">
        <v>90</v>
      </c>
      <c r="BF34" s="88">
        <v>72</v>
      </c>
      <c r="BG34" s="85">
        <v>14</v>
      </c>
      <c r="BH34" s="86">
        <v>12</v>
      </c>
      <c r="BI34" s="92">
        <f t="shared" si="83"/>
        <v>0.8571428571428571</v>
      </c>
      <c r="BJ34" s="93">
        <f t="shared" si="84"/>
        <v>4.916666666666667</v>
      </c>
      <c r="BK34" s="93">
        <f t="shared" si="85"/>
        <v>91.191416666666669</v>
      </c>
      <c r="BL34" s="86">
        <v>1040</v>
      </c>
      <c r="BM34" s="86">
        <v>1094.297</v>
      </c>
      <c r="BN34" s="92">
        <f>BM34/BL34</f>
        <v>1.0522086538461539</v>
      </c>
      <c r="BO34" s="86">
        <v>30.439</v>
      </c>
      <c r="BP34" s="86">
        <v>59</v>
      </c>
      <c r="BQ34" s="88">
        <v>63</v>
      </c>
      <c r="BR34" s="85">
        <v>13</v>
      </c>
      <c r="BS34" s="86">
        <v>14</v>
      </c>
      <c r="BT34" s="92">
        <f t="shared" si="86"/>
        <v>1.0769230769230769</v>
      </c>
      <c r="BU34" s="93">
        <f t="shared" si="87"/>
        <v>5.2857142857142856</v>
      </c>
      <c r="BV34" s="93" t="str">
        <f t="shared" si="88"/>
        <v/>
      </c>
      <c r="BW34" s="86">
        <f>('[3]MTD performance'!H53)/1000</f>
        <v>1180</v>
      </c>
      <c r="BX34" s="86" t="e">
        <f>#REF!</f>
        <v>#REF!</v>
      </c>
      <c r="BY34" s="92" t="e">
        <f>BX34/BW34</f>
        <v>#REF!</v>
      </c>
      <c r="BZ34" s="86">
        <v>38.847000000000001</v>
      </c>
      <c r="CA34" s="86">
        <v>74</v>
      </c>
      <c r="CB34" s="88">
        <v>72</v>
      </c>
      <c r="CC34" s="85">
        <f>'[4]MTD performance of BCA'!I54</f>
        <v>14</v>
      </c>
      <c r="CD34" s="86">
        <f>'[4]MTD performance of BCA'!J54</f>
        <v>14</v>
      </c>
      <c r="CE34" s="92">
        <f t="shared" si="89"/>
        <v>1</v>
      </c>
      <c r="CF34" s="93">
        <f t="shared" si="90"/>
        <v>5.2857142857142856</v>
      </c>
      <c r="CG34" s="93" t="str">
        <f t="shared" si="91"/>
        <v/>
      </c>
      <c r="CH34" s="86">
        <f>('[3]MTD performance'!S53)/1000</f>
        <v>1.0728542649737968E-3</v>
      </c>
      <c r="CI34" s="86" t="e">
        <f>#REF!</f>
        <v>#REF!</v>
      </c>
      <c r="CJ34" s="92" t="e">
        <f>CI34/CH34</f>
        <v>#REF!</v>
      </c>
      <c r="CK34" s="86">
        <v>38.847000000000001</v>
      </c>
      <c r="CL34" s="86">
        <v>74</v>
      </c>
      <c r="CM34" s="88">
        <v>72</v>
      </c>
      <c r="CN34" s="85">
        <f t="shared" si="92"/>
        <v>14</v>
      </c>
      <c r="CO34" s="86">
        <f t="shared" ref="CO34:CO45" si="96">SUMIF($E$22:$BQ$22,CO$22,$E34:$BQ34)</f>
        <v>83</v>
      </c>
      <c r="CP34" s="92">
        <f>IFERROR(CO34/SUMIF($E$22:$BQ$22,"MP",$E34:$BQ34),"")</f>
        <v>0.85567010309278346</v>
      </c>
      <c r="CQ34" s="93">
        <f t="shared" si="93"/>
        <v>4.9156626506024095</v>
      </c>
      <c r="CR34" s="93">
        <f t="shared" si="94"/>
        <v>80.325771084337333</v>
      </c>
      <c r="CS34" s="86">
        <f t="shared" si="95"/>
        <v>6667.0389999999989</v>
      </c>
      <c r="CT34" s="86">
        <f t="shared" si="95"/>
        <v>216.27199999999999</v>
      </c>
      <c r="CU34" s="87">
        <f t="shared" si="95"/>
        <v>408</v>
      </c>
      <c r="CV34" s="90">
        <f t="shared" si="95"/>
        <v>406</v>
      </c>
    </row>
    <row r="35" spans="1:115" x14ac:dyDescent="0.25">
      <c r="A35" s="91" t="s">
        <v>47</v>
      </c>
      <c r="B35" s="82" t="s">
        <v>101</v>
      </c>
      <c r="C35" s="168" t="s">
        <v>102</v>
      </c>
      <c r="D35" s="169" t="s">
        <v>82</v>
      </c>
      <c r="E35" s="85">
        <v>11</v>
      </c>
      <c r="F35" s="86">
        <v>10</v>
      </c>
      <c r="G35" s="92">
        <f t="shared" si="30"/>
        <v>0.90909090909090906</v>
      </c>
      <c r="H35" s="93">
        <f t="shared" si="31"/>
        <v>2.1</v>
      </c>
      <c r="I35" s="93">
        <f t="shared" si="32"/>
        <v>37.685199999999995</v>
      </c>
      <c r="J35" s="86">
        <v>376.85199999999998</v>
      </c>
      <c r="K35" s="86">
        <v>12.987</v>
      </c>
      <c r="L35" s="87">
        <v>21</v>
      </c>
      <c r="M35" s="88">
        <v>24</v>
      </c>
      <c r="N35" s="85">
        <v>12</v>
      </c>
      <c r="O35" s="86">
        <v>10</v>
      </c>
      <c r="P35" s="92">
        <f t="shared" si="68"/>
        <v>0.83333333333333337</v>
      </c>
      <c r="Q35" s="93">
        <f t="shared" si="69"/>
        <v>2.7</v>
      </c>
      <c r="R35" s="93">
        <f t="shared" si="70"/>
        <v>47.415399999999998</v>
      </c>
      <c r="S35" s="86">
        <v>474.154</v>
      </c>
      <c r="T35" s="86">
        <v>26.999999999999996</v>
      </c>
      <c r="U35" s="87">
        <v>27</v>
      </c>
      <c r="V35" s="88">
        <v>47</v>
      </c>
      <c r="W35" s="85">
        <v>14</v>
      </c>
      <c r="X35" s="86">
        <v>11</v>
      </c>
      <c r="Y35" s="92">
        <f t="shared" si="71"/>
        <v>0.7857142857142857</v>
      </c>
      <c r="Z35" s="93">
        <f t="shared" si="72"/>
        <v>5.1818181818181817</v>
      </c>
      <c r="AA35" s="93">
        <f t="shared" si="73"/>
        <v>94.073090909090894</v>
      </c>
      <c r="AB35" s="50">
        <v>1034.8039999999999</v>
      </c>
      <c r="AC35" s="50">
        <v>32.53</v>
      </c>
      <c r="AD35" s="89">
        <v>57</v>
      </c>
      <c r="AE35" s="50">
        <v>66</v>
      </c>
      <c r="AF35" s="85">
        <v>15</v>
      </c>
      <c r="AG35" s="86">
        <v>12</v>
      </c>
      <c r="AH35" s="92">
        <f t="shared" si="74"/>
        <v>0.8</v>
      </c>
      <c r="AI35" s="93">
        <f t="shared" si="75"/>
        <v>4.833333333333333</v>
      </c>
      <c r="AJ35" s="93">
        <f t="shared" si="76"/>
        <v>76.298999999999992</v>
      </c>
      <c r="AK35" s="86">
        <v>915.58799999999997</v>
      </c>
      <c r="AL35" s="86">
        <v>31.773000000000003</v>
      </c>
      <c r="AM35" s="87">
        <v>58</v>
      </c>
      <c r="AN35" s="88">
        <v>72</v>
      </c>
      <c r="AO35" s="85">
        <v>16</v>
      </c>
      <c r="AP35" s="86">
        <v>12</v>
      </c>
      <c r="AQ35" s="92">
        <f t="shared" si="77"/>
        <v>0.75</v>
      </c>
      <c r="AR35" s="93">
        <f t="shared" si="78"/>
        <v>4.666666666666667</v>
      </c>
      <c r="AS35" s="93">
        <f t="shared" si="79"/>
        <v>73.354833333333318</v>
      </c>
      <c r="AT35" s="50">
        <v>880.25799999999981</v>
      </c>
      <c r="AU35" s="50">
        <v>48.24499999999999</v>
      </c>
      <c r="AV35" s="89">
        <v>56</v>
      </c>
      <c r="AW35" s="50">
        <v>85</v>
      </c>
      <c r="AX35" s="85">
        <v>15</v>
      </c>
      <c r="AY35" s="86">
        <v>12</v>
      </c>
      <c r="AZ35" s="92">
        <f t="shared" si="80"/>
        <v>0.8</v>
      </c>
      <c r="BA35" s="93">
        <f t="shared" si="81"/>
        <v>4.083333333333333</v>
      </c>
      <c r="BB35" s="93">
        <f t="shared" si="82"/>
        <v>81.653499999999994</v>
      </c>
      <c r="BC35" s="86">
        <v>979.84199999999998</v>
      </c>
      <c r="BD35" s="86">
        <v>32.118000000000002</v>
      </c>
      <c r="BE35" s="86">
        <v>49</v>
      </c>
      <c r="BF35" s="88">
        <v>65</v>
      </c>
      <c r="BG35" s="85">
        <v>16</v>
      </c>
      <c r="BH35" s="86">
        <v>14</v>
      </c>
      <c r="BI35" s="92">
        <f t="shared" si="83"/>
        <v>0.875</v>
      </c>
      <c r="BJ35" s="93">
        <f t="shared" si="84"/>
        <v>4.9285714285714288</v>
      </c>
      <c r="BK35" s="93">
        <f t="shared" si="85"/>
        <v>83.218428571428575</v>
      </c>
      <c r="BL35" s="86">
        <v>1040</v>
      </c>
      <c r="BM35" s="86">
        <v>1165.058</v>
      </c>
      <c r="BN35" s="92">
        <f>BM35/BL35</f>
        <v>1.1202480769230769</v>
      </c>
      <c r="BO35" s="86">
        <v>51.372999999999998</v>
      </c>
      <c r="BP35" s="86">
        <v>69</v>
      </c>
      <c r="BQ35" s="88">
        <v>97</v>
      </c>
      <c r="BR35" s="85">
        <v>16</v>
      </c>
      <c r="BS35" s="86">
        <v>13</v>
      </c>
      <c r="BT35" s="92">
        <f t="shared" si="86"/>
        <v>0.8125</v>
      </c>
      <c r="BU35" s="93">
        <f t="shared" si="87"/>
        <v>6.3076923076923075</v>
      </c>
      <c r="BV35" s="93" t="str">
        <f t="shared" si="88"/>
        <v/>
      </c>
      <c r="BW35" s="86">
        <f>('[3]MTD performance'!H54)/1000</f>
        <v>1180</v>
      </c>
      <c r="BX35" s="86" t="e">
        <f>#REF!</f>
        <v>#REF!</v>
      </c>
      <c r="BY35" s="92" t="e">
        <f>BX35/BW35</f>
        <v>#REF!</v>
      </c>
      <c r="BZ35" s="86">
        <v>55.264000000000003</v>
      </c>
      <c r="CA35" s="86">
        <v>82</v>
      </c>
      <c r="CB35" s="88">
        <v>104</v>
      </c>
      <c r="CC35" s="85">
        <f>'[4]MTD performance of BCA'!I55</f>
        <v>13</v>
      </c>
      <c r="CD35" s="86">
        <f>'[4]MTD performance of BCA'!J55</f>
        <v>14</v>
      </c>
      <c r="CE35" s="92">
        <f t="shared" si="89"/>
        <v>1.0769230769230769</v>
      </c>
      <c r="CF35" s="93">
        <f t="shared" si="90"/>
        <v>5.8571428571428568</v>
      </c>
      <c r="CG35" s="93" t="str">
        <f t="shared" si="91"/>
        <v/>
      </c>
      <c r="CH35" s="86">
        <f>('[3]MTD performance'!S54)/1000</f>
        <v>1.5132488924376674E-3</v>
      </c>
      <c r="CI35" s="86" t="e">
        <f>#REF!</f>
        <v>#REF!</v>
      </c>
      <c r="CJ35" s="92" t="e">
        <f>CI35/CH35</f>
        <v>#REF!</v>
      </c>
      <c r="CK35" s="86">
        <v>55.264000000000003</v>
      </c>
      <c r="CL35" s="86">
        <v>82</v>
      </c>
      <c r="CM35" s="88">
        <v>104</v>
      </c>
      <c r="CN35" s="85">
        <f t="shared" si="92"/>
        <v>16</v>
      </c>
      <c r="CO35" s="86">
        <f t="shared" si="96"/>
        <v>81</v>
      </c>
      <c r="CP35" s="92">
        <f t="shared" ref="CP35:CP62" si="97">IFERROR(CO35/SUMIF($E$22:$BQ$22,"MP",$E35:$BQ35),"")</f>
        <v>0.81818181818181823</v>
      </c>
      <c r="CQ35" s="93">
        <f t="shared" si="93"/>
        <v>4.1604938271604937</v>
      </c>
      <c r="CR35" s="93">
        <f t="shared" si="94"/>
        <v>71.932790123456783</v>
      </c>
      <c r="CS35" s="86">
        <f t="shared" si="95"/>
        <v>5826.5559999999996</v>
      </c>
      <c r="CT35" s="86">
        <f t="shared" si="95"/>
        <v>236.02599999999995</v>
      </c>
      <c r="CU35" s="87">
        <f t="shared" si="95"/>
        <v>337</v>
      </c>
      <c r="CV35" s="90">
        <f t="shared" si="95"/>
        <v>456</v>
      </c>
    </row>
    <row r="36" spans="1:115" x14ac:dyDescent="0.25">
      <c r="A36" s="91" t="s">
        <v>47</v>
      </c>
      <c r="B36" s="82" t="s">
        <v>101</v>
      </c>
      <c r="C36" s="168" t="s">
        <v>102</v>
      </c>
      <c r="D36" s="169" t="s">
        <v>88</v>
      </c>
      <c r="E36" s="85">
        <v>14</v>
      </c>
      <c r="F36" s="86">
        <v>12</v>
      </c>
      <c r="G36" s="92">
        <f t="shared" si="30"/>
        <v>0.8571428571428571</v>
      </c>
      <c r="H36" s="93">
        <f t="shared" si="31"/>
        <v>1.75</v>
      </c>
      <c r="I36" s="93">
        <f t="shared" si="32"/>
        <v>20.610333333333333</v>
      </c>
      <c r="J36" s="86">
        <v>247.32399999999998</v>
      </c>
      <c r="K36" s="86">
        <v>10.154999999999999</v>
      </c>
      <c r="L36" s="87">
        <v>21</v>
      </c>
      <c r="M36" s="88">
        <v>23</v>
      </c>
      <c r="N36" s="85">
        <v>14</v>
      </c>
      <c r="O36" s="86">
        <v>7</v>
      </c>
      <c r="P36" s="92">
        <f t="shared" si="68"/>
        <v>0.5</v>
      </c>
      <c r="Q36" s="93">
        <f t="shared" si="69"/>
        <v>2</v>
      </c>
      <c r="R36" s="93">
        <f t="shared" si="70"/>
        <v>57.590285714285713</v>
      </c>
      <c r="S36" s="86">
        <v>403.13200000000001</v>
      </c>
      <c r="T36" s="86">
        <v>20.221999999999998</v>
      </c>
      <c r="U36" s="87">
        <v>14</v>
      </c>
      <c r="V36" s="88">
        <v>16</v>
      </c>
      <c r="W36" s="85">
        <v>14</v>
      </c>
      <c r="X36" s="86">
        <v>13</v>
      </c>
      <c r="Y36" s="92">
        <f t="shared" si="71"/>
        <v>0.9285714285714286</v>
      </c>
      <c r="Z36" s="93">
        <f t="shared" si="72"/>
        <v>4</v>
      </c>
      <c r="AA36" s="93">
        <f t="shared" si="73"/>
        <v>61.045923076923074</v>
      </c>
      <c r="AB36" s="50">
        <v>793.59699999999998</v>
      </c>
      <c r="AC36" s="50">
        <v>23.442</v>
      </c>
      <c r="AD36" s="89">
        <v>52</v>
      </c>
      <c r="AE36" s="50">
        <v>44</v>
      </c>
      <c r="AF36" s="85">
        <v>13</v>
      </c>
      <c r="AG36" s="86">
        <v>12</v>
      </c>
      <c r="AH36" s="92">
        <f t="shared" si="74"/>
        <v>0.92307692307692313</v>
      </c>
      <c r="AI36" s="93">
        <f t="shared" si="75"/>
        <v>5.25</v>
      </c>
      <c r="AJ36" s="93">
        <f t="shared" si="76"/>
        <v>69.586249999999993</v>
      </c>
      <c r="AK36" s="86">
        <v>835.03499999999997</v>
      </c>
      <c r="AL36" s="86">
        <v>38.737999999999992</v>
      </c>
      <c r="AM36" s="87">
        <v>63</v>
      </c>
      <c r="AN36" s="88">
        <v>92</v>
      </c>
      <c r="AO36" s="85">
        <v>12</v>
      </c>
      <c r="AP36" s="86">
        <v>12</v>
      </c>
      <c r="AQ36" s="92">
        <f t="shared" si="77"/>
        <v>1</v>
      </c>
      <c r="AR36" s="93">
        <f t="shared" si="78"/>
        <v>6.5</v>
      </c>
      <c r="AS36" s="93">
        <f t="shared" si="79"/>
        <v>93.602916666666644</v>
      </c>
      <c r="AT36" s="50">
        <v>1123.2349999999997</v>
      </c>
      <c r="AU36" s="50">
        <v>34.055</v>
      </c>
      <c r="AV36" s="89">
        <v>78</v>
      </c>
      <c r="AW36" s="50">
        <v>83</v>
      </c>
      <c r="AX36" s="85">
        <v>14</v>
      </c>
      <c r="AY36" s="86">
        <v>11</v>
      </c>
      <c r="AZ36" s="92">
        <f t="shared" si="80"/>
        <v>0.7857142857142857</v>
      </c>
      <c r="BA36" s="93">
        <f t="shared" si="81"/>
        <v>8.454545454545455</v>
      </c>
      <c r="BB36" s="93">
        <f t="shared" si="82"/>
        <v>129.10663636363637</v>
      </c>
      <c r="BC36" s="86">
        <v>1420.173</v>
      </c>
      <c r="BD36" s="86">
        <v>36.382999999999996</v>
      </c>
      <c r="BE36" s="86">
        <v>93</v>
      </c>
      <c r="BF36" s="88">
        <v>81</v>
      </c>
      <c r="BG36" s="85">
        <v>14</v>
      </c>
      <c r="BH36" s="86">
        <v>11</v>
      </c>
      <c r="BI36" s="92">
        <f t="shared" si="83"/>
        <v>0.7857142857142857</v>
      </c>
      <c r="BJ36" s="93">
        <f t="shared" si="84"/>
        <v>7.3636363636363633</v>
      </c>
      <c r="BK36" s="93">
        <f t="shared" si="85"/>
        <v>126.97136363636363</v>
      </c>
      <c r="BL36" s="86">
        <v>1040</v>
      </c>
      <c r="BM36" s="86">
        <v>1396.6849999999999</v>
      </c>
      <c r="BN36" s="92">
        <f>BM36/BL36</f>
        <v>1.3429663461538461</v>
      </c>
      <c r="BO36" s="86">
        <v>48.552</v>
      </c>
      <c r="BP36" s="86">
        <v>81</v>
      </c>
      <c r="BQ36" s="88">
        <v>85</v>
      </c>
      <c r="BR36" s="85">
        <v>12</v>
      </c>
      <c r="BS36" s="86">
        <v>12</v>
      </c>
      <c r="BT36" s="92">
        <f t="shared" si="86"/>
        <v>1</v>
      </c>
      <c r="BU36" s="93">
        <f t="shared" si="87"/>
        <v>7.5</v>
      </c>
      <c r="BV36" s="93" t="str">
        <f t="shared" si="88"/>
        <v/>
      </c>
      <c r="BW36" s="86">
        <f>('[3]MTD performance'!H55)/1000</f>
        <v>1180</v>
      </c>
      <c r="BX36" s="86" t="e">
        <f>#REF!</f>
        <v>#REF!</v>
      </c>
      <c r="BY36" s="92" t="e">
        <f>BX36/BW36</f>
        <v>#REF!</v>
      </c>
      <c r="BZ36" s="86">
        <v>67.983000000000004</v>
      </c>
      <c r="CA36" s="86">
        <v>90</v>
      </c>
      <c r="CB36" s="88">
        <v>109</v>
      </c>
      <c r="CC36" s="85">
        <f>'[4]MTD performance of BCA'!I56</f>
        <v>13</v>
      </c>
      <c r="CD36" s="86">
        <f>'[4]MTD performance of BCA'!J56</f>
        <v>12</v>
      </c>
      <c r="CE36" s="92">
        <f t="shared" si="89"/>
        <v>0.92307692307692313</v>
      </c>
      <c r="CF36" s="93">
        <f t="shared" si="90"/>
        <v>7.5</v>
      </c>
      <c r="CG36" s="93" t="str">
        <f t="shared" si="91"/>
        <v/>
      </c>
      <c r="CH36" s="86">
        <f>('[3]MTD performance'!S55)/1000</f>
        <v>1.0648901057911959E-3</v>
      </c>
      <c r="CI36" s="86" t="e">
        <f>#REF!</f>
        <v>#REF!</v>
      </c>
      <c r="CJ36" s="92" t="e">
        <f>CI36/CH36</f>
        <v>#REF!</v>
      </c>
      <c r="CK36" s="86">
        <v>67.983000000000004</v>
      </c>
      <c r="CL36" s="86">
        <v>90</v>
      </c>
      <c r="CM36" s="88">
        <v>109</v>
      </c>
      <c r="CN36" s="85">
        <f t="shared" si="92"/>
        <v>14</v>
      </c>
      <c r="CO36" s="86">
        <f t="shared" si="96"/>
        <v>78</v>
      </c>
      <c r="CP36" s="92">
        <f t="shared" si="97"/>
        <v>0.82105263157894737</v>
      </c>
      <c r="CQ36" s="93">
        <f t="shared" si="93"/>
        <v>5.1538461538461542</v>
      </c>
      <c r="CR36" s="93">
        <f t="shared" si="94"/>
        <v>79.73308974358973</v>
      </c>
      <c r="CS36" s="86">
        <f t="shared" si="95"/>
        <v>6219.1809999999987</v>
      </c>
      <c r="CT36" s="86">
        <f t="shared" si="95"/>
        <v>211.547</v>
      </c>
      <c r="CU36" s="87">
        <f t="shared" si="95"/>
        <v>402</v>
      </c>
      <c r="CV36" s="90">
        <f t="shared" si="95"/>
        <v>424</v>
      </c>
    </row>
    <row r="37" spans="1:115" x14ac:dyDescent="0.25">
      <c r="A37" s="91" t="s">
        <v>47</v>
      </c>
      <c r="B37" s="82" t="s">
        <v>101</v>
      </c>
      <c r="C37" s="168" t="s">
        <v>102</v>
      </c>
      <c r="D37" s="169" t="s">
        <v>89</v>
      </c>
      <c r="E37" s="85">
        <v>10</v>
      </c>
      <c r="F37" s="86">
        <v>5</v>
      </c>
      <c r="G37" s="92">
        <f t="shared" si="30"/>
        <v>0.5</v>
      </c>
      <c r="H37" s="93">
        <f t="shared" si="31"/>
        <v>1.8</v>
      </c>
      <c r="I37" s="93">
        <f t="shared" si="32"/>
        <v>24.304200000000002</v>
      </c>
      <c r="J37" s="86">
        <v>121.521</v>
      </c>
      <c r="K37" s="86">
        <v>5.2130000000000001</v>
      </c>
      <c r="L37" s="87">
        <v>9</v>
      </c>
      <c r="M37" s="88">
        <v>9</v>
      </c>
      <c r="N37" s="85">
        <v>8</v>
      </c>
      <c r="O37" s="86">
        <v>5</v>
      </c>
      <c r="P37" s="92">
        <f t="shared" si="68"/>
        <v>0.625</v>
      </c>
      <c r="Q37" s="93">
        <f t="shared" si="69"/>
        <v>1.4</v>
      </c>
      <c r="R37" s="93">
        <f t="shared" si="70"/>
        <v>18.171800000000001</v>
      </c>
      <c r="S37" s="86">
        <v>90.859000000000009</v>
      </c>
      <c r="T37" s="86">
        <v>0.69199999999999995</v>
      </c>
      <c r="U37" s="87">
        <v>7</v>
      </c>
      <c r="V37" s="88">
        <v>2</v>
      </c>
      <c r="W37" s="85">
        <v>8</v>
      </c>
      <c r="X37" s="86">
        <v>5</v>
      </c>
      <c r="Y37" s="92">
        <f t="shared" si="71"/>
        <v>0.625</v>
      </c>
      <c r="Z37" s="93">
        <f t="shared" si="72"/>
        <v>1.6</v>
      </c>
      <c r="AA37" s="93">
        <f t="shared" si="73"/>
        <v>25.511000000000003</v>
      </c>
      <c r="AB37" s="50">
        <v>127.55500000000001</v>
      </c>
      <c r="AC37" s="50">
        <v>3.5670000000000002</v>
      </c>
      <c r="AD37" s="89">
        <v>8</v>
      </c>
      <c r="AE37" s="50">
        <v>8</v>
      </c>
      <c r="AF37" s="85">
        <v>11</v>
      </c>
      <c r="AG37" s="86">
        <v>7</v>
      </c>
      <c r="AH37" s="92">
        <f t="shared" si="74"/>
        <v>0.63636363636363635</v>
      </c>
      <c r="AI37" s="93">
        <f t="shared" si="75"/>
        <v>2.7142857142857144</v>
      </c>
      <c r="AJ37" s="93">
        <f t="shared" si="76"/>
        <v>65.505571428571429</v>
      </c>
      <c r="AK37" s="86">
        <v>458.53900000000004</v>
      </c>
      <c r="AL37" s="86">
        <v>6.9759999999999991</v>
      </c>
      <c r="AM37" s="87">
        <v>19</v>
      </c>
      <c r="AN37" s="88">
        <v>8</v>
      </c>
      <c r="AO37" s="85">
        <v>11</v>
      </c>
      <c r="AP37" s="86">
        <v>8</v>
      </c>
      <c r="AQ37" s="92">
        <f t="shared" si="77"/>
        <v>0.72727272727272729</v>
      </c>
      <c r="AR37" s="93">
        <f t="shared" si="78"/>
        <v>3.5</v>
      </c>
      <c r="AS37" s="93">
        <f t="shared" si="79"/>
        <v>59.906249999999993</v>
      </c>
      <c r="AT37" s="50">
        <v>479.24999999999994</v>
      </c>
      <c r="AU37" s="50">
        <v>21.533000000000001</v>
      </c>
      <c r="AV37" s="89">
        <v>28</v>
      </c>
      <c r="AW37" s="50">
        <v>40</v>
      </c>
      <c r="AX37" s="85">
        <v>12</v>
      </c>
      <c r="AY37" s="86">
        <v>8</v>
      </c>
      <c r="AZ37" s="92">
        <f t="shared" si="80"/>
        <v>0.66666666666666663</v>
      </c>
      <c r="BA37" s="93">
        <f t="shared" si="81"/>
        <v>5.125</v>
      </c>
      <c r="BB37" s="93">
        <f t="shared" si="82"/>
        <v>119.79725000000001</v>
      </c>
      <c r="BC37" s="86">
        <v>958.37800000000004</v>
      </c>
      <c r="BD37" s="86">
        <v>36.071000000000005</v>
      </c>
      <c r="BE37" s="86">
        <v>41</v>
      </c>
      <c r="BF37" s="88">
        <v>54</v>
      </c>
      <c r="BG37" s="85">
        <v>11</v>
      </c>
      <c r="BH37" s="86">
        <v>9</v>
      </c>
      <c r="BI37" s="92">
        <f t="shared" si="83"/>
        <v>0.81818181818181823</v>
      </c>
      <c r="BJ37" s="93">
        <f t="shared" si="84"/>
        <v>2.5555555555555554</v>
      </c>
      <c r="BK37" s="93">
        <f t="shared" si="85"/>
        <v>46.577222222222218</v>
      </c>
      <c r="BL37" s="86">
        <v>800</v>
      </c>
      <c r="BM37" s="86">
        <v>419.19499999999999</v>
      </c>
      <c r="BN37" s="92">
        <f>BM37/BL37</f>
        <v>0.52399375000000004</v>
      </c>
      <c r="BO37" s="86">
        <v>26.664999999999999</v>
      </c>
      <c r="BP37" s="86">
        <v>23</v>
      </c>
      <c r="BQ37" s="88">
        <v>37</v>
      </c>
      <c r="BR37" s="85">
        <v>11</v>
      </c>
      <c r="BS37" s="86">
        <v>9</v>
      </c>
      <c r="BT37" s="92">
        <f t="shared" si="86"/>
        <v>0.81818181818181823</v>
      </c>
      <c r="BU37" s="93">
        <f t="shared" si="87"/>
        <v>2.7777777777777777</v>
      </c>
      <c r="BV37" s="93" t="str">
        <f t="shared" si="88"/>
        <v/>
      </c>
      <c r="BW37" s="86">
        <f>('[3]MTD performance'!H56)/1000</f>
        <v>920</v>
      </c>
      <c r="BX37" s="86" t="e">
        <f>#REF!</f>
        <v>#REF!</v>
      </c>
      <c r="BY37" s="92" t="e">
        <f>BX37/BW37</f>
        <v>#REF!</v>
      </c>
      <c r="BZ37" s="86">
        <v>35.823999999999998</v>
      </c>
      <c r="CA37" s="86">
        <v>25</v>
      </c>
      <c r="CB37" s="88">
        <v>53</v>
      </c>
      <c r="CC37" s="85">
        <f>'[4]MTD performance of BCA'!I57</f>
        <v>9</v>
      </c>
      <c r="CD37" s="86">
        <f>'[4]MTD performance of BCA'!J57</f>
        <v>8</v>
      </c>
      <c r="CE37" s="92">
        <f t="shared" si="89"/>
        <v>0.88888888888888884</v>
      </c>
      <c r="CF37" s="93">
        <f t="shared" si="90"/>
        <v>3.125</v>
      </c>
      <c r="CG37" s="93" t="str">
        <f t="shared" si="91"/>
        <v/>
      </c>
      <c r="CH37" s="86">
        <f>('[3]MTD performance'!S56)/1000</f>
        <v>1.4924240187394197E-3</v>
      </c>
      <c r="CI37" s="86" t="e">
        <f>#REF!</f>
        <v>#REF!</v>
      </c>
      <c r="CJ37" s="92" t="e">
        <f>CI37/CH37</f>
        <v>#REF!</v>
      </c>
      <c r="CK37" s="86">
        <v>35.823999999999998</v>
      </c>
      <c r="CL37" s="86">
        <v>25</v>
      </c>
      <c r="CM37" s="88">
        <v>53</v>
      </c>
      <c r="CN37" s="85">
        <f t="shared" si="92"/>
        <v>11</v>
      </c>
      <c r="CO37" s="86">
        <f t="shared" si="96"/>
        <v>47</v>
      </c>
      <c r="CP37" s="92">
        <f t="shared" si="97"/>
        <v>0.6619718309859155</v>
      </c>
      <c r="CQ37" s="93">
        <f t="shared" si="93"/>
        <v>2.8723404255319149</v>
      </c>
      <c r="CR37" s="93">
        <f t="shared" si="94"/>
        <v>56.495680851063831</v>
      </c>
      <c r="CS37" s="86">
        <f t="shared" si="95"/>
        <v>2655.297</v>
      </c>
      <c r="CT37" s="86">
        <f t="shared" si="95"/>
        <v>100.71700000000001</v>
      </c>
      <c r="CU37" s="87">
        <f t="shared" si="95"/>
        <v>135</v>
      </c>
      <c r="CV37" s="90">
        <f t="shared" si="95"/>
        <v>158</v>
      </c>
    </row>
    <row r="38" spans="1:115" x14ac:dyDescent="0.25">
      <c r="A38" s="55" t="s">
        <v>47</v>
      </c>
      <c r="B38" s="53" t="s">
        <v>103</v>
      </c>
      <c r="C38" s="170" t="s">
        <v>104</v>
      </c>
      <c r="D38" s="171" t="s">
        <v>84</v>
      </c>
      <c r="E38" s="65">
        <v>0</v>
      </c>
      <c r="F38" s="66">
        <v>0</v>
      </c>
      <c r="G38" s="94" t="str">
        <f t="shared" si="30"/>
        <v/>
      </c>
      <c r="H38" s="95" t="str">
        <f t="shared" si="31"/>
        <v/>
      </c>
      <c r="I38" s="95" t="str">
        <f t="shared" si="32"/>
        <v/>
      </c>
      <c r="J38" s="66"/>
      <c r="K38" s="66"/>
      <c r="L38" s="67"/>
      <c r="M38" s="68"/>
      <c r="N38" s="65">
        <v>0</v>
      </c>
      <c r="O38" s="66">
        <v>0</v>
      </c>
      <c r="P38" s="94" t="str">
        <f t="shared" si="68"/>
        <v/>
      </c>
      <c r="Q38" s="95" t="str">
        <f t="shared" si="69"/>
        <v/>
      </c>
      <c r="R38" s="95" t="str">
        <f t="shared" si="70"/>
        <v/>
      </c>
      <c r="S38" s="66">
        <v>-17.047999999999998</v>
      </c>
      <c r="T38" s="66">
        <v>0</v>
      </c>
      <c r="U38" s="67">
        <v>-1</v>
      </c>
      <c r="V38" s="68">
        <v>0</v>
      </c>
      <c r="W38" s="65">
        <v>0</v>
      </c>
      <c r="X38" s="66">
        <v>0</v>
      </c>
      <c r="Y38" s="94" t="str">
        <f t="shared" si="71"/>
        <v/>
      </c>
      <c r="Z38" s="95" t="str">
        <f t="shared" si="72"/>
        <v/>
      </c>
      <c r="AA38" s="95" t="str">
        <f t="shared" si="73"/>
        <v/>
      </c>
      <c r="AB38" s="11">
        <v>-15.031000000000001</v>
      </c>
      <c r="AC38" s="11">
        <v>-2.5819999999999999</v>
      </c>
      <c r="AD38" s="25">
        <v>-1</v>
      </c>
      <c r="AE38" s="11">
        <v>-2</v>
      </c>
      <c r="AF38" s="65">
        <v>0</v>
      </c>
      <c r="AG38" s="66">
        <v>0</v>
      </c>
      <c r="AH38" s="94" t="str">
        <f t="shared" si="74"/>
        <v/>
      </c>
      <c r="AI38" s="95" t="str">
        <f t="shared" si="75"/>
        <v/>
      </c>
      <c r="AJ38" s="95" t="str">
        <f t="shared" si="76"/>
        <v/>
      </c>
      <c r="AK38" s="66"/>
      <c r="AL38" s="66"/>
      <c r="AM38" s="67"/>
      <c r="AN38" s="68"/>
      <c r="AO38" s="65">
        <v>0</v>
      </c>
      <c r="AP38" s="66">
        <v>0</v>
      </c>
      <c r="AQ38" s="94" t="str">
        <f t="shared" si="77"/>
        <v/>
      </c>
      <c r="AR38" s="95" t="str">
        <f t="shared" si="78"/>
        <v/>
      </c>
      <c r="AS38" s="95" t="str">
        <f t="shared" si="79"/>
        <v/>
      </c>
      <c r="AT38" s="11"/>
      <c r="AU38" s="11"/>
      <c r="AV38" s="25"/>
      <c r="AW38" s="11"/>
      <c r="AX38" s="65">
        <v>0</v>
      </c>
      <c r="AY38" s="66">
        <v>0</v>
      </c>
      <c r="AZ38" s="94" t="str">
        <f t="shared" si="80"/>
        <v/>
      </c>
      <c r="BA38" s="95" t="str">
        <f t="shared" si="81"/>
        <v/>
      </c>
      <c r="BB38" s="95" t="str">
        <f t="shared" si="82"/>
        <v/>
      </c>
      <c r="BC38" s="66"/>
      <c r="BD38" s="66"/>
      <c r="BE38" s="66"/>
      <c r="BF38" s="68"/>
      <c r="BG38" s="65"/>
      <c r="BH38" s="66"/>
      <c r="BI38" s="94" t="str">
        <f t="shared" si="83"/>
        <v/>
      </c>
      <c r="BJ38" s="95" t="str">
        <f t="shared" si="84"/>
        <v/>
      </c>
      <c r="BK38" s="95" t="str">
        <f t="shared" si="85"/>
        <v/>
      </c>
      <c r="BL38" s="66"/>
      <c r="BM38" s="66">
        <v>-24.916</v>
      </c>
      <c r="BN38" s="138"/>
      <c r="BO38" s="66">
        <v>-0.40600000000000003</v>
      </c>
      <c r="BP38" s="66">
        <v>-1</v>
      </c>
      <c r="BQ38" s="68">
        <v>-1</v>
      </c>
      <c r="BR38" s="65"/>
      <c r="BS38" s="66"/>
      <c r="BT38" s="94" t="str">
        <f t="shared" si="86"/>
        <v/>
      </c>
      <c r="BU38" s="95" t="str">
        <f t="shared" si="87"/>
        <v/>
      </c>
      <c r="BV38" s="95" t="str">
        <f t="shared" si="88"/>
        <v/>
      </c>
      <c r="BW38" s="66"/>
      <c r="BX38" s="66"/>
      <c r="BY38" s="138"/>
      <c r="BZ38" s="66"/>
      <c r="CA38" s="66"/>
      <c r="CB38" s="68"/>
      <c r="CC38" s="65"/>
      <c r="CD38" s="66"/>
      <c r="CE38" s="94" t="str">
        <f t="shared" si="89"/>
        <v/>
      </c>
      <c r="CF38" s="95" t="str">
        <f t="shared" si="90"/>
        <v/>
      </c>
      <c r="CG38" s="95" t="str">
        <f t="shared" si="91"/>
        <v/>
      </c>
      <c r="CH38" s="66"/>
      <c r="CI38" s="66"/>
      <c r="CJ38" s="138"/>
      <c r="CK38" s="66"/>
      <c r="CL38" s="66"/>
      <c r="CM38" s="68"/>
      <c r="CN38" s="65">
        <f t="shared" si="92"/>
        <v>0</v>
      </c>
      <c r="CO38" s="66">
        <f t="shared" si="96"/>
        <v>0</v>
      </c>
      <c r="CP38" s="94" t="str">
        <f t="shared" si="97"/>
        <v/>
      </c>
      <c r="CQ38" s="95" t="str">
        <f t="shared" si="93"/>
        <v/>
      </c>
      <c r="CR38" s="95" t="str">
        <f t="shared" si="94"/>
        <v/>
      </c>
      <c r="CS38" s="66">
        <f t="shared" si="95"/>
        <v>-56.995000000000005</v>
      </c>
      <c r="CT38" s="66">
        <f t="shared" si="95"/>
        <v>-2.988</v>
      </c>
      <c r="CU38" s="67">
        <f t="shared" si="95"/>
        <v>-3</v>
      </c>
      <c r="CV38" s="73">
        <f t="shared" si="95"/>
        <v>-3</v>
      </c>
    </row>
    <row r="39" spans="1:115" x14ac:dyDescent="0.25">
      <c r="A39" s="55" t="s">
        <v>47</v>
      </c>
      <c r="B39" s="53" t="s">
        <v>103</v>
      </c>
      <c r="C39" s="170" t="s">
        <v>104</v>
      </c>
      <c r="D39" s="171" t="s">
        <v>85</v>
      </c>
      <c r="E39" s="65">
        <v>21</v>
      </c>
      <c r="F39" s="66">
        <v>15</v>
      </c>
      <c r="G39" s="94">
        <f t="shared" si="30"/>
        <v>0.7142857142857143</v>
      </c>
      <c r="H39" s="95">
        <f t="shared" si="31"/>
        <v>3.2666666666666666</v>
      </c>
      <c r="I39" s="95">
        <f t="shared" si="32"/>
        <v>46.592199999999998</v>
      </c>
      <c r="J39" s="66">
        <v>698.88299999999992</v>
      </c>
      <c r="K39" s="66">
        <v>8.2169999999999987</v>
      </c>
      <c r="L39" s="67">
        <v>49</v>
      </c>
      <c r="M39" s="68">
        <v>20</v>
      </c>
      <c r="N39" s="65">
        <v>19</v>
      </c>
      <c r="O39" s="66">
        <v>17</v>
      </c>
      <c r="P39" s="94">
        <f t="shared" si="68"/>
        <v>0.89473684210526316</v>
      </c>
      <c r="Q39" s="95">
        <f t="shared" si="69"/>
        <v>4.6470588235294121</v>
      </c>
      <c r="R39" s="95">
        <f t="shared" si="70"/>
        <v>84.163117647058797</v>
      </c>
      <c r="S39" s="66">
        <v>1430.7729999999995</v>
      </c>
      <c r="T39" s="66">
        <v>43.972000000000008</v>
      </c>
      <c r="U39" s="67">
        <v>79</v>
      </c>
      <c r="V39" s="68">
        <v>117</v>
      </c>
      <c r="W39" s="65">
        <v>20</v>
      </c>
      <c r="X39" s="66">
        <v>16</v>
      </c>
      <c r="Y39" s="94">
        <f t="shared" si="71"/>
        <v>0.8</v>
      </c>
      <c r="Z39" s="95">
        <f t="shared" si="72"/>
        <v>5.375</v>
      </c>
      <c r="AA39" s="95">
        <f t="shared" si="73"/>
        <v>79.322812499999998</v>
      </c>
      <c r="AB39" s="11">
        <v>1269.165</v>
      </c>
      <c r="AC39" s="11">
        <v>25.863</v>
      </c>
      <c r="AD39" s="25">
        <v>86</v>
      </c>
      <c r="AE39" s="11">
        <v>83</v>
      </c>
      <c r="AF39" s="65">
        <v>21</v>
      </c>
      <c r="AG39" s="66">
        <v>17</v>
      </c>
      <c r="AH39" s="94">
        <f t="shared" si="74"/>
        <v>0.80952380952380953</v>
      </c>
      <c r="AI39" s="95">
        <f t="shared" si="75"/>
        <v>5.4117647058823533</v>
      </c>
      <c r="AJ39" s="95">
        <f t="shared" si="76"/>
        <v>86.525764705882352</v>
      </c>
      <c r="AK39" s="66">
        <v>1470.9379999999999</v>
      </c>
      <c r="AL39" s="66">
        <v>34.231000000000002</v>
      </c>
      <c r="AM39" s="67">
        <v>92</v>
      </c>
      <c r="AN39" s="68">
        <v>89</v>
      </c>
      <c r="AO39" s="65">
        <v>20</v>
      </c>
      <c r="AP39" s="66">
        <v>16</v>
      </c>
      <c r="AQ39" s="94">
        <f t="shared" si="77"/>
        <v>0.8</v>
      </c>
      <c r="AR39" s="95">
        <f t="shared" si="78"/>
        <v>6.3125</v>
      </c>
      <c r="AS39" s="95">
        <f t="shared" si="79"/>
        <v>118.4803125</v>
      </c>
      <c r="AT39" s="11">
        <v>1895.6849999999999</v>
      </c>
      <c r="AU39" s="11">
        <v>41.407000000000004</v>
      </c>
      <c r="AV39" s="25">
        <v>101</v>
      </c>
      <c r="AW39" s="11">
        <v>83</v>
      </c>
      <c r="AX39" s="65">
        <v>18</v>
      </c>
      <c r="AY39" s="66">
        <v>15</v>
      </c>
      <c r="AZ39" s="94">
        <f t="shared" si="80"/>
        <v>0.83333333333333337</v>
      </c>
      <c r="BA39" s="95">
        <f t="shared" si="81"/>
        <v>6.5333333333333332</v>
      </c>
      <c r="BB39" s="95">
        <f t="shared" si="82"/>
        <v>102.21693333333333</v>
      </c>
      <c r="BC39" s="66">
        <v>1533.2539999999999</v>
      </c>
      <c r="BD39" s="66">
        <v>34.769999999999996</v>
      </c>
      <c r="BE39" s="66">
        <v>98</v>
      </c>
      <c r="BF39" s="68">
        <v>91</v>
      </c>
      <c r="BG39" s="65">
        <v>19</v>
      </c>
      <c r="BH39" s="66">
        <v>17</v>
      </c>
      <c r="BI39" s="94">
        <f t="shared" si="83"/>
        <v>0.89473684210526316</v>
      </c>
      <c r="BJ39" s="95">
        <f t="shared" si="84"/>
        <v>5.882352941176471</v>
      </c>
      <c r="BK39" s="95">
        <f t="shared" si="85"/>
        <v>97.497705882352946</v>
      </c>
      <c r="BL39" s="66">
        <v>1900</v>
      </c>
      <c r="BM39" s="66">
        <v>1657.461</v>
      </c>
      <c r="BN39" s="138">
        <f t="shared" ref="BN39:BN46" si="98">BM39/BL39</f>
        <v>0.87234789473684216</v>
      </c>
      <c r="BO39" s="66">
        <v>31.45</v>
      </c>
      <c r="BP39" s="66">
        <v>100</v>
      </c>
      <c r="BQ39" s="68">
        <v>81</v>
      </c>
      <c r="BR39" s="65">
        <f>'[3]MTD performance'!I46</f>
        <v>19</v>
      </c>
      <c r="BS39" s="66">
        <f>'[3]MTD performance'!J46</f>
        <v>18</v>
      </c>
      <c r="BT39" s="94">
        <f t="shared" si="86"/>
        <v>0.94736842105263153</v>
      </c>
      <c r="BU39" s="95">
        <f t="shared" si="87"/>
        <v>5.7222222222222223</v>
      </c>
      <c r="BV39" s="95" t="str">
        <f t="shared" si="88"/>
        <v/>
      </c>
      <c r="BW39" s="66">
        <f>('[3]MTD performance'!H46)/1000</f>
        <v>1958</v>
      </c>
      <c r="BX39" s="66" t="e">
        <f>#REF!</f>
        <v>#REF!</v>
      </c>
      <c r="BY39" s="138" t="e">
        <f t="shared" ref="BY39:BY62" si="99">BX39/BW39</f>
        <v>#REF!</v>
      </c>
      <c r="BZ39" s="66">
        <v>31.693999999999999</v>
      </c>
      <c r="CA39" s="66">
        <v>103</v>
      </c>
      <c r="CB39" s="68">
        <v>90</v>
      </c>
      <c r="CC39" s="65">
        <f>'[4]MTD performance of BCA'!I47</f>
        <v>20</v>
      </c>
      <c r="CD39" s="66">
        <f>'[4]MTD performance of BCA'!J47</f>
        <v>19</v>
      </c>
      <c r="CE39" s="94">
        <f t="shared" si="89"/>
        <v>0.95</v>
      </c>
      <c r="CF39" s="95">
        <f t="shared" si="90"/>
        <v>5.4210526315789478</v>
      </c>
      <c r="CG39" s="95" t="str">
        <f t="shared" si="91"/>
        <v/>
      </c>
      <c r="CH39" s="66">
        <f>('[3]MTD performance'!S46)/1000</f>
        <v>9.9818820965627813E-4</v>
      </c>
      <c r="CI39" s="66" t="e">
        <f>#REF!</f>
        <v>#REF!</v>
      </c>
      <c r="CJ39" s="138" t="e">
        <f t="shared" ref="CJ39:CJ46" si="100">CI39/CH39</f>
        <v>#REF!</v>
      </c>
      <c r="CK39" s="66">
        <v>31.693999999999999</v>
      </c>
      <c r="CL39" s="66">
        <v>103</v>
      </c>
      <c r="CM39" s="68">
        <v>90</v>
      </c>
      <c r="CN39" s="65">
        <f t="shared" si="92"/>
        <v>19</v>
      </c>
      <c r="CO39" s="66">
        <f t="shared" si="96"/>
        <v>113</v>
      </c>
      <c r="CP39" s="94">
        <f t="shared" si="97"/>
        <v>0.8188405797101449</v>
      </c>
      <c r="CQ39" s="95">
        <f t="shared" si="93"/>
        <v>5.3539823008849554</v>
      </c>
      <c r="CR39" s="95">
        <f t="shared" si="94"/>
        <v>88.107601769911497</v>
      </c>
      <c r="CS39" s="66">
        <f t="shared" si="95"/>
        <v>9956.1589999999997</v>
      </c>
      <c r="CT39" s="66">
        <f t="shared" si="95"/>
        <v>219.91000000000003</v>
      </c>
      <c r="CU39" s="67">
        <f t="shared" si="95"/>
        <v>605</v>
      </c>
      <c r="CV39" s="73">
        <f t="shared" si="95"/>
        <v>564</v>
      </c>
    </row>
    <row r="40" spans="1:115" x14ac:dyDescent="0.25">
      <c r="A40" s="55" t="s">
        <v>47</v>
      </c>
      <c r="B40" s="53" t="s">
        <v>103</v>
      </c>
      <c r="C40" s="170" t="s">
        <v>104</v>
      </c>
      <c r="D40" s="171" t="s">
        <v>86</v>
      </c>
      <c r="E40" s="65">
        <v>19</v>
      </c>
      <c r="F40" s="66">
        <v>16</v>
      </c>
      <c r="G40" s="94">
        <f t="shared" si="30"/>
        <v>0.84210526315789469</v>
      </c>
      <c r="H40" s="95">
        <f t="shared" si="31"/>
        <v>2.5625</v>
      </c>
      <c r="I40" s="95">
        <f t="shared" si="32"/>
        <v>37.993625000000002</v>
      </c>
      <c r="J40" s="66">
        <v>607.89800000000002</v>
      </c>
      <c r="K40" s="66">
        <v>14.074</v>
      </c>
      <c r="L40" s="67">
        <v>41</v>
      </c>
      <c r="M40" s="68">
        <v>43</v>
      </c>
      <c r="N40" s="65">
        <v>18</v>
      </c>
      <c r="O40" s="66">
        <v>14</v>
      </c>
      <c r="P40" s="94">
        <f t="shared" si="68"/>
        <v>0.77777777777777779</v>
      </c>
      <c r="Q40" s="95">
        <f t="shared" si="69"/>
        <v>5.6428571428571432</v>
      </c>
      <c r="R40" s="95">
        <f t="shared" si="70"/>
        <v>84.712571428571437</v>
      </c>
      <c r="S40" s="66">
        <v>1185.9760000000001</v>
      </c>
      <c r="T40" s="66">
        <v>34.384999999999998</v>
      </c>
      <c r="U40" s="67">
        <v>79</v>
      </c>
      <c r="V40" s="68">
        <v>93</v>
      </c>
      <c r="W40" s="65">
        <v>17</v>
      </c>
      <c r="X40" s="66">
        <v>16</v>
      </c>
      <c r="Y40" s="94">
        <f t="shared" si="71"/>
        <v>0.94117647058823528</v>
      </c>
      <c r="Z40" s="95">
        <f t="shared" si="72"/>
        <v>6.8125</v>
      </c>
      <c r="AA40" s="95">
        <f t="shared" si="73"/>
        <v>121.86381249999999</v>
      </c>
      <c r="AB40" s="11">
        <v>1949.8209999999999</v>
      </c>
      <c r="AC40" s="11">
        <v>51.484999999999992</v>
      </c>
      <c r="AD40" s="25">
        <v>109</v>
      </c>
      <c r="AE40" s="11">
        <v>119</v>
      </c>
      <c r="AF40" s="65">
        <v>18</v>
      </c>
      <c r="AG40" s="66">
        <v>14</v>
      </c>
      <c r="AH40" s="94">
        <f t="shared" si="74"/>
        <v>0.77777777777777779</v>
      </c>
      <c r="AI40" s="95">
        <f t="shared" si="75"/>
        <v>3.9285714285714284</v>
      </c>
      <c r="AJ40" s="95">
        <f t="shared" si="76"/>
        <v>73.505142857142843</v>
      </c>
      <c r="AK40" s="66">
        <v>1029.0719999999999</v>
      </c>
      <c r="AL40" s="66">
        <v>27.116</v>
      </c>
      <c r="AM40" s="67">
        <v>55</v>
      </c>
      <c r="AN40" s="68">
        <v>62</v>
      </c>
      <c r="AO40" s="65">
        <v>17</v>
      </c>
      <c r="AP40" s="66">
        <v>13</v>
      </c>
      <c r="AQ40" s="94">
        <f t="shared" si="77"/>
        <v>0.76470588235294112</v>
      </c>
      <c r="AR40" s="95">
        <f t="shared" si="78"/>
        <v>5.5384615384615383</v>
      </c>
      <c r="AS40" s="95">
        <f t="shared" si="79"/>
        <v>87.407153846153861</v>
      </c>
      <c r="AT40" s="11">
        <v>1136.2930000000001</v>
      </c>
      <c r="AU40" s="11">
        <v>33.927</v>
      </c>
      <c r="AV40" s="25">
        <v>72</v>
      </c>
      <c r="AW40" s="11">
        <v>79</v>
      </c>
      <c r="AX40" s="65">
        <v>17</v>
      </c>
      <c r="AY40" s="66">
        <v>12</v>
      </c>
      <c r="AZ40" s="94">
        <f t="shared" si="80"/>
        <v>0.70588235294117652</v>
      </c>
      <c r="BA40" s="95">
        <f t="shared" si="81"/>
        <v>6.5</v>
      </c>
      <c r="BB40" s="95">
        <f t="shared" si="82"/>
        <v>122.29333333333335</v>
      </c>
      <c r="BC40" s="66">
        <v>1467.5200000000002</v>
      </c>
      <c r="BD40" s="66">
        <v>31.280999999999995</v>
      </c>
      <c r="BE40" s="66">
        <v>78</v>
      </c>
      <c r="BF40" s="68">
        <v>82</v>
      </c>
      <c r="BG40" s="65">
        <v>17</v>
      </c>
      <c r="BH40" s="66">
        <v>13</v>
      </c>
      <c r="BI40" s="94">
        <f t="shared" si="83"/>
        <v>0.76470588235294112</v>
      </c>
      <c r="BJ40" s="95">
        <f t="shared" si="84"/>
        <v>4.4615384615384617</v>
      </c>
      <c r="BK40" s="95">
        <f t="shared" si="85"/>
        <v>69.041692307692315</v>
      </c>
      <c r="BL40" s="66">
        <v>1850</v>
      </c>
      <c r="BM40" s="66">
        <v>897.54200000000003</v>
      </c>
      <c r="BN40" s="138">
        <f t="shared" si="98"/>
        <v>0.48515783783783784</v>
      </c>
      <c r="BO40" s="66">
        <v>25.495999999999999</v>
      </c>
      <c r="BP40" s="66">
        <v>58</v>
      </c>
      <c r="BQ40" s="68">
        <v>64</v>
      </c>
      <c r="BR40" s="65">
        <f>'[3]MTD performance'!I47</f>
        <v>15</v>
      </c>
      <c r="BS40" s="66">
        <v>12</v>
      </c>
      <c r="BT40" s="94">
        <f t="shared" si="86"/>
        <v>0.8</v>
      </c>
      <c r="BU40" s="95">
        <f t="shared" si="87"/>
        <v>5</v>
      </c>
      <c r="BV40" s="95" t="str">
        <f t="shared" si="88"/>
        <v/>
      </c>
      <c r="BW40" s="66">
        <f>('[3]MTD performance'!H47)/1000</f>
        <v>1906</v>
      </c>
      <c r="BX40" s="66" t="e">
        <f>#REF!</f>
        <v>#REF!</v>
      </c>
      <c r="BY40" s="138" t="e">
        <f t="shared" si="99"/>
        <v>#REF!</v>
      </c>
      <c r="BZ40" s="66">
        <v>20.736999999999998</v>
      </c>
      <c r="CA40" s="66">
        <v>60</v>
      </c>
      <c r="CB40" s="68">
        <v>61</v>
      </c>
      <c r="CC40" s="65"/>
      <c r="CD40" s="66"/>
      <c r="CE40" s="94" t="str">
        <f t="shared" si="89"/>
        <v/>
      </c>
      <c r="CF40" s="95" t="str">
        <f t="shared" si="90"/>
        <v/>
      </c>
      <c r="CG40" s="95" t="str">
        <f t="shared" si="91"/>
        <v/>
      </c>
      <c r="CH40" s="66"/>
      <c r="CI40" s="66"/>
      <c r="CJ40" s="138"/>
      <c r="CK40" s="66"/>
      <c r="CL40" s="66"/>
      <c r="CM40" s="68"/>
      <c r="CN40" s="65">
        <f t="shared" si="92"/>
        <v>17</v>
      </c>
      <c r="CO40" s="66">
        <f t="shared" si="96"/>
        <v>98</v>
      </c>
      <c r="CP40" s="94">
        <f t="shared" si="97"/>
        <v>0.7967479674796748</v>
      </c>
      <c r="CQ40" s="95">
        <f t="shared" si="93"/>
        <v>5.0204081632653059</v>
      </c>
      <c r="CR40" s="95">
        <f t="shared" si="94"/>
        <v>84.429816326530613</v>
      </c>
      <c r="CS40" s="66">
        <f t="shared" si="95"/>
        <v>8274.1219999999994</v>
      </c>
      <c r="CT40" s="66">
        <f t="shared" si="95"/>
        <v>217.76400000000001</v>
      </c>
      <c r="CU40" s="67">
        <f t="shared" si="95"/>
        <v>492</v>
      </c>
      <c r="CV40" s="73">
        <f t="shared" si="95"/>
        <v>542</v>
      </c>
    </row>
    <row r="41" spans="1:115" x14ac:dyDescent="0.25">
      <c r="A41" s="55" t="s">
        <v>47</v>
      </c>
      <c r="B41" s="53" t="s">
        <v>103</v>
      </c>
      <c r="C41" s="170" t="s">
        <v>104</v>
      </c>
      <c r="D41" s="171" t="s">
        <v>83</v>
      </c>
      <c r="E41" s="65">
        <v>15</v>
      </c>
      <c r="F41" s="66">
        <v>15</v>
      </c>
      <c r="G41" s="94">
        <f t="shared" si="30"/>
        <v>1</v>
      </c>
      <c r="H41" s="95">
        <f t="shared" si="31"/>
        <v>3.3333333333333335</v>
      </c>
      <c r="I41" s="95">
        <f t="shared" si="32"/>
        <v>74.340266666666651</v>
      </c>
      <c r="J41" s="66">
        <v>1115.1039999999998</v>
      </c>
      <c r="K41" s="66">
        <v>23.314</v>
      </c>
      <c r="L41" s="67">
        <v>50</v>
      </c>
      <c r="M41" s="68">
        <v>45</v>
      </c>
      <c r="N41" s="65">
        <v>15</v>
      </c>
      <c r="O41" s="66">
        <v>14</v>
      </c>
      <c r="P41" s="94">
        <f t="shared" si="68"/>
        <v>0.93333333333333335</v>
      </c>
      <c r="Q41" s="95">
        <f t="shared" si="69"/>
        <v>4.5</v>
      </c>
      <c r="R41" s="95">
        <f t="shared" si="70"/>
        <v>100.72842857142858</v>
      </c>
      <c r="S41" s="66">
        <v>1410.1980000000001</v>
      </c>
      <c r="T41" s="66">
        <v>23.511999999999997</v>
      </c>
      <c r="U41" s="67">
        <v>63</v>
      </c>
      <c r="V41" s="68">
        <v>55</v>
      </c>
      <c r="W41" s="65">
        <v>16</v>
      </c>
      <c r="X41" s="66">
        <v>14</v>
      </c>
      <c r="Y41" s="94">
        <f t="shared" si="71"/>
        <v>0.875</v>
      </c>
      <c r="Z41" s="95">
        <f t="shared" si="72"/>
        <v>6.5714285714285712</v>
      </c>
      <c r="AA41" s="95">
        <f t="shared" si="73"/>
        <v>132.69549999999998</v>
      </c>
      <c r="AB41" s="11">
        <v>1857.7369999999999</v>
      </c>
      <c r="AC41" s="11">
        <v>33.82</v>
      </c>
      <c r="AD41" s="25">
        <v>92</v>
      </c>
      <c r="AE41" s="11">
        <v>63</v>
      </c>
      <c r="AF41" s="65">
        <v>17</v>
      </c>
      <c r="AG41" s="66">
        <v>15</v>
      </c>
      <c r="AH41" s="94">
        <f t="shared" si="74"/>
        <v>0.88235294117647056</v>
      </c>
      <c r="AI41" s="95">
        <f t="shared" si="75"/>
        <v>5.4</v>
      </c>
      <c r="AJ41" s="95">
        <f t="shared" si="76"/>
        <v>99.617466666666672</v>
      </c>
      <c r="AK41" s="66">
        <v>1494.2620000000002</v>
      </c>
      <c r="AL41" s="66">
        <v>38.149000000000001</v>
      </c>
      <c r="AM41" s="67">
        <v>81</v>
      </c>
      <c r="AN41" s="68">
        <v>66</v>
      </c>
      <c r="AO41" s="65">
        <v>16</v>
      </c>
      <c r="AP41" s="66">
        <v>15</v>
      </c>
      <c r="AQ41" s="94">
        <f t="shared" si="77"/>
        <v>0.9375</v>
      </c>
      <c r="AR41" s="95">
        <f t="shared" si="78"/>
        <v>7.2</v>
      </c>
      <c r="AS41" s="95">
        <f t="shared" si="79"/>
        <v>160.21033333333335</v>
      </c>
      <c r="AT41" s="11">
        <v>2403.1550000000002</v>
      </c>
      <c r="AU41" s="11">
        <v>49.456000000000003</v>
      </c>
      <c r="AV41" s="25">
        <v>108</v>
      </c>
      <c r="AW41" s="11">
        <v>77</v>
      </c>
      <c r="AX41" s="65">
        <v>19</v>
      </c>
      <c r="AY41" s="66">
        <v>16</v>
      </c>
      <c r="AZ41" s="94">
        <f t="shared" si="80"/>
        <v>0.84210526315789469</v>
      </c>
      <c r="BA41" s="95">
        <f t="shared" si="81"/>
        <v>5.5625</v>
      </c>
      <c r="BB41" s="95">
        <f t="shared" si="82"/>
        <v>126.9986875</v>
      </c>
      <c r="BC41" s="66">
        <v>2031.979</v>
      </c>
      <c r="BD41" s="66">
        <v>38.542999999999999</v>
      </c>
      <c r="BE41" s="66">
        <v>89</v>
      </c>
      <c r="BF41" s="68">
        <v>66</v>
      </c>
      <c r="BG41" s="65">
        <v>19</v>
      </c>
      <c r="BH41" s="66">
        <v>15</v>
      </c>
      <c r="BI41" s="94">
        <f t="shared" si="83"/>
        <v>0.78947368421052633</v>
      </c>
      <c r="BJ41" s="95">
        <f t="shared" si="84"/>
        <v>4.4000000000000004</v>
      </c>
      <c r="BK41" s="95">
        <f t="shared" si="85"/>
        <v>101.21679999999999</v>
      </c>
      <c r="BL41" s="66">
        <v>2000</v>
      </c>
      <c r="BM41" s="66">
        <v>1518.252</v>
      </c>
      <c r="BN41" s="138">
        <f t="shared" si="98"/>
        <v>0.75912599999999997</v>
      </c>
      <c r="BO41" s="66">
        <v>28.335000000000001</v>
      </c>
      <c r="BP41" s="66">
        <v>66</v>
      </c>
      <c r="BQ41" s="68">
        <v>69</v>
      </c>
      <c r="BR41" s="65">
        <f>'[3]MTD performance'!I48</f>
        <v>19</v>
      </c>
      <c r="BS41" s="66">
        <v>17</v>
      </c>
      <c r="BT41" s="94">
        <f t="shared" si="86"/>
        <v>0.89473684210526316</v>
      </c>
      <c r="BU41" s="95">
        <f t="shared" si="87"/>
        <v>6.117647058823529</v>
      </c>
      <c r="BV41" s="95" t="str">
        <f t="shared" si="88"/>
        <v/>
      </c>
      <c r="BW41" s="66">
        <f>('[3]MTD performance'!H48)/1000</f>
        <v>2060</v>
      </c>
      <c r="BX41" s="66" t="e">
        <f>#REF!</f>
        <v>#REF!</v>
      </c>
      <c r="BY41" s="138" t="e">
        <f t="shared" si="99"/>
        <v>#REF!</v>
      </c>
      <c r="BZ41" s="66">
        <v>54.537999999999997</v>
      </c>
      <c r="CA41" s="66">
        <v>104</v>
      </c>
      <c r="CB41" s="68">
        <v>92</v>
      </c>
      <c r="CC41" s="65">
        <f>'[4]MTD performance of BCA'!I48</f>
        <v>15</v>
      </c>
      <c r="CD41" s="66">
        <f>'[4]MTD performance of BCA'!J48</f>
        <v>12</v>
      </c>
      <c r="CE41" s="94">
        <f t="shared" si="89"/>
        <v>0.8</v>
      </c>
      <c r="CF41" s="95">
        <f t="shared" si="90"/>
        <v>8.6666666666666661</v>
      </c>
      <c r="CG41" s="95" t="str">
        <f t="shared" si="91"/>
        <v/>
      </c>
      <c r="CH41" s="66">
        <f>('[3]MTD performance'!S48)/1000</f>
        <v>1.7176213039816382E-3</v>
      </c>
      <c r="CI41" s="66" t="e">
        <f>#REF!</f>
        <v>#REF!</v>
      </c>
      <c r="CJ41" s="138" t="e">
        <f t="shared" si="100"/>
        <v>#REF!</v>
      </c>
      <c r="CK41" s="66">
        <v>54.537999999999997</v>
      </c>
      <c r="CL41" s="66">
        <v>104</v>
      </c>
      <c r="CM41" s="68">
        <v>92</v>
      </c>
      <c r="CN41" s="65">
        <f t="shared" si="92"/>
        <v>19</v>
      </c>
      <c r="CO41" s="66">
        <f t="shared" si="96"/>
        <v>104</v>
      </c>
      <c r="CP41" s="94">
        <f t="shared" si="97"/>
        <v>0.88888888888888884</v>
      </c>
      <c r="CQ41" s="95">
        <f t="shared" si="93"/>
        <v>5.2788461538461542</v>
      </c>
      <c r="CR41" s="95">
        <f t="shared" si="94"/>
        <v>113.75660576923077</v>
      </c>
      <c r="CS41" s="66">
        <f t="shared" si="95"/>
        <v>11830.687</v>
      </c>
      <c r="CT41" s="66">
        <f t="shared" si="95"/>
        <v>235.12899999999999</v>
      </c>
      <c r="CU41" s="67">
        <f t="shared" si="95"/>
        <v>549</v>
      </c>
      <c r="CV41" s="73">
        <f t="shared" si="95"/>
        <v>441</v>
      </c>
    </row>
    <row r="42" spans="1:115" x14ac:dyDescent="0.25">
      <c r="A42" s="55" t="s">
        <v>47</v>
      </c>
      <c r="B42" s="53" t="s">
        <v>103</v>
      </c>
      <c r="C42" s="170" t="s">
        <v>104</v>
      </c>
      <c r="D42" s="171" t="s">
        <v>79</v>
      </c>
      <c r="E42" s="65">
        <v>15</v>
      </c>
      <c r="F42" s="66">
        <v>13</v>
      </c>
      <c r="G42" s="94">
        <f t="shared" si="30"/>
        <v>0.8666666666666667</v>
      </c>
      <c r="H42" s="95">
        <f t="shared" si="31"/>
        <v>2.7692307692307692</v>
      </c>
      <c r="I42" s="95">
        <f t="shared" si="32"/>
        <v>47.463999999999992</v>
      </c>
      <c r="J42" s="66">
        <v>617.03199999999993</v>
      </c>
      <c r="K42" s="66">
        <v>12.842000000000001</v>
      </c>
      <c r="L42" s="67">
        <v>36</v>
      </c>
      <c r="M42" s="68">
        <v>29</v>
      </c>
      <c r="N42" s="65">
        <v>16</v>
      </c>
      <c r="O42" s="66">
        <v>12</v>
      </c>
      <c r="P42" s="94">
        <f t="shared" si="68"/>
        <v>0.75</v>
      </c>
      <c r="Q42" s="95">
        <f t="shared" si="69"/>
        <v>3.5</v>
      </c>
      <c r="R42" s="95">
        <f t="shared" si="70"/>
        <v>64.73041666666667</v>
      </c>
      <c r="S42" s="66">
        <v>776.76499999999999</v>
      </c>
      <c r="T42" s="66">
        <v>20.416999999999998</v>
      </c>
      <c r="U42" s="67">
        <v>42</v>
      </c>
      <c r="V42" s="68">
        <v>39</v>
      </c>
      <c r="W42" s="65">
        <v>14</v>
      </c>
      <c r="X42" s="66">
        <v>13</v>
      </c>
      <c r="Y42" s="94">
        <f t="shared" si="71"/>
        <v>0.9285714285714286</v>
      </c>
      <c r="Z42" s="95">
        <f t="shared" si="72"/>
        <v>6.384615384615385</v>
      </c>
      <c r="AA42" s="95">
        <f t="shared" si="73"/>
        <v>107.63646153846155</v>
      </c>
      <c r="AB42" s="11">
        <v>1399.2740000000001</v>
      </c>
      <c r="AC42" s="11">
        <v>38.060999999999993</v>
      </c>
      <c r="AD42" s="25">
        <v>83</v>
      </c>
      <c r="AE42" s="11">
        <v>88</v>
      </c>
      <c r="AF42" s="65">
        <v>17</v>
      </c>
      <c r="AG42" s="66">
        <v>15</v>
      </c>
      <c r="AH42" s="94">
        <f t="shared" si="74"/>
        <v>0.88235294117647056</v>
      </c>
      <c r="AI42" s="95">
        <f t="shared" si="75"/>
        <v>3.5333333333333332</v>
      </c>
      <c r="AJ42" s="95">
        <f t="shared" si="76"/>
        <v>72.182333333333347</v>
      </c>
      <c r="AK42" s="66">
        <v>1082.7350000000001</v>
      </c>
      <c r="AL42" s="66">
        <v>45.094000000000001</v>
      </c>
      <c r="AM42" s="67">
        <v>53</v>
      </c>
      <c r="AN42" s="68">
        <v>54</v>
      </c>
      <c r="AO42" s="65">
        <v>16</v>
      </c>
      <c r="AP42" s="66">
        <v>14</v>
      </c>
      <c r="AQ42" s="94">
        <f t="shared" si="77"/>
        <v>0.875</v>
      </c>
      <c r="AR42" s="95">
        <f t="shared" si="78"/>
        <v>3.7857142857142856</v>
      </c>
      <c r="AS42" s="95">
        <f t="shared" si="79"/>
        <v>64.367285714285714</v>
      </c>
      <c r="AT42" s="11">
        <v>901.14200000000005</v>
      </c>
      <c r="AU42" s="11">
        <v>29.860000000000003</v>
      </c>
      <c r="AV42" s="25">
        <v>53</v>
      </c>
      <c r="AW42" s="11">
        <v>62</v>
      </c>
      <c r="AX42" s="65">
        <v>16</v>
      </c>
      <c r="AY42" s="66">
        <v>12</v>
      </c>
      <c r="AZ42" s="94">
        <f t="shared" si="80"/>
        <v>0.75</v>
      </c>
      <c r="BA42" s="95">
        <f t="shared" si="81"/>
        <v>4.666666666666667</v>
      </c>
      <c r="BB42" s="95">
        <f t="shared" si="82"/>
        <v>91.283333333333317</v>
      </c>
      <c r="BC42" s="66">
        <v>1095.3999999999999</v>
      </c>
      <c r="BD42" s="66">
        <v>40.023000000000003</v>
      </c>
      <c r="BE42" s="66">
        <v>56</v>
      </c>
      <c r="BF42" s="68">
        <v>73</v>
      </c>
      <c r="BG42" s="65">
        <v>16</v>
      </c>
      <c r="BH42" s="66">
        <v>13</v>
      </c>
      <c r="BI42" s="94">
        <f t="shared" si="83"/>
        <v>0.8125</v>
      </c>
      <c r="BJ42" s="95">
        <f t="shared" si="84"/>
        <v>3</v>
      </c>
      <c r="BK42" s="95">
        <f t="shared" si="85"/>
        <v>58.732538461538461</v>
      </c>
      <c r="BL42" s="66">
        <v>1650</v>
      </c>
      <c r="BM42" s="66">
        <v>763.52300000000002</v>
      </c>
      <c r="BN42" s="138">
        <f t="shared" si="98"/>
        <v>0.46274121212121211</v>
      </c>
      <c r="BO42" s="66">
        <v>21.192</v>
      </c>
      <c r="BP42" s="66">
        <v>39</v>
      </c>
      <c r="BQ42" s="68">
        <v>33</v>
      </c>
      <c r="BR42" s="65">
        <f>'[3]MTD performance'!I49</f>
        <v>20</v>
      </c>
      <c r="BS42" s="66">
        <f>'[3]MTD performance'!J49</f>
        <v>17</v>
      </c>
      <c r="BT42" s="94">
        <f t="shared" si="86"/>
        <v>0.85</v>
      </c>
      <c r="BU42" s="95">
        <f t="shared" si="87"/>
        <v>5.0588235294117645</v>
      </c>
      <c r="BV42" s="95" t="str">
        <f t="shared" si="88"/>
        <v/>
      </c>
      <c r="BW42" s="66">
        <f>('[3]MTD performance'!H49)/1000</f>
        <v>1700</v>
      </c>
      <c r="BX42" s="66" t="e">
        <f>#REF!</f>
        <v>#REF!</v>
      </c>
      <c r="BY42" s="138" t="e">
        <f t="shared" si="99"/>
        <v>#REF!</v>
      </c>
      <c r="BZ42" s="66">
        <v>35.076999999999998</v>
      </c>
      <c r="CA42" s="66">
        <v>86</v>
      </c>
      <c r="CB42" s="68">
        <v>75</v>
      </c>
      <c r="CC42" s="65">
        <f>'[4]MTD performance of BCA'!I49</f>
        <v>17</v>
      </c>
      <c r="CD42" s="66">
        <f>'[4]MTD performance of BCA'!J49</f>
        <v>15</v>
      </c>
      <c r="CE42" s="94">
        <f t="shared" si="89"/>
        <v>0.88235294117647056</v>
      </c>
      <c r="CF42" s="95">
        <f t="shared" si="90"/>
        <v>5.7333333333333334</v>
      </c>
      <c r="CG42" s="95" t="str">
        <f t="shared" si="91"/>
        <v/>
      </c>
      <c r="CH42" s="66">
        <f>('[3]MTD performance'!S49)/1000</f>
        <v>1.9429794155950263E-3</v>
      </c>
      <c r="CI42" s="66" t="e">
        <f>#REF!</f>
        <v>#REF!</v>
      </c>
      <c r="CJ42" s="138" t="e">
        <f t="shared" si="100"/>
        <v>#REF!</v>
      </c>
      <c r="CK42" s="66">
        <v>35.076999999999998</v>
      </c>
      <c r="CL42" s="66">
        <v>86</v>
      </c>
      <c r="CM42" s="68">
        <v>75</v>
      </c>
      <c r="CN42" s="65">
        <f t="shared" si="92"/>
        <v>16</v>
      </c>
      <c r="CO42" s="66">
        <f t="shared" si="96"/>
        <v>92</v>
      </c>
      <c r="CP42" s="94">
        <f t="shared" si="97"/>
        <v>0.83636363636363631</v>
      </c>
      <c r="CQ42" s="95">
        <f t="shared" si="93"/>
        <v>3.9347826086956523</v>
      </c>
      <c r="CR42" s="95">
        <f t="shared" si="94"/>
        <v>72.129032608695653</v>
      </c>
      <c r="CS42" s="66">
        <f t="shared" si="95"/>
        <v>6635.8710000000001</v>
      </c>
      <c r="CT42" s="66">
        <f t="shared" si="95"/>
        <v>207.489</v>
      </c>
      <c r="CU42" s="67">
        <f t="shared" si="95"/>
        <v>362</v>
      </c>
      <c r="CV42" s="73">
        <f t="shared" si="95"/>
        <v>378</v>
      </c>
    </row>
    <row r="43" spans="1:115" x14ac:dyDescent="0.25">
      <c r="A43" s="55" t="s">
        <v>47</v>
      </c>
      <c r="B43" s="53" t="s">
        <v>103</v>
      </c>
      <c r="C43" s="170" t="s">
        <v>104</v>
      </c>
      <c r="D43" s="171" t="s">
        <v>182</v>
      </c>
      <c r="E43" s="65"/>
      <c r="F43" s="66"/>
      <c r="G43" s="94"/>
      <c r="H43" s="95"/>
      <c r="I43" s="95"/>
      <c r="J43" s="66"/>
      <c r="K43" s="66"/>
      <c r="L43" s="67"/>
      <c r="M43" s="68"/>
      <c r="N43" s="65"/>
      <c r="O43" s="66"/>
      <c r="P43" s="94"/>
      <c r="Q43" s="95"/>
      <c r="R43" s="95"/>
      <c r="S43" s="66"/>
      <c r="T43" s="66"/>
      <c r="U43" s="67"/>
      <c r="V43" s="68"/>
      <c r="W43" s="65"/>
      <c r="X43" s="66"/>
      <c r="Y43" s="94"/>
      <c r="Z43" s="95"/>
      <c r="AA43" s="95"/>
      <c r="AB43" s="11"/>
      <c r="AC43" s="11"/>
      <c r="AD43" s="25"/>
      <c r="AE43" s="11"/>
      <c r="AF43" s="65"/>
      <c r="AG43" s="66"/>
      <c r="AH43" s="94"/>
      <c r="AI43" s="95"/>
      <c r="AJ43" s="95"/>
      <c r="AK43" s="66"/>
      <c r="AL43" s="66"/>
      <c r="AM43" s="67"/>
      <c r="AN43" s="68"/>
      <c r="AO43" s="65"/>
      <c r="AP43" s="66"/>
      <c r="AQ43" s="94"/>
      <c r="AR43" s="95"/>
      <c r="AS43" s="95"/>
      <c r="AT43" s="11"/>
      <c r="AU43" s="11"/>
      <c r="AV43" s="25"/>
      <c r="AW43" s="11"/>
      <c r="AX43" s="65"/>
      <c r="AY43" s="66"/>
      <c r="AZ43" s="94"/>
      <c r="BA43" s="95"/>
      <c r="BB43" s="95"/>
      <c r="BC43" s="66"/>
      <c r="BD43" s="66"/>
      <c r="BE43" s="66"/>
      <c r="BF43" s="68"/>
      <c r="BG43" s="65"/>
      <c r="BH43" s="66"/>
      <c r="BI43" s="94"/>
      <c r="BJ43" s="95"/>
      <c r="BK43" s="95"/>
      <c r="BL43" s="66"/>
      <c r="BM43" s="66"/>
      <c r="BN43" s="138"/>
      <c r="BO43" s="66"/>
      <c r="BP43" s="66"/>
      <c r="BQ43" s="68"/>
      <c r="BR43" s="65"/>
      <c r="BS43" s="66"/>
      <c r="BT43" s="94"/>
      <c r="BU43" s="95"/>
      <c r="BV43" s="95"/>
      <c r="BW43" s="66"/>
      <c r="BX43" s="66"/>
      <c r="BY43" s="138"/>
      <c r="BZ43" s="66"/>
      <c r="CA43" s="66"/>
      <c r="CB43" s="68"/>
      <c r="CC43" s="65">
        <f>'[4]MTD performance of BCA'!I50</f>
        <v>12</v>
      </c>
      <c r="CD43" s="66">
        <f>'[4]MTD performance of BCA'!J50</f>
        <v>10</v>
      </c>
      <c r="CE43" s="94"/>
      <c r="CF43" s="95"/>
      <c r="CG43" s="95"/>
      <c r="CH43" s="66"/>
      <c r="CI43" s="66"/>
      <c r="CJ43" s="138"/>
      <c r="CK43" s="66"/>
      <c r="CL43" s="66"/>
      <c r="CM43" s="68"/>
      <c r="CN43" s="65"/>
      <c r="CO43" s="66"/>
      <c r="CP43" s="94"/>
      <c r="CQ43" s="95"/>
      <c r="CR43" s="95"/>
      <c r="CS43" s="66"/>
      <c r="CT43" s="66"/>
      <c r="CU43" s="67"/>
      <c r="CV43" s="73"/>
    </row>
    <row r="44" spans="1:115" x14ac:dyDescent="0.25">
      <c r="A44" s="55" t="s">
        <v>47</v>
      </c>
      <c r="B44" s="53" t="s">
        <v>103</v>
      </c>
      <c r="C44" s="170" t="s">
        <v>104</v>
      </c>
      <c r="D44" s="171" t="s">
        <v>87</v>
      </c>
      <c r="E44" s="65">
        <v>16</v>
      </c>
      <c r="F44" s="66">
        <v>12</v>
      </c>
      <c r="G44" s="94">
        <f t="shared" si="30"/>
        <v>0.75</v>
      </c>
      <c r="H44" s="95">
        <f t="shared" si="31"/>
        <v>4.333333333333333</v>
      </c>
      <c r="I44" s="95">
        <f t="shared" si="32"/>
        <v>68.267999999999986</v>
      </c>
      <c r="J44" s="66">
        <v>819.21599999999978</v>
      </c>
      <c r="K44" s="66">
        <v>18.756999999999998</v>
      </c>
      <c r="L44" s="67">
        <v>52</v>
      </c>
      <c r="M44" s="68">
        <v>48</v>
      </c>
      <c r="N44" s="65">
        <v>15</v>
      </c>
      <c r="O44" s="66">
        <v>11</v>
      </c>
      <c r="P44" s="94">
        <f t="shared" si="68"/>
        <v>0.73333333333333328</v>
      </c>
      <c r="Q44" s="95">
        <f t="shared" si="69"/>
        <v>7.1818181818181817</v>
      </c>
      <c r="R44" s="95">
        <f t="shared" si="70"/>
        <v>117.50445454545456</v>
      </c>
      <c r="S44" s="66">
        <v>1292.5490000000002</v>
      </c>
      <c r="T44" s="66">
        <v>31.976000000000003</v>
      </c>
      <c r="U44" s="67">
        <v>79</v>
      </c>
      <c r="V44" s="68">
        <v>77</v>
      </c>
      <c r="W44" s="65">
        <v>15</v>
      </c>
      <c r="X44" s="66">
        <v>12</v>
      </c>
      <c r="Y44" s="94">
        <f t="shared" si="71"/>
        <v>0.8</v>
      </c>
      <c r="Z44" s="95">
        <f t="shared" si="72"/>
        <v>8.3333333333333339</v>
      </c>
      <c r="AA44" s="95">
        <f t="shared" si="73"/>
        <v>136.54925</v>
      </c>
      <c r="AB44" s="11">
        <v>1638.5910000000001</v>
      </c>
      <c r="AC44" s="11">
        <v>31.045000000000002</v>
      </c>
      <c r="AD44" s="25">
        <v>100</v>
      </c>
      <c r="AE44" s="11">
        <v>76</v>
      </c>
      <c r="AF44" s="65">
        <v>18</v>
      </c>
      <c r="AG44" s="66">
        <v>14</v>
      </c>
      <c r="AH44" s="94">
        <f t="shared" si="74"/>
        <v>0.77777777777777779</v>
      </c>
      <c r="AI44" s="95">
        <f t="shared" si="75"/>
        <v>5</v>
      </c>
      <c r="AJ44" s="95">
        <f t="shared" si="76"/>
        <v>78.880857142857138</v>
      </c>
      <c r="AK44" s="66">
        <v>1104.3319999999999</v>
      </c>
      <c r="AL44" s="66">
        <v>19.61</v>
      </c>
      <c r="AM44" s="67">
        <v>70</v>
      </c>
      <c r="AN44" s="68">
        <v>53</v>
      </c>
      <c r="AO44" s="65">
        <v>19</v>
      </c>
      <c r="AP44" s="66">
        <v>15</v>
      </c>
      <c r="AQ44" s="94">
        <f t="shared" si="77"/>
        <v>0.78947368421052633</v>
      </c>
      <c r="AR44" s="95">
        <f t="shared" si="78"/>
        <v>7.5333333333333332</v>
      </c>
      <c r="AS44" s="95">
        <f t="shared" si="79"/>
        <v>128.57533333333333</v>
      </c>
      <c r="AT44" s="11">
        <v>1928.63</v>
      </c>
      <c r="AU44" s="11">
        <v>43.061</v>
      </c>
      <c r="AV44" s="25">
        <v>113</v>
      </c>
      <c r="AW44" s="11">
        <v>98</v>
      </c>
      <c r="AX44" s="65">
        <v>19</v>
      </c>
      <c r="AY44" s="66">
        <v>16</v>
      </c>
      <c r="AZ44" s="94">
        <f t="shared" si="80"/>
        <v>0.84210526315789469</v>
      </c>
      <c r="BA44" s="95">
        <f t="shared" si="81"/>
        <v>7.375</v>
      </c>
      <c r="BB44" s="95">
        <f t="shared" si="82"/>
        <v>122.04775000000002</v>
      </c>
      <c r="BC44" s="66">
        <v>1952.7640000000004</v>
      </c>
      <c r="BD44" s="66">
        <v>38.188000000000009</v>
      </c>
      <c r="BE44" s="66">
        <v>118</v>
      </c>
      <c r="BF44" s="68">
        <v>103</v>
      </c>
      <c r="BG44" s="65">
        <v>19</v>
      </c>
      <c r="BH44" s="66">
        <v>15</v>
      </c>
      <c r="BI44" s="94">
        <f t="shared" si="83"/>
        <v>0.78947368421052633</v>
      </c>
      <c r="BJ44" s="95">
        <f t="shared" si="84"/>
        <v>6.666666666666667</v>
      </c>
      <c r="BK44" s="95">
        <f t="shared" si="85"/>
        <v>115.91933333333333</v>
      </c>
      <c r="BL44" s="66">
        <v>1850</v>
      </c>
      <c r="BM44" s="66">
        <v>1738.79</v>
      </c>
      <c r="BN44" s="138">
        <f t="shared" si="98"/>
        <v>0.93988648648648643</v>
      </c>
      <c r="BO44" s="66">
        <v>46.976999999999997</v>
      </c>
      <c r="BP44" s="66">
        <v>100</v>
      </c>
      <c r="BQ44" s="68">
        <v>97</v>
      </c>
      <c r="BR44" s="65">
        <v>19</v>
      </c>
      <c r="BS44" s="66">
        <v>14</v>
      </c>
      <c r="BT44" s="94">
        <f t="shared" si="86"/>
        <v>0.73684210526315785</v>
      </c>
      <c r="BU44" s="95">
        <f t="shared" si="87"/>
        <v>5.3571428571428568</v>
      </c>
      <c r="BV44" s="95" t="str">
        <f t="shared" si="88"/>
        <v/>
      </c>
      <c r="BW44" s="66">
        <f>('[3]MTD performance'!H50)/1000</f>
        <v>1906</v>
      </c>
      <c r="BX44" s="66" t="e">
        <f>#REF!</f>
        <v>#REF!</v>
      </c>
      <c r="BY44" s="138" t="e">
        <f t="shared" si="99"/>
        <v>#REF!</v>
      </c>
      <c r="BZ44" s="66">
        <v>32.994</v>
      </c>
      <c r="CA44" s="66">
        <v>75</v>
      </c>
      <c r="CB44" s="68">
        <v>63</v>
      </c>
      <c r="CC44" s="65">
        <f>'[4]MTD performance of BCA'!I51</f>
        <v>19</v>
      </c>
      <c r="CD44" s="66">
        <f>'[4]MTD performance of BCA'!J51</f>
        <v>16</v>
      </c>
      <c r="CE44" s="94">
        <f t="shared" si="89"/>
        <v>0.84210526315789469</v>
      </c>
      <c r="CF44" s="95">
        <f t="shared" si="90"/>
        <v>4.6875</v>
      </c>
      <c r="CG44" s="95" t="str">
        <f t="shared" si="91"/>
        <v/>
      </c>
      <c r="CH44" s="66">
        <f>('[3]MTD performance'!S50)/1000</f>
        <v>8.4526467092351496E-4</v>
      </c>
      <c r="CI44" s="66" t="e">
        <f>#REF!</f>
        <v>#REF!</v>
      </c>
      <c r="CJ44" s="138" t="e">
        <f t="shared" si="100"/>
        <v>#REF!</v>
      </c>
      <c r="CK44" s="66">
        <v>32.994</v>
      </c>
      <c r="CL44" s="66">
        <v>75</v>
      </c>
      <c r="CM44" s="68">
        <v>63</v>
      </c>
      <c r="CN44" s="65">
        <f>BG44</f>
        <v>19</v>
      </c>
      <c r="CO44" s="66">
        <f t="shared" si="96"/>
        <v>95</v>
      </c>
      <c r="CP44" s="94">
        <f t="shared" si="97"/>
        <v>0.78512396694214881</v>
      </c>
      <c r="CQ44" s="95">
        <f t="shared" si="93"/>
        <v>6.6526315789473687</v>
      </c>
      <c r="CR44" s="95">
        <f t="shared" si="94"/>
        <v>110.26181052631578</v>
      </c>
      <c r="CS44" s="66">
        <f t="shared" si="95"/>
        <v>10474.871999999999</v>
      </c>
      <c r="CT44" s="66">
        <f t="shared" si="95"/>
        <v>229.61400000000003</v>
      </c>
      <c r="CU44" s="67">
        <f t="shared" si="95"/>
        <v>632</v>
      </c>
      <c r="CV44" s="73">
        <f t="shared" si="95"/>
        <v>552</v>
      </c>
    </row>
    <row r="45" spans="1:115" x14ac:dyDescent="0.25">
      <c r="A45" s="55" t="s">
        <v>47</v>
      </c>
      <c r="B45" s="53" t="s">
        <v>103</v>
      </c>
      <c r="C45" s="170" t="s">
        <v>104</v>
      </c>
      <c r="D45" s="171" t="s">
        <v>81</v>
      </c>
      <c r="E45" s="65">
        <v>22</v>
      </c>
      <c r="F45" s="66">
        <v>18</v>
      </c>
      <c r="G45" s="94">
        <f t="shared" si="30"/>
        <v>0.81818181818181823</v>
      </c>
      <c r="H45" s="95">
        <f t="shared" si="31"/>
        <v>2.8888888888888888</v>
      </c>
      <c r="I45" s="95">
        <f t="shared" si="32"/>
        <v>40.517388888888888</v>
      </c>
      <c r="J45" s="66">
        <v>729.31299999999999</v>
      </c>
      <c r="K45" s="66">
        <v>16.635999999999999</v>
      </c>
      <c r="L45" s="67">
        <v>52</v>
      </c>
      <c r="M45" s="68">
        <v>45</v>
      </c>
      <c r="N45" s="65">
        <v>22</v>
      </c>
      <c r="O45" s="66">
        <v>21</v>
      </c>
      <c r="P45" s="94">
        <f t="shared" si="68"/>
        <v>0.95454545454545459</v>
      </c>
      <c r="Q45" s="95">
        <f t="shared" si="69"/>
        <v>5.333333333333333</v>
      </c>
      <c r="R45" s="95">
        <f t="shared" si="70"/>
        <v>72.542142857142863</v>
      </c>
      <c r="S45" s="66">
        <v>1523.3850000000002</v>
      </c>
      <c r="T45" s="66">
        <v>52.981000000000002</v>
      </c>
      <c r="U45" s="67">
        <v>112</v>
      </c>
      <c r="V45" s="68">
        <v>154</v>
      </c>
      <c r="W45" s="65">
        <v>22</v>
      </c>
      <c r="X45" s="66">
        <v>20</v>
      </c>
      <c r="Y45" s="94">
        <f t="shared" si="71"/>
        <v>0.90909090909090906</v>
      </c>
      <c r="Z45" s="95">
        <f t="shared" si="72"/>
        <v>7.35</v>
      </c>
      <c r="AA45" s="95">
        <f t="shared" si="73"/>
        <v>107.76870000000001</v>
      </c>
      <c r="AB45" s="11">
        <v>2155.3740000000003</v>
      </c>
      <c r="AC45" s="11">
        <v>60.623000000000005</v>
      </c>
      <c r="AD45" s="25">
        <v>147</v>
      </c>
      <c r="AE45" s="11">
        <v>168</v>
      </c>
      <c r="AF45" s="65">
        <v>23</v>
      </c>
      <c r="AG45" s="66">
        <v>20</v>
      </c>
      <c r="AH45" s="94">
        <f t="shared" si="74"/>
        <v>0.86956521739130432</v>
      </c>
      <c r="AI45" s="95">
        <f t="shared" si="75"/>
        <v>5.45</v>
      </c>
      <c r="AJ45" s="95">
        <f t="shared" si="76"/>
        <v>94.85035000000002</v>
      </c>
      <c r="AK45" s="66">
        <v>1897.0070000000003</v>
      </c>
      <c r="AL45" s="66">
        <v>44.11399999999999</v>
      </c>
      <c r="AM45" s="67">
        <v>109</v>
      </c>
      <c r="AN45" s="68">
        <v>107</v>
      </c>
      <c r="AO45" s="65">
        <v>24</v>
      </c>
      <c r="AP45" s="66">
        <v>20</v>
      </c>
      <c r="AQ45" s="94">
        <f t="shared" si="77"/>
        <v>0.83333333333333337</v>
      </c>
      <c r="AR45" s="95">
        <f t="shared" si="78"/>
        <v>7.6</v>
      </c>
      <c r="AS45" s="95">
        <f t="shared" si="79"/>
        <v>127.37424999999996</v>
      </c>
      <c r="AT45" s="11">
        <v>2547.4849999999992</v>
      </c>
      <c r="AU45" s="11">
        <v>74.716999999999999</v>
      </c>
      <c r="AV45" s="25">
        <v>152</v>
      </c>
      <c r="AW45" s="11">
        <v>157</v>
      </c>
      <c r="AX45" s="65">
        <v>23</v>
      </c>
      <c r="AY45" s="66">
        <v>21</v>
      </c>
      <c r="AZ45" s="94">
        <f t="shared" si="80"/>
        <v>0.91304347826086951</v>
      </c>
      <c r="BA45" s="95">
        <f t="shared" si="81"/>
        <v>7.2857142857142856</v>
      </c>
      <c r="BB45" s="95">
        <f t="shared" si="82"/>
        <v>118.30576190476188</v>
      </c>
      <c r="BC45" s="66">
        <v>2484.4209999999994</v>
      </c>
      <c r="BD45" s="66">
        <v>68.824999999999989</v>
      </c>
      <c r="BE45" s="66">
        <v>153</v>
      </c>
      <c r="BF45" s="68">
        <v>155</v>
      </c>
      <c r="BG45" s="65">
        <v>23</v>
      </c>
      <c r="BH45" s="66">
        <v>19</v>
      </c>
      <c r="BI45" s="94">
        <f t="shared" si="83"/>
        <v>0.82608695652173914</v>
      </c>
      <c r="BJ45" s="95">
        <f t="shared" si="84"/>
        <v>6.3157894736842106</v>
      </c>
      <c r="BK45" s="95">
        <f t="shared" si="85"/>
        <v>99.344000000000008</v>
      </c>
      <c r="BL45" s="66">
        <v>2300</v>
      </c>
      <c r="BM45" s="66">
        <v>1887.5360000000001</v>
      </c>
      <c r="BN45" s="138">
        <f t="shared" si="98"/>
        <v>0.82066782608695654</v>
      </c>
      <c r="BO45" s="66">
        <v>61.875999999999998</v>
      </c>
      <c r="BP45" s="66">
        <v>120</v>
      </c>
      <c r="BQ45" s="68">
        <v>120</v>
      </c>
      <c r="BR45" s="65">
        <v>23</v>
      </c>
      <c r="BS45" s="66">
        <v>22</v>
      </c>
      <c r="BT45" s="94">
        <f t="shared" si="86"/>
        <v>0.95652173913043481</v>
      </c>
      <c r="BU45" s="95">
        <f t="shared" si="87"/>
        <v>6.4545454545454541</v>
      </c>
      <c r="BV45" s="95" t="str">
        <f t="shared" si="88"/>
        <v/>
      </c>
      <c r="BW45" s="66">
        <f>('[3]MTD performance'!H51)/1000</f>
        <v>2370</v>
      </c>
      <c r="BX45" s="66" t="e">
        <f>#REF!</f>
        <v>#REF!</v>
      </c>
      <c r="BY45" s="138" t="e">
        <f t="shared" si="99"/>
        <v>#REF!</v>
      </c>
      <c r="BZ45" s="66">
        <v>44.902999999999999</v>
      </c>
      <c r="CA45" s="66">
        <v>142</v>
      </c>
      <c r="CB45" s="68">
        <v>109</v>
      </c>
      <c r="CC45" s="65">
        <f>'[4]MTD performance of BCA'!I52</f>
        <v>22</v>
      </c>
      <c r="CD45" s="66">
        <f>'[4]MTD performance of BCA'!J52</f>
        <v>22</v>
      </c>
      <c r="CE45" s="94">
        <f t="shared" si="89"/>
        <v>1</v>
      </c>
      <c r="CF45" s="95">
        <f t="shared" si="90"/>
        <v>6.4545454545454541</v>
      </c>
      <c r="CG45" s="95" t="str">
        <f t="shared" si="91"/>
        <v/>
      </c>
      <c r="CH45" s="66">
        <f>('[3]MTD performance'!S51)/1000</f>
        <v>1.2438346995979207E-3</v>
      </c>
      <c r="CI45" s="66" t="e">
        <f>#REF!</f>
        <v>#REF!</v>
      </c>
      <c r="CJ45" s="138" t="e">
        <f t="shared" si="100"/>
        <v>#REF!</v>
      </c>
      <c r="CK45" s="66">
        <v>44.902999999999999</v>
      </c>
      <c r="CL45" s="66">
        <v>142</v>
      </c>
      <c r="CM45" s="68">
        <v>109</v>
      </c>
      <c r="CN45" s="65">
        <f>BG45</f>
        <v>23</v>
      </c>
      <c r="CO45" s="66">
        <f t="shared" si="96"/>
        <v>139</v>
      </c>
      <c r="CP45" s="94">
        <f t="shared" si="97"/>
        <v>0.87421383647798745</v>
      </c>
      <c r="CQ45" s="95">
        <f t="shared" si="93"/>
        <v>6.0791366906474824</v>
      </c>
      <c r="CR45" s="95">
        <f t="shared" si="94"/>
        <v>95.140438848920866</v>
      </c>
      <c r="CS45" s="66">
        <f t="shared" si="95"/>
        <v>13224.521000000001</v>
      </c>
      <c r="CT45" s="66">
        <f t="shared" si="95"/>
        <v>379.77199999999993</v>
      </c>
      <c r="CU45" s="67">
        <f t="shared" si="95"/>
        <v>845</v>
      </c>
      <c r="CV45" s="73">
        <f t="shared" si="95"/>
        <v>906</v>
      </c>
    </row>
    <row r="46" spans="1:115" s="9" customFormat="1" x14ac:dyDescent="0.25">
      <c r="A46" s="61" t="s">
        <v>106</v>
      </c>
      <c r="B46" s="62"/>
      <c r="C46" s="62"/>
      <c r="D46" s="63"/>
      <c r="E46" s="71">
        <f>SUM(E33:E45)</f>
        <v>171</v>
      </c>
      <c r="F46" s="64">
        <f>SUM(F33:F45)</f>
        <v>132</v>
      </c>
      <c r="G46" s="98">
        <f t="shared" si="30"/>
        <v>0.77192982456140347</v>
      </c>
      <c r="H46" s="99">
        <f t="shared" si="31"/>
        <v>2.7196969696969697</v>
      </c>
      <c r="I46" s="99">
        <f t="shared" si="32"/>
        <v>43.060113636363631</v>
      </c>
      <c r="J46" s="64">
        <f>SUM(J33:J45)</f>
        <v>5683.9349999999995</v>
      </c>
      <c r="K46" s="64">
        <f>SUM(K33:K45)</f>
        <v>144.62199999999999</v>
      </c>
      <c r="L46" s="64">
        <f>SUM(L33:L45)</f>
        <v>359</v>
      </c>
      <c r="M46" s="72">
        <f>SUM(M33:M45)</f>
        <v>334</v>
      </c>
      <c r="N46" s="71">
        <v>167</v>
      </c>
      <c r="O46" s="64">
        <v>129</v>
      </c>
      <c r="P46" s="98">
        <f t="shared" si="68"/>
        <v>0.77245508982035926</v>
      </c>
      <c r="Q46" s="99">
        <f t="shared" si="69"/>
        <v>4.0930232558139537</v>
      </c>
      <c r="R46" s="99">
        <f t="shared" si="70"/>
        <v>69.507751937984494</v>
      </c>
      <c r="S46" s="64">
        <f>SUM(S33:S45)</f>
        <v>8966.5</v>
      </c>
      <c r="T46" s="64">
        <f>SUM(T33:T45)</f>
        <v>270.697</v>
      </c>
      <c r="U46" s="64">
        <f>SUM(U33:U45)</f>
        <v>528</v>
      </c>
      <c r="V46" s="72">
        <f>SUM(V33:V45)</f>
        <v>633</v>
      </c>
      <c r="W46" s="71">
        <v>168</v>
      </c>
      <c r="X46" s="64">
        <v>143</v>
      </c>
      <c r="Y46" s="98">
        <f t="shared" si="71"/>
        <v>0.85119047619047616</v>
      </c>
      <c r="Z46" s="99">
        <f t="shared" si="72"/>
        <v>5.965034965034965</v>
      </c>
      <c r="AA46" s="99">
        <f t="shared" si="73"/>
        <v>99.155083916083896</v>
      </c>
      <c r="AB46" s="64">
        <f>SUM(AB33:AB45)</f>
        <v>14179.176999999998</v>
      </c>
      <c r="AC46" s="64">
        <f>SUM(AC33:AC45)</f>
        <v>349.08299999999997</v>
      </c>
      <c r="AD46" s="64">
        <f>SUM(AD33:AD45)</f>
        <v>853</v>
      </c>
      <c r="AE46" s="64">
        <f>SUM(AE33:AE45)</f>
        <v>797</v>
      </c>
      <c r="AF46" s="71">
        <v>183</v>
      </c>
      <c r="AG46" s="64">
        <v>150</v>
      </c>
      <c r="AH46" s="98">
        <f t="shared" si="74"/>
        <v>0.81967213114754101</v>
      </c>
      <c r="AI46" s="99">
        <f t="shared" si="75"/>
        <v>4.6933333333333334</v>
      </c>
      <c r="AJ46" s="99">
        <f t="shared" si="76"/>
        <v>78.47923333333334</v>
      </c>
      <c r="AK46" s="64">
        <f>SUM(AK33:AK45)</f>
        <v>11771.885</v>
      </c>
      <c r="AL46" s="64">
        <f>SUM(AL33:AL45)</f>
        <v>339.31099999999998</v>
      </c>
      <c r="AM46" s="64">
        <f>SUM(AM33:AM45)</f>
        <v>704</v>
      </c>
      <c r="AN46" s="72">
        <f>SUM(AN33:AN45)</f>
        <v>709</v>
      </c>
      <c r="AO46" s="71">
        <v>180</v>
      </c>
      <c r="AP46" s="64">
        <v>146</v>
      </c>
      <c r="AQ46" s="98">
        <f t="shared" si="77"/>
        <v>0.81111111111111112</v>
      </c>
      <c r="AR46" s="99">
        <f t="shared" si="78"/>
        <v>5.9794520547945202</v>
      </c>
      <c r="AS46" s="99">
        <f t="shared" si="79"/>
        <v>103.9961917808219</v>
      </c>
      <c r="AT46" s="64">
        <f>SUM(AT33:AT45)</f>
        <v>15183.443999999998</v>
      </c>
      <c r="AU46" s="64">
        <f>SUM(AU33:AU45)</f>
        <v>444.81099999999998</v>
      </c>
      <c r="AV46" s="64">
        <f>SUM(AV33:AV45)</f>
        <v>873</v>
      </c>
      <c r="AW46" s="64">
        <f>SUM(AW33:AW45)</f>
        <v>880</v>
      </c>
      <c r="AX46" s="71">
        <v>181</v>
      </c>
      <c r="AY46" s="64">
        <v>146</v>
      </c>
      <c r="AZ46" s="98">
        <f t="shared" si="80"/>
        <v>0.8066298342541437</v>
      </c>
      <c r="BA46" s="99">
        <f t="shared" si="81"/>
        <v>6.1780821917808222</v>
      </c>
      <c r="BB46" s="99">
        <f t="shared" si="82"/>
        <v>109.6492808219178</v>
      </c>
      <c r="BC46" s="64">
        <f t="shared" ref="BC46:BH46" si="101">SUM(BC33:BC45)</f>
        <v>16008.794999999998</v>
      </c>
      <c r="BD46" s="64">
        <f t="shared" si="101"/>
        <v>411.91500000000002</v>
      </c>
      <c r="BE46" s="64">
        <f t="shared" si="101"/>
        <v>902</v>
      </c>
      <c r="BF46" s="72">
        <f t="shared" si="101"/>
        <v>873</v>
      </c>
      <c r="BG46" s="71">
        <f t="shared" si="101"/>
        <v>183</v>
      </c>
      <c r="BH46" s="64">
        <f t="shared" si="101"/>
        <v>145</v>
      </c>
      <c r="BI46" s="123">
        <f t="shared" si="83"/>
        <v>0.79234972677595628</v>
      </c>
      <c r="BJ46" s="124">
        <f t="shared" si="84"/>
        <v>5.1310344827586203</v>
      </c>
      <c r="BK46" s="124">
        <f t="shared" si="85"/>
        <v>89.353793103448268</v>
      </c>
      <c r="BL46" s="142">
        <f>SUM(BL33:BL45)</f>
        <v>16500</v>
      </c>
      <c r="BM46" s="142">
        <f>SUM(BM33:BM45)</f>
        <v>12956.3</v>
      </c>
      <c r="BN46" s="143">
        <f t="shared" si="98"/>
        <v>0.78523030303030295</v>
      </c>
      <c r="BO46" s="64">
        <f>SUM(BO33:BO45)</f>
        <v>384.75099999999992</v>
      </c>
      <c r="BP46" s="64">
        <f>SUM(BP33:BP45)</f>
        <v>744</v>
      </c>
      <c r="BQ46" s="72">
        <f>SUM(BQ33:BQ45)</f>
        <v>778</v>
      </c>
      <c r="BR46" s="71">
        <f>SUM(BR33:BR45)</f>
        <v>182</v>
      </c>
      <c r="BS46" s="64">
        <f>SUM(BS33:BS45)</f>
        <v>156</v>
      </c>
      <c r="BT46" s="123">
        <f t="shared" si="86"/>
        <v>0.8571428571428571</v>
      </c>
      <c r="BU46" s="124">
        <f t="shared" si="87"/>
        <v>5.8076923076923075</v>
      </c>
      <c r="BV46" s="124" t="str">
        <f t="shared" si="88"/>
        <v/>
      </c>
      <c r="BW46" s="142">
        <f>SUM(BW33:BW45)</f>
        <v>17500</v>
      </c>
      <c r="BX46" s="142" t="e">
        <f>SUM(BX33:BX45)</f>
        <v>#REF!</v>
      </c>
      <c r="BY46" s="143" t="e">
        <f t="shared" si="99"/>
        <v>#REF!</v>
      </c>
      <c r="BZ46" s="64">
        <f>SUM(BZ33:BZ45)</f>
        <v>434.66100000000006</v>
      </c>
      <c r="CA46" s="64">
        <f>SUM(CA33:CA45)</f>
        <v>906</v>
      </c>
      <c r="CB46" s="72">
        <f>SUM(CB33:CB45)</f>
        <v>871</v>
      </c>
      <c r="CC46" s="71">
        <f>SUM(CC33:CC45)</f>
        <v>166</v>
      </c>
      <c r="CD46" s="64">
        <f>SUM(CD33:CD45)</f>
        <v>151</v>
      </c>
      <c r="CE46" s="123">
        <f t="shared" si="89"/>
        <v>0.90963855421686746</v>
      </c>
      <c r="CF46" s="124">
        <f t="shared" si="90"/>
        <v>5.6026490066225163</v>
      </c>
      <c r="CG46" s="124" t="str">
        <f t="shared" si="91"/>
        <v/>
      </c>
      <c r="CH46" s="142">
        <f>SUM(CH33:CH45)</f>
        <v>1140.0118913055817</v>
      </c>
      <c r="CI46" s="142" t="e">
        <f>SUM(CI33:CI45)</f>
        <v>#REF!</v>
      </c>
      <c r="CJ46" s="143" t="e">
        <f t="shared" si="100"/>
        <v>#REF!</v>
      </c>
      <c r="CK46" s="64">
        <f>SUM(CK33:CK45)</f>
        <v>413.92399999999998</v>
      </c>
      <c r="CL46" s="64">
        <f>SUM(CL33:CL45)</f>
        <v>846</v>
      </c>
      <c r="CM46" s="72">
        <f>SUM(CM33:CM45)</f>
        <v>810</v>
      </c>
      <c r="CN46" s="64">
        <f>SUM(CN33:CN45)</f>
        <v>183</v>
      </c>
      <c r="CO46" s="64">
        <f>SUM(CO33:CO45)</f>
        <v>991</v>
      </c>
      <c r="CP46" s="123">
        <f t="shared" si="97"/>
        <v>0.80373073803730744</v>
      </c>
      <c r="CQ46" s="124">
        <f t="shared" si="93"/>
        <v>5.0080726538849643</v>
      </c>
      <c r="CR46" s="124">
        <f t="shared" si="94"/>
        <v>85.51971342078707</v>
      </c>
      <c r="CS46" s="64">
        <f>SUM(CS33:CS45)</f>
        <v>84750.035999999993</v>
      </c>
      <c r="CT46" s="64">
        <f>SUM(CT33:CT45)</f>
        <v>2345.1899999999996</v>
      </c>
      <c r="CU46" s="64">
        <f>SUM(CU33:CU45)</f>
        <v>4963</v>
      </c>
      <c r="CV46" s="72">
        <f>SUM(CV33:CV45)</f>
        <v>5004</v>
      </c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9" customFormat="1" x14ac:dyDescent="0.25">
      <c r="A47" s="161"/>
      <c r="B47" s="162"/>
      <c r="C47" s="162"/>
      <c r="D47" s="163"/>
      <c r="E47" s="164"/>
      <c r="F47" s="165"/>
      <c r="G47" s="94"/>
      <c r="H47" s="95"/>
      <c r="I47" s="95"/>
      <c r="J47" s="165"/>
      <c r="K47" s="165"/>
      <c r="L47" s="165"/>
      <c r="M47" s="166"/>
      <c r="N47" s="164"/>
      <c r="O47" s="165"/>
      <c r="P47" s="94"/>
      <c r="Q47" s="95"/>
      <c r="R47" s="95"/>
      <c r="S47" s="165"/>
      <c r="T47" s="165"/>
      <c r="U47" s="165"/>
      <c r="V47" s="166"/>
      <c r="W47" s="164"/>
      <c r="X47" s="165"/>
      <c r="Y47" s="94"/>
      <c r="Z47" s="95"/>
      <c r="AA47" s="95"/>
      <c r="AB47" s="165"/>
      <c r="AC47" s="165"/>
      <c r="AD47" s="165"/>
      <c r="AE47" s="165"/>
      <c r="AF47" s="164"/>
      <c r="AG47" s="165"/>
      <c r="AH47" s="94"/>
      <c r="AI47" s="95"/>
      <c r="AJ47" s="95"/>
      <c r="AK47" s="165"/>
      <c r="AL47" s="165"/>
      <c r="AM47" s="165"/>
      <c r="AN47" s="166"/>
      <c r="AO47" s="164"/>
      <c r="AP47" s="165"/>
      <c r="AQ47" s="94"/>
      <c r="AR47" s="95"/>
      <c r="AS47" s="95"/>
      <c r="AT47" s="165"/>
      <c r="AU47" s="165"/>
      <c r="AV47" s="165"/>
      <c r="AW47" s="165"/>
      <c r="AX47" s="164"/>
      <c r="AY47" s="165"/>
      <c r="AZ47" s="94"/>
      <c r="BA47" s="95"/>
      <c r="BB47" s="95"/>
      <c r="BC47" s="165"/>
      <c r="BD47" s="165"/>
      <c r="BE47" s="165"/>
      <c r="BF47" s="166"/>
      <c r="BG47" s="164"/>
      <c r="BH47" s="165"/>
      <c r="BI47" s="160"/>
      <c r="BJ47" s="160"/>
      <c r="BK47" s="160"/>
      <c r="BL47" s="165"/>
      <c r="BM47" s="165"/>
      <c r="BN47" s="165"/>
      <c r="BO47" s="165"/>
      <c r="BP47" s="165"/>
      <c r="BQ47" s="166"/>
      <c r="BR47" s="164"/>
      <c r="BS47" s="165"/>
      <c r="BT47" s="98"/>
      <c r="BU47" s="165"/>
      <c r="BV47" s="165"/>
      <c r="BW47" s="165"/>
      <c r="BX47" s="165"/>
      <c r="BY47" s="165"/>
      <c r="BZ47" s="165"/>
      <c r="CA47" s="165"/>
      <c r="CB47" s="166"/>
      <c r="CC47" s="164"/>
      <c r="CD47" s="165"/>
      <c r="CE47" s="98"/>
      <c r="CF47" s="165"/>
      <c r="CG47" s="165"/>
      <c r="CH47" s="165"/>
      <c r="CI47" s="165"/>
      <c r="CJ47" s="165"/>
      <c r="CK47" s="165"/>
      <c r="CL47" s="165"/>
      <c r="CM47" s="166"/>
      <c r="CN47" s="165"/>
      <c r="CO47" s="165"/>
      <c r="CP47" s="98"/>
      <c r="CQ47" s="99"/>
      <c r="CR47" s="99"/>
      <c r="CS47" s="165"/>
      <c r="CT47" s="165"/>
      <c r="CU47" s="165"/>
      <c r="CV47" s="166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x14ac:dyDescent="0.25">
      <c r="A48" s="167" t="s">
        <v>116</v>
      </c>
      <c r="B48" s="168" t="s">
        <v>156</v>
      </c>
      <c r="C48" s="168" t="s">
        <v>145</v>
      </c>
      <c r="D48" s="169" t="s">
        <v>148</v>
      </c>
      <c r="E48" s="85"/>
      <c r="F48" s="86"/>
      <c r="G48" s="92"/>
      <c r="H48" s="93"/>
      <c r="I48" s="93"/>
      <c r="J48" s="86"/>
      <c r="K48" s="86"/>
      <c r="L48" s="87"/>
      <c r="M48" s="88"/>
      <c r="N48" s="85"/>
      <c r="O48" s="86"/>
      <c r="P48" s="92"/>
      <c r="Q48" s="93"/>
      <c r="R48" s="93"/>
      <c r="S48" s="86"/>
      <c r="T48" s="86"/>
      <c r="U48" s="87"/>
      <c r="V48" s="88"/>
      <c r="W48" s="85"/>
      <c r="X48" s="86"/>
      <c r="Y48" s="92"/>
      <c r="Z48" s="93"/>
      <c r="AA48" s="93"/>
      <c r="AB48" s="50"/>
      <c r="AC48" s="50"/>
      <c r="AD48" s="89"/>
      <c r="AE48" s="50"/>
      <c r="AF48" s="85"/>
      <c r="AG48" s="86"/>
      <c r="AH48" s="92"/>
      <c r="AI48" s="93"/>
      <c r="AJ48" s="93"/>
      <c r="AK48" s="86"/>
      <c r="AL48" s="86"/>
      <c r="AM48" s="87"/>
      <c r="AN48" s="88"/>
      <c r="AO48" s="85"/>
      <c r="AP48" s="86"/>
      <c r="AQ48" s="92"/>
      <c r="AR48" s="93"/>
      <c r="AS48" s="93"/>
      <c r="AT48" s="50"/>
      <c r="AU48" s="50"/>
      <c r="AV48" s="89"/>
      <c r="AW48" s="50"/>
      <c r="AX48" s="85"/>
      <c r="AY48" s="86"/>
      <c r="AZ48" s="92"/>
      <c r="BA48" s="93"/>
      <c r="BB48" s="93"/>
      <c r="BC48" s="86"/>
      <c r="BD48" s="86"/>
      <c r="BE48" s="86"/>
      <c r="BF48" s="88"/>
      <c r="BG48" s="85"/>
      <c r="BH48" s="86"/>
      <c r="BI48" s="92"/>
      <c r="BJ48" s="93"/>
      <c r="BK48" s="93"/>
      <c r="BL48" s="86"/>
      <c r="BM48" s="86"/>
      <c r="BN48" s="92"/>
      <c r="BO48" s="86"/>
      <c r="BP48" s="86"/>
      <c r="BQ48" s="88"/>
      <c r="BR48" s="85">
        <v>6</v>
      </c>
      <c r="BS48" s="86">
        <v>7</v>
      </c>
      <c r="BT48" s="92">
        <f t="shared" ref="BT48:BT61" si="102">IFERROR(BS48/BR48,"")</f>
        <v>1.1666666666666667</v>
      </c>
      <c r="BU48" s="93" t="str">
        <f t="shared" ref="BU48:BU61" si="103">IFERROR(CA48/BS48,"")</f>
        <v/>
      </c>
      <c r="BV48" s="93" t="str">
        <f t="shared" ref="BV48:BV61" si="104">IFERROR(BX48/BS48,"")</f>
        <v/>
      </c>
      <c r="BW48" s="86">
        <v>160</v>
      </c>
      <c r="BX48" s="86" t="e">
        <f>#REF!</f>
        <v>#REF!</v>
      </c>
      <c r="BY48" s="92" t="e">
        <f t="shared" si="99"/>
        <v>#REF!</v>
      </c>
      <c r="BZ48" s="86" t="e">
        <f>#REF!</f>
        <v>#REF!</v>
      </c>
      <c r="CA48" s="86" t="e">
        <f>#REF!</f>
        <v>#REF!</v>
      </c>
      <c r="CB48" s="88" t="e">
        <f>#REF!</f>
        <v>#REF!</v>
      </c>
      <c r="CC48" s="85">
        <f>'[4]MTD performance of BCA'!I32</f>
        <v>6</v>
      </c>
      <c r="CD48" s="86">
        <f>'[4]MTD performance of BCA'!J32</f>
        <v>5</v>
      </c>
      <c r="CE48" s="92">
        <f t="shared" ref="CE48:CE58" si="105">IFERROR(CD48/CC48,"")</f>
        <v>0.83333333333333337</v>
      </c>
      <c r="CF48" s="93" t="str">
        <f t="shared" ref="CF48:CF58" si="106">IFERROR(CL48/CD48,"")</f>
        <v/>
      </c>
      <c r="CG48" s="93" t="str">
        <f t="shared" ref="CG48:CG58" si="107">IFERROR(CI48/CD48,"")</f>
        <v/>
      </c>
      <c r="CH48" s="86">
        <v>160</v>
      </c>
      <c r="CI48" s="86" t="e">
        <f>#REF!</f>
        <v>#REF!</v>
      </c>
      <c r="CJ48" s="92" t="e">
        <f t="shared" ref="CJ48:CJ53" si="108">CI48/CH48</f>
        <v>#REF!</v>
      </c>
      <c r="CK48" s="86" t="e">
        <f>#REF!</f>
        <v>#REF!</v>
      </c>
      <c r="CL48" s="86" t="e">
        <f>#REF!</f>
        <v>#REF!</v>
      </c>
      <c r="CM48" s="88" t="e">
        <f>#REF!</f>
        <v>#REF!</v>
      </c>
      <c r="CN48" s="85">
        <f>BG48</f>
        <v>0</v>
      </c>
      <c r="CO48" s="86">
        <f>SUMIF($E$22:$BQ$22,CO$22,$E48:$BQ48)</f>
        <v>0</v>
      </c>
      <c r="CP48" s="92" t="str">
        <f t="shared" si="97"/>
        <v/>
      </c>
      <c r="CQ48" s="93" t="str">
        <f t="shared" ref="CQ48:CQ61" si="109">IFERROR(CU48/CO48,"")</f>
        <v/>
      </c>
      <c r="CR48" s="93" t="str">
        <f t="shared" ref="CR48:CR61" si="110">IFERROR(CS48/CO48,"")</f>
        <v/>
      </c>
      <c r="CS48" s="86">
        <f t="shared" si="95"/>
        <v>0</v>
      </c>
      <c r="CT48" s="86">
        <f t="shared" si="95"/>
        <v>0</v>
      </c>
      <c r="CU48" s="87">
        <f t="shared" si="95"/>
        <v>0</v>
      </c>
      <c r="CV48" s="90">
        <f t="shared" si="95"/>
        <v>0</v>
      </c>
    </row>
    <row r="49" spans="1:115" x14ac:dyDescent="0.25">
      <c r="A49" s="91" t="s">
        <v>116</v>
      </c>
      <c r="B49" s="168" t="s">
        <v>156</v>
      </c>
      <c r="C49" s="168" t="s">
        <v>145</v>
      </c>
      <c r="D49" s="169" t="s">
        <v>144</v>
      </c>
      <c r="E49" s="85"/>
      <c r="F49" s="86"/>
      <c r="G49" s="92"/>
      <c r="H49" s="93"/>
      <c r="I49" s="93"/>
      <c r="J49" s="86"/>
      <c r="K49" s="86"/>
      <c r="L49" s="87"/>
      <c r="M49" s="88"/>
      <c r="N49" s="85"/>
      <c r="O49" s="86"/>
      <c r="P49" s="92"/>
      <c r="Q49" s="93"/>
      <c r="R49" s="93"/>
      <c r="S49" s="86"/>
      <c r="T49" s="86"/>
      <c r="U49" s="87"/>
      <c r="V49" s="88"/>
      <c r="W49" s="85"/>
      <c r="X49" s="86"/>
      <c r="Y49" s="92"/>
      <c r="Z49" s="93"/>
      <c r="AA49" s="93"/>
      <c r="AB49" s="50"/>
      <c r="AC49" s="50"/>
      <c r="AD49" s="89"/>
      <c r="AE49" s="50"/>
      <c r="AF49" s="85"/>
      <c r="AG49" s="86"/>
      <c r="AH49" s="92"/>
      <c r="AI49" s="93"/>
      <c r="AJ49" s="93"/>
      <c r="AK49" s="86"/>
      <c r="AL49" s="86"/>
      <c r="AM49" s="87"/>
      <c r="AN49" s="88"/>
      <c r="AO49" s="85"/>
      <c r="AP49" s="86"/>
      <c r="AQ49" s="92"/>
      <c r="AR49" s="93"/>
      <c r="AS49" s="93"/>
      <c r="AT49" s="50"/>
      <c r="AU49" s="50"/>
      <c r="AV49" s="89"/>
      <c r="AW49" s="50"/>
      <c r="AX49" s="85"/>
      <c r="AY49" s="86"/>
      <c r="AZ49" s="92"/>
      <c r="BA49" s="93"/>
      <c r="BB49" s="93"/>
      <c r="BC49" s="86"/>
      <c r="BD49" s="86"/>
      <c r="BE49" s="86"/>
      <c r="BF49" s="88"/>
      <c r="BG49" s="85"/>
      <c r="BH49" s="86"/>
      <c r="BI49" s="92"/>
      <c r="BJ49" s="93"/>
      <c r="BK49" s="93"/>
      <c r="BL49" s="86"/>
      <c r="BM49" s="86"/>
      <c r="BN49" s="92"/>
      <c r="BO49" s="86"/>
      <c r="BP49" s="86"/>
      <c r="BQ49" s="88"/>
      <c r="BR49" s="85">
        <v>18</v>
      </c>
      <c r="BS49" s="86">
        <v>17</v>
      </c>
      <c r="BT49" s="92">
        <f t="shared" si="102"/>
        <v>0.94444444444444442</v>
      </c>
      <c r="BU49" s="93" t="str">
        <f t="shared" si="103"/>
        <v/>
      </c>
      <c r="BV49" s="93" t="str">
        <f t="shared" si="104"/>
        <v/>
      </c>
      <c r="BW49" s="86">
        <v>300</v>
      </c>
      <c r="BX49" s="86" t="e">
        <f>#REF!</f>
        <v>#REF!</v>
      </c>
      <c r="BY49" s="92" t="e">
        <f t="shared" si="99"/>
        <v>#REF!</v>
      </c>
      <c r="BZ49" s="86" t="e">
        <f>#REF!</f>
        <v>#REF!</v>
      </c>
      <c r="CA49" s="86" t="e">
        <f>#REF!</f>
        <v>#REF!</v>
      </c>
      <c r="CB49" s="88" t="e">
        <f>#REF!</f>
        <v>#REF!</v>
      </c>
      <c r="CC49" s="85">
        <f>'[4]MTD performance of BCA'!I33</f>
        <v>18</v>
      </c>
      <c r="CD49" s="86">
        <f>'[4]MTD performance of BCA'!J33</f>
        <v>13</v>
      </c>
      <c r="CE49" s="92">
        <f t="shared" si="105"/>
        <v>0.72222222222222221</v>
      </c>
      <c r="CF49" s="93" t="str">
        <f t="shared" si="106"/>
        <v/>
      </c>
      <c r="CG49" s="93" t="str">
        <f t="shared" si="107"/>
        <v/>
      </c>
      <c r="CH49" s="86">
        <v>300</v>
      </c>
      <c r="CI49" s="86" t="e">
        <f>#REF!</f>
        <v>#REF!</v>
      </c>
      <c r="CJ49" s="92" t="e">
        <f t="shared" si="108"/>
        <v>#REF!</v>
      </c>
      <c r="CK49" s="86" t="e">
        <f>#REF!</f>
        <v>#REF!</v>
      </c>
      <c r="CL49" s="86" t="e">
        <f>#REF!</f>
        <v>#REF!</v>
      </c>
      <c r="CM49" s="88" t="e">
        <f>#REF!</f>
        <v>#REF!</v>
      </c>
      <c r="CN49" s="85">
        <f>BG49</f>
        <v>0</v>
      </c>
      <c r="CO49" s="86">
        <f t="shared" ref="CO49:CO58" si="111">SUMIF($E$22:$BQ$22,CO$22,$E49:$BQ49)</f>
        <v>0</v>
      </c>
      <c r="CP49" s="92" t="str">
        <f>IFERROR(CO49/SUMIF($E$22:$BQ$22,"MP",$E49:$BQ49),"")</f>
        <v/>
      </c>
      <c r="CQ49" s="93" t="str">
        <f t="shared" si="109"/>
        <v/>
      </c>
      <c r="CR49" s="93" t="str">
        <f t="shared" si="110"/>
        <v/>
      </c>
      <c r="CS49" s="86">
        <f t="shared" si="95"/>
        <v>0</v>
      </c>
      <c r="CT49" s="86">
        <f t="shared" si="95"/>
        <v>0</v>
      </c>
      <c r="CU49" s="87">
        <f t="shared" si="95"/>
        <v>0</v>
      </c>
      <c r="CV49" s="90">
        <f t="shared" si="95"/>
        <v>0</v>
      </c>
    </row>
    <row r="50" spans="1:115" x14ac:dyDescent="0.25">
      <c r="A50" s="91" t="s">
        <v>116</v>
      </c>
      <c r="B50" s="168" t="s">
        <v>156</v>
      </c>
      <c r="C50" s="168" t="s">
        <v>145</v>
      </c>
      <c r="D50" s="169" t="s">
        <v>75</v>
      </c>
      <c r="E50" s="85"/>
      <c r="F50" s="86"/>
      <c r="G50" s="92"/>
      <c r="H50" s="93"/>
      <c r="I50" s="93"/>
      <c r="J50" s="86"/>
      <c r="K50" s="86"/>
      <c r="L50" s="87"/>
      <c r="M50" s="88"/>
      <c r="N50" s="85"/>
      <c r="O50" s="86"/>
      <c r="P50" s="92"/>
      <c r="Q50" s="93"/>
      <c r="R50" s="93"/>
      <c r="S50" s="86"/>
      <c r="T50" s="86"/>
      <c r="U50" s="87"/>
      <c r="V50" s="88"/>
      <c r="W50" s="85"/>
      <c r="X50" s="86"/>
      <c r="Y50" s="92"/>
      <c r="Z50" s="93"/>
      <c r="AA50" s="93"/>
      <c r="AB50" s="50"/>
      <c r="AC50" s="50"/>
      <c r="AD50" s="89"/>
      <c r="AE50" s="50"/>
      <c r="AF50" s="85"/>
      <c r="AG50" s="86"/>
      <c r="AH50" s="92"/>
      <c r="AI50" s="93"/>
      <c r="AJ50" s="93"/>
      <c r="AK50" s="86"/>
      <c r="AL50" s="86"/>
      <c r="AM50" s="87"/>
      <c r="AN50" s="88"/>
      <c r="AO50" s="85"/>
      <c r="AP50" s="86"/>
      <c r="AQ50" s="92"/>
      <c r="AR50" s="93"/>
      <c r="AS50" s="93"/>
      <c r="AT50" s="50"/>
      <c r="AU50" s="50"/>
      <c r="AV50" s="89"/>
      <c r="AW50" s="50"/>
      <c r="AX50" s="85"/>
      <c r="AY50" s="86"/>
      <c r="AZ50" s="92"/>
      <c r="BA50" s="93"/>
      <c r="BB50" s="93"/>
      <c r="BC50" s="86"/>
      <c r="BD50" s="86"/>
      <c r="BE50" s="86"/>
      <c r="BF50" s="88"/>
      <c r="BG50" s="85"/>
      <c r="BH50" s="86"/>
      <c r="BI50" s="92"/>
      <c r="BJ50" s="93"/>
      <c r="BK50" s="93"/>
      <c r="BL50" s="86"/>
      <c r="BM50" s="86"/>
      <c r="BN50" s="92"/>
      <c r="BO50" s="86"/>
      <c r="BP50" s="86"/>
      <c r="BQ50" s="88"/>
      <c r="BR50" s="85">
        <v>19</v>
      </c>
      <c r="BS50" s="86">
        <v>14</v>
      </c>
      <c r="BT50" s="92">
        <f t="shared" si="102"/>
        <v>0.73684210526315785</v>
      </c>
      <c r="BU50" s="93" t="str">
        <f t="shared" si="103"/>
        <v/>
      </c>
      <c r="BV50" s="93" t="str">
        <f t="shared" si="104"/>
        <v/>
      </c>
      <c r="BW50" s="86">
        <v>240</v>
      </c>
      <c r="BX50" s="86" t="e">
        <f>#REF!</f>
        <v>#REF!</v>
      </c>
      <c r="BY50" s="92" t="e">
        <f t="shared" si="99"/>
        <v>#REF!</v>
      </c>
      <c r="BZ50" s="86" t="e">
        <f>#REF!</f>
        <v>#REF!</v>
      </c>
      <c r="CA50" s="86" t="e">
        <f>#REF!</f>
        <v>#REF!</v>
      </c>
      <c r="CB50" s="88" t="e">
        <f>#REF!</f>
        <v>#REF!</v>
      </c>
      <c r="CC50" s="85">
        <f>'[4]MTD performance of BCA'!I34</f>
        <v>17</v>
      </c>
      <c r="CD50" s="86">
        <f>'[4]MTD performance of BCA'!J34</f>
        <v>7</v>
      </c>
      <c r="CE50" s="92">
        <f t="shared" si="105"/>
        <v>0.41176470588235292</v>
      </c>
      <c r="CF50" s="93" t="str">
        <f t="shared" si="106"/>
        <v/>
      </c>
      <c r="CG50" s="93" t="str">
        <f t="shared" si="107"/>
        <v/>
      </c>
      <c r="CH50" s="86">
        <v>240</v>
      </c>
      <c r="CI50" s="86" t="e">
        <f>#REF!</f>
        <v>#REF!</v>
      </c>
      <c r="CJ50" s="92" t="e">
        <f t="shared" si="108"/>
        <v>#REF!</v>
      </c>
      <c r="CK50" s="86" t="e">
        <f>#REF!</f>
        <v>#REF!</v>
      </c>
      <c r="CL50" s="86" t="e">
        <f>#REF!</f>
        <v>#REF!</v>
      </c>
      <c r="CM50" s="88" t="e">
        <f>#REF!</f>
        <v>#REF!</v>
      </c>
      <c r="CN50" s="85">
        <f>BG50</f>
        <v>0</v>
      </c>
      <c r="CO50" s="86">
        <f t="shared" si="111"/>
        <v>0</v>
      </c>
      <c r="CP50" s="92" t="str">
        <f t="shared" ref="CP50:CP61" si="112">IFERROR(CO50/SUMIF($E$22:$BQ$22,"MP",$E50:$BQ50),"")</f>
        <v/>
      </c>
      <c r="CQ50" s="93" t="str">
        <f t="shared" si="109"/>
        <v/>
      </c>
      <c r="CR50" s="93" t="str">
        <f t="shared" si="110"/>
        <v/>
      </c>
      <c r="CS50" s="86">
        <f t="shared" si="95"/>
        <v>0</v>
      </c>
      <c r="CT50" s="86">
        <f t="shared" si="95"/>
        <v>0</v>
      </c>
      <c r="CU50" s="87">
        <f t="shared" si="95"/>
        <v>0</v>
      </c>
      <c r="CV50" s="90">
        <f t="shared" si="95"/>
        <v>0</v>
      </c>
    </row>
    <row r="51" spans="1:115" x14ac:dyDescent="0.25">
      <c r="A51" s="55" t="s">
        <v>116</v>
      </c>
      <c r="B51" s="170" t="s">
        <v>157</v>
      </c>
      <c r="C51" s="170" t="s">
        <v>146</v>
      </c>
      <c r="D51" s="169" t="s">
        <v>181</v>
      </c>
      <c r="E51" s="85"/>
      <c r="F51" s="86"/>
      <c r="G51" s="92"/>
      <c r="H51" s="93"/>
      <c r="I51" s="93"/>
      <c r="J51" s="86"/>
      <c r="K51" s="86"/>
      <c r="L51" s="87"/>
      <c r="M51" s="88"/>
      <c r="N51" s="85"/>
      <c r="O51" s="86"/>
      <c r="P51" s="92"/>
      <c r="Q51" s="93"/>
      <c r="R51" s="93"/>
      <c r="S51" s="86"/>
      <c r="T51" s="86"/>
      <c r="U51" s="87"/>
      <c r="V51" s="88"/>
      <c r="W51" s="85"/>
      <c r="X51" s="86"/>
      <c r="Y51" s="92"/>
      <c r="Z51" s="93"/>
      <c r="AA51" s="93"/>
      <c r="AB51" s="50"/>
      <c r="AC51" s="50"/>
      <c r="AD51" s="89"/>
      <c r="AE51" s="50"/>
      <c r="AF51" s="85"/>
      <c r="AG51" s="86"/>
      <c r="AH51" s="92"/>
      <c r="AI51" s="93"/>
      <c r="AJ51" s="93"/>
      <c r="AK51" s="86"/>
      <c r="AL51" s="86"/>
      <c r="AM51" s="87"/>
      <c r="AN51" s="88"/>
      <c r="AO51" s="85"/>
      <c r="AP51" s="86"/>
      <c r="AQ51" s="92"/>
      <c r="AR51" s="93"/>
      <c r="AS51" s="93"/>
      <c r="AT51" s="50"/>
      <c r="AU51" s="50"/>
      <c r="AV51" s="89"/>
      <c r="AW51" s="50"/>
      <c r="AX51" s="85"/>
      <c r="AY51" s="86"/>
      <c r="AZ51" s="92"/>
      <c r="BA51" s="93"/>
      <c r="BB51" s="93"/>
      <c r="BC51" s="86"/>
      <c r="BD51" s="86"/>
      <c r="BE51" s="86"/>
      <c r="BF51" s="88"/>
      <c r="BG51" s="85"/>
      <c r="BH51" s="86"/>
      <c r="BI51" s="92"/>
      <c r="BJ51" s="93"/>
      <c r="BK51" s="93"/>
      <c r="BL51" s="86"/>
      <c r="BM51" s="86"/>
      <c r="BN51" s="92"/>
      <c r="BO51" s="86"/>
      <c r="BP51" s="86"/>
      <c r="BQ51" s="88"/>
      <c r="BR51" s="85"/>
      <c r="BS51" s="86"/>
      <c r="BT51" s="92"/>
      <c r="BU51" s="93"/>
      <c r="BV51" s="93"/>
      <c r="BW51" s="86"/>
      <c r="BX51" s="86"/>
      <c r="BY51" s="92"/>
      <c r="BZ51" s="86"/>
      <c r="CA51" s="86"/>
      <c r="CB51" s="88"/>
      <c r="CC51" s="85">
        <f>'[4]MTD performance of BCA'!I35</f>
        <v>11</v>
      </c>
      <c r="CD51" s="86">
        <f>'[4]MTD performance of BCA'!J35</f>
        <v>5</v>
      </c>
      <c r="CE51" s="92"/>
      <c r="CF51" s="93"/>
      <c r="CG51" s="93"/>
      <c r="CH51" s="86"/>
      <c r="CI51" s="86"/>
      <c r="CJ51" s="92"/>
      <c r="CK51" s="86"/>
      <c r="CL51" s="86"/>
      <c r="CM51" s="88"/>
      <c r="CN51" s="85"/>
      <c r="CO51" s="86"/>
      <c r="CP51" s="92"/>
      <c r="CQ51" s="93"/>
      <c r="CR51" s="93"/>
      <c r="CS51" s="86"/>
      <c r="CT51" s="86"/>
      <c r="CU51" s="87"/>
      <c r="CV51" s="90"/>
    </row>
    <row r="52" spans="1:115" x14ac:dyDescent="0.25">
      <c r="A52" s="55" t="s">
        <v>116</v>
      </c>
      <c r="B52" s="170" t="s">
        <v>157</v>
      </c>
      <c r="C52" s="170" t="s">
        <v>146</v>
      </c>
      <c r="D52" s="171" t="s">
        <v>149</v>
      </c>
      <c r="E52" s="65"/>
      <c r="F52" s="66"/>
      <c r="G52" s="94"/>
      <c r="H52" s="95"/>
      <c r="I52" s="95"/>
      <c r="J52" s="66"/>
      <c r="K52" s="66"/>
      <c r="L52" s="67"/>
      <c r="M52" s="68"/>
      <c r="N52" s="65"/>
      <c r="O52" s="66"/>
      <c r="P52" s="94"/>
      <c r="Q52" s="95"/>
      <c r="R52" s="95"/>
      <c r="S52" s="66"/>
      <c r="T52" s="66"/>
      <c r="U52" s="67"/>
      <c r="V52" s="68"/>
      <c r="W52" s="65"/>
      <c r="X52" s="66"/>
      <c r="Y52" s="94"/>
      <c r="Z52" s="95"/>
      <c r="AA52" s="95"/>
      <c r="AB52" s="11"/>
      <c r="AC52" s="11"/>
      <c r="AD52" s="25"/>
      <c r="AE52" s="11"/>
      <c r="AF52" s="65"/>
      <c r="AG52" s="66"/>
      <c r="AH52" s="94"/>
      <c r="AI52" s="95"/>
      <c r="AJ52" s="95"/>
      <c r="AK52" s="66"/>
      <c r="AL52" s="66"/>
      <c r="AM52" s="67"/>
      <c r="AN52" s="68"/>
      <c r="AO52" s="65"/>
      <c r="AP52" s="66"/>
      <c r="AQ52" s="94"/>
      <c r="AR52" s="95"/>
      <c r="AS52" s="95"/>
      <c r="AT52" s="11"/>
      <c r="AU52" s="11"/>
      <c r="AV52" s="25"/>
      <c r="AW52" s="11"/>
      <c r="AX52" s="65"/>
      <c r="AY52" s="66"/>
      <c r="AZ52" s="94"/>
      <c r="BA52" s="95"/>
      <c r="BB52" s="95"/>
      <c r="BC52" s="66"/>
      <c r="BD52" s="66"/>
      <c r="BE52" s="66"/>
      <c r="BF52" s="68"/>
      <c r="BG52" s="65"/>
      <c r="BH52" s="66"/>
      <c r="BI52" s="94"/>
      <c r="BJ52" s="95"/>
      <c r="BK52" s="95"/>
      <c r="BL52" s="66"/>
      <c r="BM52" s="66"/>
      <c r="BN52" s="138"/>
      <c r="BO52" s="66"/>
      <c r="BP52" s="66"/>
      <c r="BQ52" s="68"/>
      <c r="BR52" s="65">
        <v>13</v>
      </c>
      <c r="BS52" s="66">
        <v>9</v>
      </c>
      <c r="BT52" s="94">
        <f t="shared" si="102"/>
        <v>0.69230769230769229</v>
      </c>
      <c r="BU52" s="95" t="str">
        <f t="shared" si="103"/>
        <v/>
      </c>
      <c r="BV52" s="95" t="str">
        <f t="shared" si="104"/>
        <v/>
      </c>
      <c r="BW52" s="66">
        <v>240</v>
      </c>
      <c r="BX52" s="66" t="e">
        <f>#REF!</f>
        <v>#REF!</v>
      </c>
      <c r="BY52" s="138" t="e">
        <f t="shared" si="99"/>
        <v>#REF!</v>
      </c>
      <c r="BZ52" s="66" t="e">
        <f>#REF!</f>
        <v>#REF!</v>
      </c>
      <c r="CA52" s="66" t="e">
        <f>#REF!</f>
        <v>#REF!</v>
      </c>
      <c r="CB52" s="68" t="e">
        <f>#REF!</f>
        <v>#REF!</v>
      </c>
      <c r="CC52" s="65">
        <f>'[4]MTD performance of BCA'!I36</f>
        <v>13</v>
      </c>
      <c r="CD52" s="66">
        <f>'[4]MTD performance of BCA'!J36</f>
        <v>12</v>
      </c>
      <c r="CE52" s="94">
        <f t="shared" si="105"/>
        <v>0.92307692307692313</v>
      </c>
      <c r="CF52" s="95" t="str">
        <f t="shared" si="106"/>
        <v/>
      </c>
      <c r="CG52" s="95" t="str">
        <f t="shared" si="107"/>
        <v/>
      </c>
      <c r="CH52" s="66">
        <v>240</v>
      </c>
      <c r="CI52" s="66" t="e">
        <f>#REF!</f>
        <v>#REF!</v>
      </c>
      <c r="CJ52" s="138" t="e">
        <f t="shared" si="108"/>
        <v>#REF!</v>
      </c>
      <c r="CK52" s="66" t="e">
        <f>#REF!</f>
        <v>#REF!</v>
      </c>
      <c r="CL52" s="66" t="e">
        <f>#REF!</f>
        <v>#REF!</v>
      </c>
      <c r="CM52" s="68" t="e">
        <f>#REF!</f>
        <v>#REF!</v>
      </c>
      <c r="CN52" s="65">
        <f t="shared" ref="CN52:CN58" si="113">BG52</f>
        <v>0</v>
      </c>
      <c r="CO52" s="66">
        <f t="shared" si="111"/>
        <v>0</v>
      </c>
      <c r="CP52" s="94" t="str">
        <f t="shared" si="112"/>
        <v/>
      </c>
      <c r="CQ52" s="95" t="str">
        <f t="shared" si="109"/>
        <v/>
      </c>
      <c r="CR52" s="95" t="str">
        <f t="shared" si="110"/>
        <v/>
      </c>
      <c r="CS52" s="66">
        <f t="shared" ref="CS52:CV58" si="114">SUMIF($E$22:$BQ$22,CS$22,$E52:$BQ52)</f>
        <v>0</v>
      </c>
      <c r="CT52" s="66">
        <f t="shared" si="114"/>
        <v>0</v>
      </c>
      <c r="CU52" s="67">
        <f t="shared" si="114"/>
        <v>0</v>
      </c>
      <c r="CV52" s="73">
        <f t="shared" si="114"/>
        <v>0</v>
      </c>
    </row>
    <row r="53" spans="1:115" x14ac:dyDescent="0.25">
      <c r="A53" s="55" t="s">
        <v>116</v>
      </c>
      <c r="B53" s="170" t="s">
        <v>157</v>
      </c>
      <c r="C53" s="170" t="s">
        <v>146</v>
      </c>
      <c r="D53" s="171" t="s">
        <v>150</v>
      </c>
      <c r="E53" s="65"/>
      <c r="F53" s="66"/>
      <c r="G53" s="94"/>
      <c r="H53" s="95"/>
      <c r="I53" s="95"/>
      <c r="J53" s="66"/>
      <c r="K53" s="66"/>
      <c r="L53" s="67"/>
      <c r="M53" s="68"/>
      <c r="N53" s="65"/>
      <c r="O53" s="66"/>
      <c r="P53" s="94"/>
      <c r="Q53" s="95"/>
      <c r="R53" s="95"/>
      <c r="S53" s="66"/>
      <c r="T53" s="66"/>
      <c r="U53" s="67"/>
      <c r="V53" s="68"/>
      <c r="W53" s="65"/>
      <c r="X53" s="66"/>
      <c r="Y53" s="94"/>
      <c r="Z53" s="95"/>
      <c r="AA53" s="95"/>
      <c r="AB53" s="11"/>
      <c r="AC53" s="11"/>
      <c r="AD53" s="25"/>
      <c r="AE53" s="11"/>
      <c r="AF53" s="65"/>
      <c r="AG53" s="66"/>
      <c r="AH53" s="94"/>
      <c r="AI53" s="95"/>
      <c r="AJ53" s="95"/>
      <c r="AK53" s="66"/>
      <c r="AL53" s="66"/>
      <c r="AM53" s="67"/>
      <c r="AN53" s="68"/>
      <c r="AO53" s="65"/>
      <c r="AP53" s="66"/>
      <c r="AQ53" s="94"/>
      <c r="AR53" s="95"/>
      <c r="AS53" s="95"/>
      <c r="AT53" s="11"/>
      <c r="AU53" s="11"/>
      <c r="AV53" s="25"/>
      <c r="AW53" s="11"/>
      <c r="AX53" s="65"/>
      <c r="AY53" s="66"/>
      <c r="AZ53" s="94"/>
      <c r="BA53" s="95"/>
      <c r="BB53" s="95"/>
      <c r="BC53" s="66"/>
      <c r="BD53" s="66"/>
      <c r="BE53" s="66"/>
      <c r="BF53" s="68"/>
      <c r="BG53" s="65"/>
      <c r="BH53" s="66"/>
      <c r="BI53" s="94"/>
      <c r="BJ53" s="95"/>
      <c r="BK53" s="95"/>
      <c r="BL53" s="66"/>
      <c r="BM53" s="66"/>
      <c r="BN53" s="138"/>
      <c r="BO53" s="66"/>
      <c r="BP53" s="66"/>
      <c r="BQ53" s="68"/>
      <c r="BR53" s="65">
        <v>15</v>
      </c>
      <c r="BS53" s="66">
        <v>14</v>
      </c>
      <c r="BT53" s="94">
        <f t="shared" si="102"/>
        <v>0.93333333333333335</v>
      </c>
      <c r="BU53" s="95" t="str">
        <f t="shared" si="103"/>
        <v/>
      </c>
      <c r="BV53" s="95" t="str">
        <f t="shared" si="104"/>
        <v/>
      </c>
      <c r="BW53" s="66">
        <v>210</v>
      </c>
      <c r="BX53" s="66" t="e">
        <f>#REF!</f>
        <v>#REF!</v>
      </c>
      <c r="BY53" s="138" t="e">
        <f t="shared" si="99"/>
        <v>#REF!</v>
      </c>
      <c r="BZ53" s="66" t="e">
        <f>#REF!</f>
        <v>#REF!</v>
      </c>
      <c r="CA53" s="66" t="e">
        <f>#REF!</f>
        <v>#REF!</v>
      </c>
      <c r="CB53" s="68" t="e">
        <f>#REF!</f>
        <v>#REF!</v>
      </c>
      <c r="CC53" s="65">
        <f>'[4]MTD performance of BCA'!I37</f>
        <v>15</v>
      </c>
      <c r="CD53" s="66">
        <f>'[4]MTD performance of BCA'!J37</f>
        <v>11</v>
      </c>
      <c r="CE53" s="94">
        <f t="shared" si="105"/>
        <v>0.73333333333333328</v>
      </c>
      <c r="CF53" s="95" t="str">
        <f t="shared" si="106"/>
        <v/>
      </c>
      <c r="CG53" s="95" t="str">
        <f t="shared" si="107"/>
        <v/>
      </c>
      <c r="CH53" s="66">
        <v>210</v>
      </c>
      <c r="CI53" s="66" t="e">
        <f>#REF!</f>
        <v>#REF!</v>
      </c>
      <c r="CJ53" s="138" t="e">
        <f t="shared" si="108"/>
        <v>#REF!</v>
      </c>
      <c r="CK53" s="66" t="e">
        <f>#REF!</f>
        <v>#REF!</v>
      </c>
      <c r="CL53" s="66" t="e">
        <f>#REF!</f>
        <v>#REF!</v>
      </c>
      <c r="CM53" s="68" t="e">
        <f>#REF!</f>
        <v>#REF!</v>
      </c>
      <c r="CN53" s="65">
        <f t="shared" si="113"/>
        <v>0</v>
      </c>
      <c r="CO53" s="66">
        <f t="shared" si="111"/>
        <v>0</v>
      </c>
      <c r="CP53" s="94" t="str">
        <f t="shared" si="112"/>
        <v/>
      </c>
      <c r="CQ53" s="95" t="str">
        <f t="shared" si="109"/>
        <v/>
      </c>
      <c r="CR53" s="95" t="str">
        <f t="shared" si="110"/>
        <v/>
      </c>
      <c r="CS53" s="66">
        <f t="shared" si="114"/>
        <v>0</v>
      </c>
      <c r="CT53" s="66">
        <f t="shared" si="114"/>
        <v>0</v>
      </c>
      <c r="CU53" s="67">
        <f t="shared" si="114"/>
        <v>0</v>
      </c>
      <c r="CV53" s="73">
        <f t="shared" si="114"/>
        <v>0</v>
      </c>
    </row>
    <row r="54" spans="1:115" x14ac:dyDescent="0.25">
      <c r="A54" s="55" t="s">
        <v>116</v>
      </c>
      <c r="B54" s="170" t="s">
        <v>157</v>
      </c>
      <c r="C54" s="170" t="s">
        <v>146</v>
      </c>
      <c r="D54" s="171" t="s">
        <v>151</v>
      </c>
      <c r="E54" s="65"/>
      <c r="F54" s="66"/>
      <c r="G54" s="94"/>
      <c r="H54" s="95"/>
      <c r="I54" s="95"/>
      <c r="J54" s="66"/>
      <c r="K54" s="66"/>
      <c r="L54" s="67"/>
      <c r="M54" s="68"/>
      <c r="N54" s="65"/>
      <c r="O54" s="66"/>
      <c r="P54" s="94"/>
      <c r="Q54" s="95"/>
      <c r="R54" s="95"/>
      <c r="S54" s="66"/>
      <c r="T54" s="66"/>
      <c r="U54" s="67"/>
      <c r="V54" s="68"/>
      <c r="W54" s="65"/>
      <c r="X54" s="66"/>
      <c r="Y54" s="94"/>
      <c r="Z54" s="95"/>
      <c r="AA54" s="95"/>
      <c r="AB54" s="11"/>
      <c r="AC54" s="11"/>
      <c r="AD54" s="25"/>
      <c r="AE54" s="11"/>
      <c r="AF54" s="65"/>
      <c r="AG54" s="66"/>
      <c r="AH54" s="94"/>
      <c r="AI54" s="95"/>
      <c r="AJ54" s="95"/>
      <c r="AK54" s="66"/>
      <c r="AL54" s="66"/>
      <c r="AM54" s="67"/>
      <c r="AN54" s="68"/>
      <c r="AO54" s="65"/>
      <c r="AP54" s="66"/>
      <c r="AQ54" s="94"/>
      <c r="AR54" s="95"/>
      <c r="AS54" s="95"/>
      <c r="AT54" s="11"/>
      <c r="AU54" s="11"/>
      <c r="AV54" s="25"/>
      <c r="AW54" s="11"/>
      <c r="AX54" s="65"/>
      <c r="AY54" s="66"/>
      <c r="AZ54" s="94"/>
      <c r="BA54" s="95"/>
      <c r="BB54" s="95"/>
      <c r="BC54" s="66"/>
      <c r="BD54" s="66"/>
      <c r="BE54" s="66"/>
      <c r="BF54" s="68"/>
      <c r="BG54" s="65"/>
      <c r="BH54" s="66"/>
      <c r="BI54" s="94"/>
      <c r="BJ54" s="95"/>
      <c r="BK54" s="95"/>
      <c r="BL54" s="66"/>
      <c r="BM54" s="66"/>
      <c r="BN54" s="138"/>
      <c r="BO54" s="66"/>
      <c r="BP54" s="66"/>
      <c r="BQ54" s="68"/>
      <c r="BR54" s="65">
        <v>11</v>
      </c>
      <c r="BS54" s="66">
        <v>7</v>
      </c>
      <c r="BT54" s="94">
        <f t="shared" si="102"/>
        <v>0.63636363636363635</v>
      </c>
      <c r="BU54" s="95" t="str">
        <f t="shared" si="103"/>
        <v/>
      </c>
      <c r="BV54" s="95" t="str">
        <f t="shared" si="104"/>
        <v/>
      </c>
      <c r="BW54" s="66">
        <v>250</v>
      </c>
      <c r="BX54" s="66" t="e">
        <f>#REF!</f>
        <v>#REF!</v>
      </c>
      <c r="BY54" s="138"/>
      <c r="BZ54" s="66" t="e">
        <f>#REF!</f>
        <v>#REF!</v>
      </c>
      <c r="CA54" s="66" t="e">
        <f>#REF!</f>
        <v>#REF!</v>
      </c>
      <c r="CB54" s="68" t="e">
        <f>#REF!</f>
        <v>#REF!</v>
      </c>
      <c r="CC54" s="65">
        <f>'[4]MTD performance of BCA'!I38</f>
        <v>11</v>
      </c>
      <c r="CD54" s="66">
        <f>'[4]MTD performance of BCA'!J38</f>
        <v>8</v>
      </c>
      <c r="CE54" s="94">
        <f t="shared" si="105"/>
        <v>0.72727272727272729</v>
      </c>
      <c r="CF54" s="95" t="str">
        <f t="shared" si="106"/>
        <v/>
      </c>
      <c r="CG54" s="95" t="str">
        <f t="shared" si="107"/>
        <v/>
      </c>
      <c r="CH54" s="66">
        <v>250</v>
      </c>
      <c r="CI54" s="66" t="e">
        <f>#REF!</f>
        <v>#REF!</v>
      </c>
      <c r="CJ54" s="138"/>
      <c r="CK54" s="66" t="e">
        <f>#REF!</f>
        <v>#REF!</v>
      </c>
      <c r="CL54" s="66" t="e">
        <f>#REF!</f>
        <v>#REF!</v>
      </c>
      <c r="CM54" s="68" t="e">
        <f>#REF!</f>
        <v>#REF!</v>
      </c>
      <c r="CN54" s="65">
        <f t="shared" si="113"/>
        <v>0</v>
      </c>
      <c r="CO54" s="66">
        <f t="shared" si="111"/>
        <v>0</v>
      </c>
      <c r="CP54" s="94" t="str">
        <f t="shared" si="112"/>
        <v/>
      </c>
      <c r="CQ54" s="95" t="str">
        <f t="shared" si="109"/>
        <v/>
      </c>
      <c r="CR54" s="95" t="str">
        <f t="shared" si="110"/>
        <v/>
      </c>
      <c r="CS54" s="66">
        <f t="shared" si="114"/>
        <v>0</v>
      </c>
      <c r="CT54" s="66">
        <f t="shared" si="114"/>
        <v>0</v>
      </c>
      <c r="CU54" s="67">
        <f t="shared" si="114"/>
        <v>0</v>
      </c>
      <c r="CV54" s="73">
        <f t="shared" si="114"/>
        <v>0</v>
      </c>
    </row>
    <row r="55" spans="1:115" x14ac:dyDescent="0.25">
      <c r="A55" s="55" t="s">
        <v>116</v>
      </c>
      <c r="B55" s="170" t="s">
        <v>157</v>
      </c>
      <c r="C55" s="170" t="s">
        <v>147</v>
      </c>
      <c r="D55" s="171" t="s">
        <v>152</v>
      </c>
      <c r="E55" s="65"/>
      <c r="F55" s="66"/>
      <c r="G55" s="94"/>
      <c r="H55" s="95"/>
      <c r="I55" s="95"/>
      <c r="J55" s="66"/>
      <c r="K55" s="66"/>
      <c r="L55" s="67"/>
      <c r="M55" s="68"/>
      <c r="N55" s="65"/>
      <c r="O55" s="66"/>
      <c r="P55" s="94"/>
      <c r="Q55" s="95"/>
      <c r="R55" s="95"/>
      <c r="S55" s="66"/>
      <c r="T55" s="66"/>
      <c r="U55" s="67"/>
      <c r="V55" s="68"/>
      <c r="W55" s="65"/>
      <c r="X55" s="66"/>
      <c r="Y55" s="94"/>
      <c r="Z55" s="95"/>
      <c r="AA55" s="95"/>
      <c r="AB55" s="11"/>
      <c r="AC55" s="11"/>
      <c r="AD55" s="25"/>
      <c r="AE55" s="11"/>
      <c r="AF55" s="65"/>
      <c r="AG55" s="66"/>
      <c r="AH55" s="94"/>
      <c r="AI55" s="95"/>
      <c r="AJ55" s="95"/>
      <c r="AK55" s="66"/>
      <c r="AL55" s="66"/>
      <c r="AM55" s="67"/>
      <c r="AN55" s="68"/>
      <c r="AO55" s="65"/>
      <c r="AP55" s="66"/>
      <c r="AQ55" s="94"/>
      <c r="AR55" s="95"/>
      <c r="AS55" s="95"/>
      <c r="AT55" s="11"/>
      <c r="AU55" s="11"/>
      <c r="AV55" s="25"/>
      <c r="AW55" s="11"/>
      <c r="AX55" s="65"/>
      <c r="AY55" s="66"/>
      <c r="AZ55" s="94"/>
      <c r="BA55" s="95"/>
      <c r="BB55" s="95"/>
      <c r="BC55" s="66"/>
      <c r="BD55" s="66"/>
      <c r="BE55" s="66"/>
      <c r="BF55" s="68"/>
      <c r="BG55" s="65"/>
      <c r="BH55" s="66"/>
      <c r="BI55" s="94"/>
      <c r="BJ55" s="95"/>
      <c r="BK55" s="95"/>
      <c r="BL55" s="66"/>
      <c r="BM55" s="66"/>
      <c r="BN55" s="138"/>
      <c r="BO55" s="66"/>
      <c r="BP55" s="66"/>
      <c r="BQ55" s="68"/>
      <c r="BR55" s="65">
        <v>10</v>
      </c>
      <c r="BS55" s="66">
        <v>6</v>
      </c>
      <c r="BT55" s="94">
        <f t="shared" si="102"/>
        <v>0.6</v>
      </c>
      <c r="BU55" s="95" t="str">
        <f t="shared" si="103"/>
        <v/>
      </c>
      <c r="BV55" s="95" t="str">
        <f t="shared" si="104"/>
        <v/>
      </c>
      <c r="BW55" s="66">
        <v>160</v>
      </c>
      <c r="BX55" s="66" t="e">
        <f>#REF!</f>
        <v>#REF!</v>
      </c>
      <c r="BY55" s="138" t="e">
        <f t="shared" ref="BY55:BY61" si="115">BX55/BW55</f>
        <v>#REF!</v>
      </c>
      <c r="BZ55" s="66" t="e">
        <f>#REF!</f>
        <v>#REF!</v>
      </c>
      <c r="CA55" s="66" t="e">
        <f>#REF!</f>
        <v>#REF!</v>
      </c>
      <c r="CB55" s="68" t="e">
        <f>#REF!</f>
        <v>#REF!</v>
      </c>
      <c r="CC55" s="65">
        <f>'[4]MTD performance of BCA'!I41</f>
        <v>10</v>
      </c>
      <c r="CD55" s="66">
        <f>'[4]MTD performance of BCA'!J41</f>
        <v>7</v>
      </c>
      <c r="CE55" s="94">
        <f t="shared" si="105"/>
        <v>0.7</v>
      </c>
      <c r="CF55" s="95" t="str">
        <f t="shared" si="106"/>
        <v/>
      </c>
      <c r="CG55" s="95" t="str">
        <f t="shared" si="107"/>
        <v/>
      </c>
      <c r="CH55" s="66">
        <v>160</v>
      </c>
      <c r="CI55" s="66" t="e">
        <f>#REF!</f>
        <v>#REF!</v>
      </c>
      <c r="CJ55" s="138" t="e">
        <f t="shared" ref="CJ55:CJ58" si="116">CI55/CH55</f>
        <v>#REF!</v>
      </c>
      <c r="CK55" s="66" t="e">
        <f>#REF!</f>
        <v>#REF!</v>
      </c>
      <c r="CL55" s="66" t="e">
        <f>#REF!</f>
        <v>#REF!</v>
      </c>
      <c r="CM55" s="68" t="e">
        <f>#REF!</f>
        <v>#REF!</v>
      </c>
      <c r="CN55" s="65">
        <f t="shared" si="113"/>
        <v>0</v>
      </c>
      <c r="CO55" s="66">
        <f t="shared" si="111"/>
        <v>0</v>
      </c>
      <c r="CP55" s="94" t="str">
        <f t="shared" si="112"/>
        <v/>
      </c>
      <c r="CQ55" s="95" t="str">
        <f t="shared" si="109"/>
        <v/>
      </c>
      <c r="CR55" s="95" t="str">
        <f t="shared" si="110"/>
        <v/>
      </c>
      <c r="CS55" s="66">
        <f t="shared" si="114"/>
        <v>0</v>
      </c>
      <c r="CT55" s="66">
        <f t="shared" si="114"/>
        <v>0</v>
      </c>
      <c r="CU55" s="67">
        <f t="shared" si="114"/>
        <v>0</v>
      </c>
      <c r="CV55" s="73">
        <f t="shared" si="114"/>
        <v>0</v>
      </c>
    </row>
    <row r="56" spans="1:115" x14ac:dyDescent="0.25">
      <c r="A56" s="55" t="s">
        <v>116</v>
      </c>
      <c r="B56" s="170" t="s">
        <v>157</v>
      </c>
      <c r="C56" s="170" t="s">
        <v>147</v>
      </c>
      <c r="D56" s="171" t="s">
        <v>153</v>
      </c>
      <c r="E56" s="65"/>
      <c r="F56" s="66"/>
      <c r="G56" s="94"/>
      <c r="H56" s="95"/>
      <c r="I56" s="95"/>
      <c r="J56" s="66"/>
      <c r="K56" s="66"/>
      <c r="L56" s="67"/>
      <c r="M56" s="68"/>
      <c r="N56" s="65"/>
      <c r="O56" s="66"/>
      <c r="P56" s="94"/>
      <c r="Q56" s="95"/>
      <c r="R56" s="95"/>
      <c r="S56" s="66"/>
      <c r="T56" s="66"/>
      <c r="U56" s="67"/>
      <c r="V56" s="68"/>
      <c r="W56" s="65"/>
      <c r="X56" s="66"/>
      <c r="Y56" s="94"/>
      <c r="Z56" s="95"/>
      <c r="AA56" s="95"/>
      <c r="AB56" s="11"/>
      <c r="AC56" s="11"/>
      <c r="AD56" s="25"/>
      <c r="AE56" s="11"/>
      <c r="AF56" s="65"/>
      <c r="AG56" s="66"/>
      <c r="AH56" s="94"/>
      <c r="AI56" s="95"/>
      <c r="AJ56" s="95"/>
      <c r="AK56" s="66"/>
      <c r="AL56" s="66"/>
      <c r="AM56" s="67"/>
      <c r="AN56" s="68"/>
      <c r="AO56" s="65"/>
      <c r="AP56" s="66"/>
      <c r="AQ56" s="94"/>
      <c r="AR56" s="95"/>
      <c r="AS56" s="95"/>
      <c r="AT56" s="11"/>
      <c r="AU56" s="11"/>
      <c r="AV56" s="25"/>
      <c r="AW56" s="11"/>
      <c r="AX56" s="65"/>
      <c r="AY56" s="66"/>
      <c r="AZ56" s="94"/>
      <c r="BA56" s="95"/>
      <c r="BB56" s="95"/>
      <c r="BC56" s="66"/>
      <c r="BD56" s="66"/>
      <c r="BE56" s="66"/>
      <c r="BF56" s="68"/>
      <c r="BG56" s="65"/>
      <c r="BH56" s="66"/>
      <c r="BI56" s="94"/>
      <c r="BJ56" s="95"/>
      <c r="BK56" s="95"/>
      <c r="BL56" s="66"/>
      <c r="BM56" s="66"/>
      <c r="BN56" s="138"/>
      <c r="BO56" s="66"/>
      <c r="BP56" s="66"/>
      <c r="BQ56" s="68"/>
      <c r="BR56" s="65">
        <v>17</v>
      </c>
      <c r="BS56" s="66">
        <v>10</v>
      </c>
      <c r="BT56" s="94">
        <f t="shared" si="102"/>
        <v>0.58823529411764708</v>
      </c>
      <c r="BU56" s="95" t="str">
        <f t="shared" si="103"/>
        <v/>
      </c>
      <c r="BV56" s="95" t="str">
        <f t="shared" si="104"/>
        <v/>
      </c>
      <c r="BW56" s="66">
        <v>220</v>
      </c>
      <c r="BX56" s="66" t="e">
        <f>#REF!</f>
        <v>#REF!</v>
      </c>
      <c r="BY56" s="138" t="e">
        <f t="shared" si="115"/>
        <v>#REF!</v>
      </c>
      <c r="BZ56" s="66" t="e">
        <f>#REF!</f>
        <v>#REF!</v>
      </c>
      <c r="CA56" s="66" t="e">
        <f>#REF!</f>
        <v>#REF!</v>
      </c>
      <c r="CB56" s="68" t="e">
        <f>#REF!</f>
        <v>#REF!</v>
      </c>
      <c r="CC56" s="65">
        <f>'[4]MTD performance of BCA'!I42</f>
        <v>17</v>
      </c>
      <c r="CD56" s="66">
        <f>'[4]MTD performance of BCA'!J42</f>
        <v>10</v>
      </c>
      <c r="CE56" s="94">
        <f t="shared" si="105"/>
        <v>0.58823529411764708</v>
      </c>
      <c r="CF56" s="95" t="str">
        <f t="shared" si="106"/>
        <v/>
      </c>
      <c r="CG56" s="95" t="str">
        <f t="shared" si="107"/>
        <v/>
      </c>
      <c r="CH56" s="66">
        <v>220</v>
      </c>
      <c r="CI56" s="66" t="e">
        <f>#REF!</f>
        <v>#REF!</v>
      </c>
      <c r="CJ56" s="138" t="e">
        <f t="shared" si="116"/>
        <v>#REF!</v>
      </c>
      <c r="CK56" s="66" t="e">
        <f>#REF!</f>
        <v>#REF!</v>
      </c>
      <c r="CL56" s="66" t="e">
        <f>#REF!</f>
        <v>#REF!</v>
      </c>
      <c r="CM56" s="68" t="e">
        <f>#REF!</f>
        <v>#REF!</v>
      </c>
      <c r="CN56" s="65">
        <f t="shared" si="113"/>
        <v>0</v>
      </c>
      <c r="CO56" s="66">
        <f t="shared" si="111"/>
        <v>0</v>
      </c>
      <c r="CP56" s="94" t="str">
        <f t="shared" si="112"/>
        <v/>
      </c>
      <c r="CQ56" s="95" t="str">
        <f t="shared" si="109"/>
        <v/>
      </c>
      <c r="CR56" s="95" t="str">
        <f t="shared" si="110"/>
        <v/>
      </c>
      <c r="CS56" s="66">
        <f t="shared" si="114"/>
        <v>0</v>
      </c>
      <c r="CT56" s="66">
        <f t="shared" si="114"/>
        <v>0</v>
      </c>
      <c r="CU56" s="67">
        <f t="shared" si="114"/>
        <v>0</v>
      </c>
      <c r="CV56" s="73">
        <f t="shared" si="114"/>
        <v>0</v>
      </c>
    </row>
    <row r="57" spans="1:115" x14ac:dyDescent="0.25">
      <c r="A57" s="55" t="s">
        <v>116</v>
      </c>
      <c r="B57" s="170" t="s">
        <v>157</v>
      </c>
      <c r="C57" s="170" t="s">
        <v>146</v>
      </c>
      <c r="D57" s="171" t="s">
        <v>154</v>
      </c>
      <c r="E57" s="65"/>
      <c r="F57" s="66"/>
      <c r="G57" s="94"/>
      <c r="H57" s="95"/>
      <c r="I57" s="95"/>
      <c r="J57" s="66"/>
      <c r="K57" s="66"/>
      <c r="L57" s="67"/>
      <c r="M57" s="68"/>
      <c r="N57" s="65"/>
      <c r="O57" s="66"/>
      <c r="P57" s="94"/>
      <c r="Q57" s="95"/>
      <c r="R57" s="95"/>
      <c r="S57" s="66"/>
      <c r="T57" s="66"/>
      <c r="U57" s="67"/>
      <c r="V57" s="68"/>
      <c r="W57" s="65"/>
      <c r="X57" s="66"/>
      <c r="Y57" s="94"/>
      <c r="Z57" s="95"/>
      <c r="AA57" s="95"/>
      <c r="AB57" s="11"/>
      <c r="AC57" s="11"/>
      <c r="AD57" s="25"/>
      <c r="AE57" s="11"/>
      <c r="AF57" s="65"/>
      <c r="AG57" s="66"/>
      <c r="AH57" s="94"/>
      <c r="AI57" s="95"/>
      <c r="AJ57" s="95"/>
      <c r="AK57" s="66"/>
      <c r="AL57" s="66"/>
      <c r="AM57" s="67"/>
      <c r="AN57" s="68"/>
      <c r="AO57" s="65"/>
      <c r="AP57" s="66"/>
      <c r="AQ57" s="94"/>
      <c r="AR57" s="95"/>
      <c r="AS57" s="95"/>
      <c r="AT57" s="11"/>
      <c r="AU57" s="11"/>
      <c r="AV57" s="25"/>
      <c r="AW57" s="11"/>
      <c r="AX57" s="65"/>
      <c r="AY57" s="66"/>
      <c r="AZ57" s="94"/>
      <c r="BA57" s="95"/>
      <c r="BB57" s="95"/>
      <c r="BC57" s="66"/>
      <c r="BD57" s="66"/>
      <c r="BE57" s="66"/>
      <c r="BF57" s="68"/>
      <c r="BG57" s="65"/>
      <c r="BH57" s="66"/>
      <c r="BI57" s="94"/>
      <c r="BJ57" s="95"/>
      <c r="BK57" s="95"/>
      <c r="BL57" s="66"/>
      <c r="BM57" s="66"/>
      <c r="BN57" s="138"/>
      <c r="BO57" s="66"/>
      <c r="BP57" s="66"/>
      <c r="BQ57" s="68"/>
      <c r="BR57" s="65">
        <v>14</v>
      </c>
      <c r="BS57" s="66">
        <v>8</v>
      </c>
      <c r="BT57" s="94">
        <f t="shared" si="102"/>
        <v>0.5714285714285714</v>
      </c>
      <c r="BU57" s="95" t="str">
        <f t="shared" si="103"/>
        <v/>
      </c>
      <c r="BV57" s="95" t="str">
        <f t="shared" si="104"/>
        <v/>
      </c>
      <c r="BW57" s="66">
        <v>220</v>
      </c>
      <c r="BX57" s="66" t="e">
        <f>#REF!</f>
        <v>#REF!</v>
      </c>
      <c r="BY57" s="138" t="e">
        <f t="shared" si="115"/>
        <v>#REF!</v>
      </c>
      <c r="BZ57" s="66" t="e">
        <f>#REF!</f>
        <v>#REF!</v>
      </c>
      <c r="CA57" s="66" t="e">
        <f>#REF!</f>
        <v>#REF!</v>
      </c>
      <c r="CB57" s="68" t="e">
        <f>#REF!</f>
        <v>#REF!</v>
      </c>
      <c r="CC57" s="65">
        <f>'[4]MTD performance of BCA'!I39</f>
        <v>15</v>
      </c>
      <c r="CD57" s="66">
        <f>'[4]MTD performance of BCA'!J39</f>
        <v>14</v>
      </c>
      <c r="CE57" s="94">
        <f t="shared" si="105"/>
        <v>0.93333333333333335</v>
      </c>
      <c r="CF57" s="95" t="str">
        <f t="shared" si="106"/>
        <v/>
      </c>
      <c r="CG57" s="95" t="str">
        <f t="shared" si="107"/>
        <v/>
      </c>
      <c r="CH57" s="66">
        <v>220</v>
      </c>
      <c r="CI57" s="66" t="e">
        <f>#REF!</f>
        <v>#REF!</v>
      </c>
      <c r="CJ57" s="138" t="e">
        <f t="shared" si="116"/>
        <v>#REF!</v>
      </c>
      <c r="CK57" s="66" t="e">
        <f>#REF!</f>
        <v>#REF!</v>
      </c>
      <c r="CL57" s="66" t="e">
        <f>#REF!</f>
        <v>#REF!</v>
      </c>
      <c r="CM57" s="68" t="e">
        <f>#REF!</f>
        <v>#REF!</v>
      </c>
      <c r="CN57" s="65">
        <f t="shared" si="113"/>
        <v>0</v>
      </c>
      <c r="CO57" s="66">
        <f t="shared" si="111"/>
        <v>0</v>
      </c>
      <c r="CP57" s="94" t="str">
        <f t="shared" si="112"/>
        <v/>
      </c>
      <c r="CQ57" s="95" t="str">
        <f t="shared" si="109"/>
        <v/>
      </c>
      <c r="CR57" s="95" t="str">
        <f t="shared" si="110"/>
        <v/>
      </c>
      <c r="CS57" s="66">
        <f t="shared" si="114"/>
        <v>0</v>
      </c>
      <c r="CT57" s="66">
        <f t="shared" si="114"/>
        <v>0</v>
      </c>
      <c r="CU57" s="67">
        <f t="shared" si="114"/>
        <v>0</v>
      </c>
      <c r="CV57" s="73">
        <f t="shared" si="114"/>
        <v>0</v>
      </c>
    </row>
    <row r="58" spans="1:115" x14ac:dyDescent="0.25">
      <c r="A58" s="55" t="s">
        <v>116</v>
      </c>
      <c r="B58" s="170" t="s">
        <v>157</v>
      </c>
      <c r="C58" s="170" t="s">
        <v>147</v>
      </c>
      <c r="D58" s="171" t="s">
        <v>155</v>
      </c>
      <c r="E58" s="65"/>
      <c r="F58" s="66"/>
      <c r="G58" s="94"/>
      <c r="H58" s="95"/>
      <c r="I58" s="95"/>
      <c r="J58" s="66"/>
      <c r="K58" s="66"/>
      <c r="L58" s="67"/>
      <c r="M58" s="68"/>
      <c r="N58" s="65"/>
      <c r="O58" s="66"/>
      <c r="P58" s="94"/>
      <c r="Q58" s="95"/>
      <c r="R58" s="95"/>
      <c r="S58" s="66"/>
      <c r="T58" s="66"/>
      <c r="U58" s="67"/>
      <c r="V58" s="68"/>
      <c r="W58" s="65"/>
      <c r="X58" s="66"/>
      <c r="Y58" s="94"/>
      <c r="Z58" s="95"/>
      <c r="AA58" s="95"/>
      <c r="AB58" s="11"/>
      <c r="AC58" s="11"/>
      <c r="AD58" s="25"/>
      <c r="AE58" s="11"/>
      <c r="AF58" s="65"/>
      <c r="AG58" s="66"/>
      <c r="AH58" s="94"/>
      <c r="AI58" s="95"/>
      <c r="AJ58" s="95"/>
      <c r="AK58" s="66"/>
      <c r="AL58" s="66"/>
      <c r="AM58" s="67"/>
      <c r="AN58" s="68"/>
      <c r="AO58" s="65"/>
      <c r="AP58" s="66"/>
      <c r="AQ58" s="94"/>
      <c r="AR58" s="95"/>
      <c r="AS58" s="95"/>
      <c r="AT58" s="11"/>
      <c r="AU58" s="11"/>
      <c r="AV58" s="25"/>
      <c r="AW58" s="11"/>
      <c r="AX58" s="65"/>
      <c r="AY58" s="66"/>
      <c r="AZ58" s="94"/>
      <c r="BA58" s="95"/>
      <c r="BB58" s="95"/>
      <c r="BC58" s="66"/>
      <c r="BD58" s="66"/>
      <c r="BE58" s="66"/>
      <c r="BF58" s="68"/>
      <c r="BG58" s="65"/>
      <c r="BH58" s="66"/>
      <c r="BI58" s="94"/>
      <c r="BJ58" s="95"/>
      <c r="BK58" s="95"/>
      <c r="BL58" s="66"/>
      <c r="BM58" s="66"/>
      <c r="BN58" s="138"/>
      <c r="BO58" s="66"/>
      <c r="BP58" s="66"/>
      <c r="BQ58" s="68"/>
      <c r="BR58" s="65">
        <v>15</v>
      </c>
      <c r="BS58" s="66">
        <v>8</v>
      </c>
      <c r="BT58" s="94">
        <f t="shared" si="102"/>
        <v>0.53333333333333333</v>
      </c>
      <c r="BU58" s="95" t="str">
        <f t="shared" si="103"/>
        <v/>
      </c>
      <c r="BV58" s="95" t="str">
        <f t="shared" si="104"/>
        <v/>
      </c>
      <c r="BW58" s="66">
        <v>200</v>
      </c>
      <c r="BX58" s="66" t="e">
        <f>#REF!</f>
        <v>#REF!</v>
      </c>
      <c r="BY58" s="138" t="e">
        <f t="shared" si="115"/>
        <v>#REF!</v>
      </c>
      <c r="BZ58" s="66" t="e">
        <f>#REF!</f>
        <v>#REF!</v>
      </c>
      <c r="CA58" s="66" t="e">
        <f>#REF!</f>
        <v>#REF!</v>
      </c>
      <c r="CB58" s="68" t="e">
        <f>#REF!</f>
        <v>#REF!</v>
      </c>
      <c r="CC58" s="65"/>
      <c r="CD58" s="66"/>
      <c r="CE58" s="94" t="str">
        <f t="shared" si="105"/>
        <v/>
      </c>
      <c r="CF58" s="95" t="str">
        <f t="shared" si="106"/>
        <v/>
      </c>
      <c r="CG58" s="95" t="str">
        <f t="shared" si="107"/>
        <v/>
      </c>
      <c r="CH58" s="66">
        <v>200</v>
      </c>
      <c r="CI58" s="66" t="e">
        <f>#REF!</f>
        <v>#REF!</v>
      </c>
      <c r="CJ58" s="138" t="e">
        <f t="shared" si="116"/>
        <v>#REF!</v>
      </c>
      <c r="CK58" s="66" t="e">
        <f>#REF!</f>
        <v>#REF!</v>
      </c>
      <c r="CL58" s="66" t="e">
        <f>#REF!</f>
        <v>#REF!</v>
      </c>
      <c r="CM58" s="68" t="e">
        <f>#REF!</f>
        <v>#REF!</v>
      </c>
      <c r="CN58" s="65">
        <f t="shared" si="113"/>
        <v>0</v>
      </c>
      <c r="CO58" s="66">
        <f t="shared" si="111"/>
        <v>0</v>
      </c>
      <c r="CP58" s="94" t="str">
        <f t="shared" si="112"/>
        <v/>
      </c>
      <c r="CQ58" s="95" t="str">
        <f t="shared" si="109"/>
        <v/>
      </c>
      <c r="CR58" s="95" t="str">
        <f t="shared" si="110"/>
        <v/>
      </c>
      <c r="CS58" s="66">
        <f t="shared" si="114"/>
        <v>0</v>
      </c>
      <c r="CT58" s="66">
        <f t="shared" si="114"/>
        <v>0</v>
      </c>
      <c r="CU58" s="67">
        <f t="shared" si="114"/>
        <v>0</v>
      </c>
      <c r="CV58" s="73">
        <f t="shared" si="114"/>
        <v>0</v>
      </c>
    </row>
    <row r="59" spans="1:115" x14ac:dyDescent="0.25">
      <c r="A59" s="55" t="s">
        <v>116</v>
      </c>
      <c r="B59" s="170" t="s">
        <v>157</v>
      </c>
      <c r="C59" s="170" t="s">
        <v>147</v>
      </c>
      <c r="D59" s="171" t="s">
        <v>180</v>
      </c>
      <c r="E59" s="65"/>
      <c r="F59" s="66"/>
      <c r="G59" s="94"/>
      <c r="H59" s="95"/>
      <c r="I59" s="95"/>
      <c r="J59" s="66"/>
      <c r="K59" s="66"/>
      <c r="L59" s="67"/>
      <c r="M59" s="68"/>
      <c r="N59" s="65"/>
      <c r="O59" s="66"/>
      <c r="P59" s="94"/>
      <c r="Q59" s="95"/>
      <c r="R59" s="95"/>
      <c r="S59" s="66"/>
      <c r="T59" s="66"/>
      <c r="U59" s="67"/>
      <c r="V59" s="68"/>
      <c r="W59" s="65"/>
      <c r="X59" s="66"/>
      <c r="Y59" s="94"/>
      <c r="Z59" s="95"/>
      <c r="AA59" s="95"/>
      <c r="AB59" s="11"/>
      <c r="AC59" s="11"/>
      <c r="AD59" s="25"/>
      <c r="AE59" s="11"/>
      <c r="AF59" s="65"/>
      <c r="AG59" s="66"/>
      <c r="AH59" s="94"/>
      <c r="AI59" s="95"/>
      <c r="AJ59" s="95"/>
      <c r="AK59" s="66"/>
      <c r="AL59" s="66"/>
      <c r="AM59" s="67"/>
      <c r="AN59" s="68"/>
      <c r="AO59" s="65"/>
      <c r="AP59" s="66"/>
      <c r="AQ59" s="94"/>
      <c r="AR59" s="95"/>
      <c r="AS59" s="95"/>
      <c r="AT59" s="11"/>
      <c r="AU59" s="11"/>
      <c r="AV59" s="25"/>
      <c r="AW59" s="11"/>
      <c r="AX59" s="65"/>
      <c r="AY59" s="66"/>
      <c r="AZ59" s="94"/>
      <c r="BA59" s="95"/>
      <c r="BB59" s="95"/>
      <c r="BC59" s="66"/>
      <c r="BD59" s="66"/>
      <c r="BE59" s="66"/>
      <c r="BF59" s="68"/>
      <c r="BG59" s="65"/>
      <c r="BH59" s="66"/>
      <c r="BI59" s="94"/>
      <c r="BJ59" s="95"/>
      <c r="BK59" s="95"/>
      <c r="BL59" s="66"/>
      <c r="BM59" s="66"/>
      <c r="BN59" s="138"/>
      <c r="BO59" s="66"/>
      <c r="BP59" s="66"/>
      <c r="BQ59" s="68"/>
      <c r="BR59" s="65"/>
      <c r="BS59" s="66"/>
      <c r="BT59" s="94"/>
      <c r="BU59" s="95"/>
      <c r="BV59" s="95"/>
      <c r="BW59" s="66"/>
      <c r="BX59" s="66"/>
      <c r="BY59" s="138"/>
      <c r="BZ59" s="66"/>
      <c r="CA59" s="66"/>
      <c r="CB59" s="68"/>
      <c r="CC59" s="65">
        <f>'[4]MTD performance of BCA'!I40</f>
        <v>15</v>
      </c>
      <c r="CD59" s="66">
        <f>'[4]MTD performance of BCA'!J40</f>
        <v>3</v>
      </c>
      <c r="CE59" s="94"/>
      <c r="CF59" s="95"/>
      <c r="CG59" s="95"/>
      <c r="CH59" s="66"/>
      <c r="CI59" s="66"/>
      <c r="CJ59" s="138"/>
      <c r="CK59" s="66"/>
      <c r="CL59" s="66"/>
      <c r="CM59" s="68"/>
      <c r="CN59" s="65"/>
      <c r="CO59" s="66"/>
      <c r="CP59" s="94"/>
      <c r="CQ59" s="95"/>
      <c r="CR59" s="95"/>
      <c r="CS59" s="66"/>
      <c r="CT59" s="66"/>
      <c r="CU59" s="67"/>
      <c r="CV59" s="73"/>
    </row>
    <row r="60" spans="1:115" x14ac:dyDescent="0.25">
      <c r="A60" s="55"/>
      <c r="B60" s="53"/>
      <c r="C60" s="54"/>
      <c r="D60" s="56"/>
      <c r="E60" s="65"/>
      <c r="F60" s="66"/>
      <c r="G60" s="94"/>
      <c r="H60" s="95"/>
      <c r="I60" s="95"/>
      <c r="J60" s="66"/>
      <c r="K60" s="66"/>
      <c r="L60" s="67"/>
      <c r="M60" s="68"/>
      <c r="N60" s="65"/>
      <c r="O60" s="66"/>
      <c r="P60" s="94"/>
      <c r="Q60" s="95"/>
      <c r="R60" s="95"/>
      <c r="S60" s="66"/>
      <c r="T60" s="66"/>
      <c r="U60" s="67"/>
      <c r="V60" s="68"/>
      <c r="W60" s="65"/>
      <c r="X60" s="66"/>
      <c r="Y60" s="94"/>
      <c r="Z60" s="95"/>
      <c r="AA60" s="95"/>
      <c r="AB60" s="11"/>
      <c r="AC60" s="11"/>
      <c r="AD60" s="25"/>
      <c r="AE60" s="11"/>
      <c r="AF60" s="65"/>
      <c r="AG60" s="66"/>
      <c r="AH60" s="94"/>
      <c r="AI60" s="95"/>
      <c r="AJ60" s="95"/>
      <c r="AK60" s="66"/>
      <c r="AL60" s="66"/>
      <c r="AM60" s="67"/>
      <c r="AN60" s="68"/>
      <c r="AO60" s="65"/>
      <c r="AP60" s="66"/>
      <c r="AQ60" s="94"/>
      <c r="AR60" s="95"/>
      <c r="AS60" s="95"/>
      <c r="AT60" s="11"/>
      <c r="AU60" s="11"/>
      <c r="AV60" s="25"/>
      <c r="AW60" s="11"/>
      <c r="AX60" s="65"/>
      <c r="AY60" s="66"/>
      <c r="AZ60" s="94"/>
      <c r="BA60" s="95"/>
      <c r="BB60" s="95"/>
      <c r="BC60" s="66"/>
      <c r="BD60" s="66"/>
      <c r="BE60" s="66"/>
      <c r="BF60" s="68"/>
      <c r="BG60" s="65"/>
      <c r="BH60" s="66"/>
      <c r="BI60" s="94"/>
      <c r="BJ60" s="95"/>
      <c r="BK60" s="95"/>
      <c r="BL60" s="66"/>
      <c r="BM60" s="66"/>
      <c r="BN60" s="138"/>
      <c r="BO60" s="66"/>
      <c r="BP60" s="66"/>
      <c r="BQ60" s="68"/>
      <c r="BR60" s="65"/>
      <c r="BS60" s="66"/>
      <c r="BT60" s="94"/>
      <c r="BU60" s="95"/>
      <c r="BV60" s="95"/>
      <c r="BW60" s="66"/>
      <c r="BX60" s="66"/>
      <c r="BY60" s="138"/>
      <c r="BZ60" s="66"/>
      <c r="CA60" s="66"/>
      <c r="CB60" s="68"/>
      <c r="CC60" s="65"/>
      <c r="CD60" s="66"/>
      <c r="CE60" s="94"/>
      <c r="CF60" s="95"/>
      <c r="CG60" s="95"/>
      <c r="CH60" s="66"/>
      <c r="CI60" s="66"/>
      <c r="CJ60" s="138"/>
      <c r="CK60" s="66"/>
      <c r="CL60" s="66"/>
      <c r="CM60" s="68"/>
      <c r="CN60" s="65"/>
      <c r="CO60" s="66"/>
      <c r="CP60" s="94"/>
      <c r="CQ60" s="95"/>
      <c r="CR60" s="95"/>
      <c r="CS60" s="66"/>
      <c r="CT60" s="66"/>
      <c r="CU60" s="67"/>
      <c r="CV60" s="73"/>
    </row>
    <row r="61" spans="1:115" s="9" customFormat="1" x14ac:dyDescent="0.25">
      <c r="A61" s="61" t="s">
        <v>106</v>
      </c>
      <c r="B61" s="62"/>
      <c r="C61" s="62"/>
      <c r="D61" s="63"/>
      <c r="E61" s="71">
        <f>SUM(E48:E60)</f>
        <v>0</v>
      </c>
      <c r="F61" s="64">
        <f>SUM(F48:F60)</f>
        <v>0</v>
      </c>
      <c r="G61" s="98" t="str">
        <f>IFERROR(F61/E61,"")</f>
        <v/>
      </c>
      <c r="H61" s="99" t="str">
        <f>IFERROR(L61/F61,"")</f>
        <v/>
      </c>
      <c r="I61" s="99" t="str">
        <f>IFERROR(J61/F61,"")</f>
        <v/>
      </c>
      <c r="J61" s="64">
        <f>SUM(J48:J60)</f>
        <v>0</v>
      </c>
      <c r="K61" s="64">
        <f>SUM(K48:K60)</f>
        <v>0</v>
      </c>
      <c r="L61" s="64">
        <f>SUM(L48:L60)</f>
        <v>0</v>
      </c>
      <c r="M61" s="72">
        <f>SUM(M48:M60)</f>
        <v>0</v>
      </c>
      <c r="N61" s="71">
        <v>167</v>
      </c>
      <c r="O61" s="64">
        <v>129</v>
      </c>
      <c r="P61" s="98">
        <f>IFERROR(O61/N61,"")</f>
        <v>0.77245508982035926</v>
      </c>
      <c r="Q61" s="99">
        <f>IFERROR(U61/O61,"")</f>
        <v>0</v>
      </c>
      <c r="R61" s="99">
        <f>IFERROR(S61/O61,"")</f>
        <v>0</v>
      </c>
      <c r="S61" s="64">
        <f>SUM(S48:S60)</f>
        <v>0</v>
      </c>
      <c r="T61" s="64">
        <f>SUM(T48:T60)</f>
        <v>0</v>
      </c>
      <c r="U61" s="64">
        <f>SUM(U48:U60)</f>
        <v>0</v>
      </c>
      <c r="V61" s="72">
        <f>SUM(V48:V60)</f>
        <v>0</v>
      </c>
      <c r="W61" s="71">
        <v>168</v>
      </c>
      <c r="X61" s="64">
        <v>143</v>
      </c>
      <c r="Y61" s="98">
        <f>IFERROR(X61/W61,"")</f>
        <v>0.85119047619047616</v>
      </c>
      <c r="Z61" s="99">
        <f>IFERROR(AD61/X61,"")</f>
        <v>0</v>
      </c>
      <c r="AA61" s="99">
        <f>IFERROR(AB61/X61,"")</f>
        <v>0</v>
      </c>
      <c r="AB61" s="64">
        <f>SUM(AB48:AB60)</f>
        <v>0</v>
      </c>
      <c r="AC61" s="64">
        <f>SUM(AC48:AC60)</f>
        <v>0</v>
      </c>
      <c r="AD61" s="64">
        <f>SUM(AD48:AD60)</f>
        <v>0</v>
      </c>
      <c r="AE61" s="64">
        <f>SUM(AE48:AE60)</f>
        <v>0</v>
      </c>
      <c r="AF61" s="71">
        <v>183</v>
      </c>
      <c r="AG61" s="64">
        <v>150</v>
      </c>
      <c r="AH61" s="98">
        <f>IFERROR(AG61/AF61,"")</f>
        <v>0.81967213114754101</v>
      </c>
      <c r="AI61" s="99">
        <f>IFERROR(AM61/AG61,"")</f>
        <v>0</v>
      </c>
      <c r="AJ61" s="99">
        <f>IFERROR(AK61/AG61,"")</f>
        <v>0</v>
      </c>
      <c r="AK61" s="64">
        <f>SUM(AK48:AK60)</f>
        <v>0</v>
      </c>
      <c r="AL61" s="64">
        <f>SUM(AL48:AL60)</f>
        <v>0</v>
      </c>
      <c r="AM61" s="64">
        <f>SUM(AM48:AM60)</f>
        <v>0</v>
      </c>
      <c r="AN61" s="72">
        <f>SUM(AN48:AN60)</f>
        <v>0</v>
      </c>
      <c r="AO61" s="71">
        <v>180</v>
      </c>
      <c r="AP61" s="64">
        <v>146</v>
      </c>
      <c r="AQ61" s="98">
        <f>IFERROR(AP61/AO61,"")</f>
        <v>0.81111111111111112</v>
      </c>
      <c r="AR61" s="99">
        <f>IFERROR(AV61/AP61,"")</f>
        <v>0</v>
      </c>
      <c r="AS61" s="99">
        <f>IFERROR(AT61/AP61,"")</f>
        <v>0</v>
      </c>
      <c r="AT61" s="64">
        <f>SUM(AT48:AT60)</f>
        <v>0</v>
      </c>
      <c r="AU61" s="64">
        <f>SUM(AU48:AU60)</f>
        <v>0</v>
      </c>
      <c r="AV61" s="64">
        <f>SUM(AV48:AV60)</f>
        <v>0</v>
      </c>
      <c r="AW61" s="64">
        <f>SUM(AW48:AW60)</f>
        <v>0</v>
      </c>
      <c r="AX61" s="71">
        <v>181</v>
      </c>
      <c r="AY61" s="64">
        <v>146</v>
      </c>
      <c r="AZ61" s="98">
        <f>IFERROR(AY61/AX61,"")</f>
        <v>0.8066298342541437</v>
      </c>
      <c r="BA61" s="99">
        <f>IFERROR(BE61/AY61,"")</f>
        <v>0</v>
      </c>
      <c r="BB61" s="99">
        <f>IFERROR(BC61/AY61,"")</f>
        <v>0</v>
      </c>
      <c r="BC61" s="64">
        <f t="shared" ref="BC61:BH61" si="117">SUM(BC48:BC60)</f>
        <v>0</v>
      </c>
      <c r="BD61" s="64">
        <f t="shared" si="117"/>
        <v>0</v>
      </c>
      <c r="BE61" s="64">
        <f t="shared" si="117"/>
        <v>0</v>
      </c>
      <c r="BF61" s="72">
        <f t="shared" si="117"/>
        <v>0</v>
      </c>
      <c r="BG61" s="71">
        <f t="shared" si="117"/>
        <v>0</v>
      </c>
      <c r="BH61" s="64">
        <f t="shared" si="117"/>
        <v>0</v>
      </c>
      <c r="BI61" s="98" t="str">
        <f>IFERROR(BH61/BG61,"")</f>
        <v/>
      </c>
      <c r="BJ61" s="99" t="str">
        <f>IFERROR(BP61/BH61,"")</f>
        <v/>
      </c>
      <c r="BK61" s="99" t="str">
        <f>IFERROR(BM61/BH61,"")</f>
        <v/>
      </c>
      <c r="BL61" s="142">
        <f>SUM(BL48:BL60)</f>
        <v>0</v>
      </c>
      <c r="BM61" s="142">
        <f>SUM(BM48:BM60)</f>
        <v>0</v>
      </c>
      <c r="BN61" s="143" t="e">
        <f>BM61/BL61</f>
        <v>#DIV/0!</v>
      </c>
      <c r="BO61" s="64">
        <f>SUM(BO48:BO60)</f>
        <v>0</v>
      </c>
      <c r="BP61" s="64">
        <f>SUM(BP48:BP60)</f>
        <v>0</v>
      </c>
      <c r="BQ61" s="72">
        <f>SUM(BQ48:BQ60)</f>
        <v>0</v>
      </c>
      <c r="BR61" s="71">
        <f>SUM(BR48:BR60)</f>
        <v>138</v>
      </c>
      <c r="BS61" s="64">
        <f>SUM(BS48:BS60)</f>
        <v>100</v>
      </c>
      <c r="BT61" s="98">
        <f t="shared" si="102"/>
        <v>0.72463768115942029</v>
      </c>
      <c r="BU61" s="99" t="str">
        <f t="shared" si="103"/>
        <v/>
      </c>
      <c r="BV61" s="99" t="str">
        <f t="shared" si="104"/>
        <v/>
      </c>
      <c r="BW61" s="142">
        <f>SUM(BW48:BW60)</f>
        <v>2200</v>
      </c>
      <c r="BX61" s="142" t="e">
        <f>SUM(BX48:BX60)</f>
        <v>#REF!</v>
      </c>
      <c r="BY61" s="143" t="e">
        <f t="shared" si="115"/>
        <v>#REF!</v>
      </c>
      <c r="BZ61" s="64" t="e">
        <f>SUM(BZ48:BZ60)</f>
        <v>#REF!</v>
      </c>
      <c r="CA61" s="64" t="e">
        <f>SUM(CA48:CA60)</f>
        <v>#REF!</v>
      </c>
      <c r="CB61" s="72" t="e">
        <f>SUM(CB48:CB60)</f>
        <v>#REF!</v>
      </c>
      <c r="CC61" s="71">
        <f>SUM(CC48:CC60)</f>
        <v>148</v>
      </c>
      <c r="CD61" s="64">
        <f>SUM(CD48:CD60)</f>
        <v>95</v>
      </c>
      <c r="CE61" s="98">
        <f t="shared" ref="CE61:CE62" si="118">IFERROR(CD61/CC61,"")</f>
        <v>0.64189189189189189</v>
      </c>
      <c r="CF61" s="99" t="str">
        <f t="shared" ref="CF61:CF62" si="119">IFERROR(CL61/CD61,"")</f>
        <v/>
      </c>
      <c r="CG61" s="99" t="str">
        <f t="shared" ref="CG61:CG62" si="120">IFERROR(CI61/CD61,"")</f>
        <v/>
      </c>
      <c r="CH61" s="142">
        <f>SUM(CH48:CH60)</f>
        <v>2200</v>
      </c>
      <c r="CI61" s="142" t="e">
        <f>SUM(CI48:CI60)</f>
        <v>#REF!</v>
      </c>
      <c r="CJ61" s="143" t="e">
        <f t="shared" ref="CJ61:CJ62" si="121">CI61/CH61</f>
        <v>#REF!</v>
      </c>
      <c r="CK61" s="64" t="e">
        <f>SUM(CK48:CK60)</f>
        <v>#REF!</v>
      </c>
      <c r="CL61" s="64" t="e">
        <f>SUM(CL48:CL60)</f>
        <v>#REF!</v>
      </c>
      <c r="CM61" s="72" t="e">
        <f>SUM(CM48:CM60)</f>
        <v>#REF!</v>
      </c>
      <c r="CN61" s="64">
        <f>SUM(CN48:CN60)</f>
        <v>0</v>
      </c>
      <c r="CO61" s="64">
        <f>SUM(CO48:CO60)</f>
        <v>0</v>
      </c>
      <c r="CP61" s="98">
        <f t="shared" si="112"/>
        <v>0</v>
      </c>
      <c r="CQ61" s="99" t="str">
        <f t="shared" si="109"/>
        <v/>
      </c>
      <c r="CR61" s="99" t="str">
        <f t="shared" si="110"/>
        <v/>
      </c>
      <c r="CS61" s="64">
        <f>SUM(CS48:CS60)</f>
        <v>0</v>
      </c>
      <c r="CT61" s="64">
        <f>SUM(CT48:CT60)</f>
        <v>0</v>
      </c>
      <c r="CU61" s="64">
        <f>SUM(CU48:CU60)</f>
        <v>0</v>
      </c>
      <c r="CV61" s="72">
        <f>SUM(CV48:CV60)</f>
        <v>0</v>
      </c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</row>
    <row r="62" spans="1:115" ht="15.75" thickBot="1" x14ac:dyDescent="0.3">
      <c r="A62" s="57" t="s">
        <v>105</v>
      </c>
      <c r="B62" s="58"/>
      <c r="C62" s="58"/>
      <c r="D62" s="59"/>
      <c r="E62" s="69">
        <f>SUM(E46,E31)</f>
        <v>249</v>
      </c>
      <c r="F62" s="60">
        <f>SUM(F46,F31)</f>
        <v>177</v>
      </c>
      <c r="G62" s="96">
        <f t="shared" si="30"/>
        <v>0.71084337349397586</v>
      </c>
      <c r="H62" s="97">
        <f t="shared" si="31"/>
        <v>2.6045197740112993</v>
      </c>
      <c r="I62" s="97">
        <f t="shared" si="32"/>
        <v>43.09270056497175</v>
      </c>
      <c r="J62" s="60">
        <f>SUM(J46,J31)</f>
        <v>7627.4079999999994</v>
      </c>
      <c r="K62" s="60">
        <f>SUM(K46,K31)</f>
        <v>188.54599999999999</v>
      </c>
      <c r="L62" s="60">
        <f>SUM(L46,L31)</f>
        <v>461</v>
      </c>
      <c r="M62" s="70">
        <f>SUM(M46,M31)</f>
        <v>408</v>
      </c>
      <c r="N62" s="69">
        <v>243</v>
      </c>
      <c r="O62" s="60">
        <v>167</v>
      </c>
      <c r="P62" s="96">
        <f t="shared" si="68"/>
        <v>0.68724279835390945</v>
      </c>
      <c r="Q62" s="97">
        <f t="shared" si="69"/>
        <v>3.5029940119760479</v>
      </c>
      <c r="R62" s="97">
        <f t="shared" si="70"/>
        <v>60.104706586826353</v>
      </c>
      <c r="S62" s="60">
        <f>SUM(S46,S31)</f>
        <v>10037.486000000001</v>
      </c>
      <c r="T62" s="60">
        <f>SUM(T46,T31)</f>
        <v>282.952</v>
      </c>
      <c r="U62" s="60">
        <f>SUM(U46,U31)</f>
        <v>585</v>
      </c>
      <c r="V62" s="70">
        <f>SUM(V46,V31)</f>
        <v>674</v>
      </c>
      <c r="W62" s="69">
        <v>236</v>
      </c>
      <c r="X62" s="60">
        <v>181</v>
      </c>
      <c r="Y62" s="96">
        <f t="shared" si="71"/>
        <v>0.76694915254237284</v>
      </c>
      <c r="Z62" s="97">
        <f t="shared" si="72"/>
        <v>5.0939226519337018</v>
      </c>
      <c r="AA62" s="97">
        <f t="shared" si="73"/>
        <v>85.305646408839763</v>
      </c>
      <c r="AB62" s="60">
        <f>SUM(AB46,AB31)</f>
        <v>15440.321999999998</v>
      </c>
      <c r="AC62" s="60">
        <f>SUM(AC46,AC31)</f>
        <v>379.12099999999998</v>
      </c>
      <c r="AD62" s="60">
        <f>SUM(AD46,AD31)</f>
        <v>922</v>
      </c>
      <c r="AE62" s="60">
        <f>SUM(AE46,AE31)</f>
        <v>862</v>
      </c>
      <c r="AF62" s="69">
        <v>241</v>
      </c>
      <c r="AG62" s="60">
        <v>176</v>
      </c>
      <c r="AH62" s="96">
        <f t="shared" si="74"/>
        <v>0.73029045643153523</v>
      </c>
      <c r="AI62" s="97">
        <f t="shared" si="75"/>
        <v>4.2784090909090908</v>
      </c>
      <c r="AJ62" s="97">
        <f t="shared" si="76"/>
        <v>71.92222727272727</v>
      </c>
      <c r="AK62" s="60">
        <f>SUM(AK46,AK31)</f>
        <v>12658.312</v>
      </c>
      <c r="AL62" s="60">
        <f>SUM(AL46,AL31)</f>
        <v>365.42599999999999</v>
      </c>
      <c r="AM62" s="60">
        <f>SUM(AM46,AM31)</f>
        <v>753</v>
      </c>
      <c r="AN62" s="70">
        <f>SUM(AN46,AN31)</f>
        <v>753</v>
      </c>
      <c r="AO62" s="69">
        <v>233</v>
      </c>
      <c r="AP62" s="60">
        <v>168</v>
      </c>
      <c r="AQ62" s="96">
        <f t="shared" si="77"/>
        <v>0.72103004291845496</v>
      </c>
      <c r="AR62" s="97">
        <f t="shared" si="78"/>
        <v>5.5178571428571432</v>
      </c>
      <c r="AS62" s="97">
        <f t="shared" si="79"/>
        <v>96.205482142857122</v>
      </c>
      <c r="AT62" s="60">
        <f>SUM(AT46,AT31)</f>
        <v>16162.520999999997</v>
      </c>
      <c r="AU62" s="60">
        <f>SUM(AU46,AU31)</f>
        <v>458.29899999999998</v>
      </c>
      <c r="AV62" s="60">
        <f>SUM(AV46,AV31)</f>
        <v>927</v>
      </c>
      <c r="AW62" s="60">
        <f>SUM(AW46,AW31)</f>
        <v>909</v>
      </c>
      <c r="AX62" s="69">
        <v>235</v>
      </c>
      <c r="AY62" s="60">
        <v>163</v>
      </c>
      <c r="AZ62" s="96">
        <f t="shared" si="80"/>
        <v>0.69361702127659575</v>
      </c>
      <c r="BA62" s="97">
        <f t="shared" si="81"/>
        <v>5.6932515337423313</v>
      </c>
      <c r="BB62" s="97">
        <f t="shared" si="82"/>
        <v>100.72444171779141</v>
      </c>
      <c r="BC62" s="60">
        <f>SUM(BC46,BC31)</f>
        <v>16418.083999999999</v>
      </c>
      <c r="BD62" s="60">
        <f>SUM(BD46,BD31)</f>
        <v>430.815</v>
      </c>
      <c r="BE62" s="60">
        <f>SUM(BE46,BE31)</f>
        <v>928</v>
      </c>
      <c r="BF62" s="70">
        <f>SUM(BF46,BF31)</f>
        <v>903</v>
      </c>
      <c r="BG62" s="69">
        <f>SUM(BG31,BG46)</f>
        <v>183</v>
      </c>
      <c r="BH62" s="60">
        <f>SUM(BH31,BH46)</f>
        <v>145</v>
      </c>
      <c r="BI62" s="96">
        <f t="shared" si="83"/>
        <v>0.79234972677595628</v>
      </c>
      <c r="BJ62" s="97">
        <f t="shared" si="84"/>
        <v>5.1310344827586203</v>
      </c>
      <c r="BK62" s="97">
        <f t="shared" si="85"/>
        <v>89.353793103448268</v>
      </c>
      <c r="BL62" s="140">
        <f>SUM(BL46,BL31)</f>
        <v>16500</v>
      </c>
      <c r="BM62" s="140">
        <f>SUM(BM46,BM31)</f>
        <v>12956.3</v>
      </c>
      <c r="BN62" s="141">
        <f>BM62/BL62</f>
        <v>0.78523030303030295</v>
      </c>
      <c r="BO62" s="60">
        <f>SUM(BO46,BO31)</f>
        <v>384.75099999999992</v>
      </c>
      <c r="BP62" s="60">
        <f>SUM(BP46,BP31)</f>
        <v>744</v>
      </c>
      <c r="BQ62" s="70">
        <f>SUM(BQ46,BQ31)</f>
        <v>778</v>
      </c>
      <c r="BR62" s="69">
        <f>SUM(BR31,BR46,BR61)</f>
        <v>394</v>
      </c>
      <c r="BS62" s="69">
        <f>SUM(BS31,BS46,BS61)</f>
        <v>298</v>
      </c>
      <c r="BT62" s="96">
        <f t="shared" si="86"/>
        <v>0.75634517766497467</v>
      </c>
      <c r="BU62" s="97" t="str">
        <f t="shared" si="87"/>
        <v/>
      </c>
      <c r="BV62" s="97" t="str">
        <f t="shared" si="88"/>
        <v/>
      </c>
      <c r="BW62" s="140">
        <f>SUM(BW46,BW31,BW61)</f>
        <v>20345</v>
      </c>
      <c r="BX62" s="140" t="e">
        <f>SUM(BX46,BX31,BX61)</f>
        <v>#REF!</v>
      </c>
      <c r="BY62" s="141" t="e">
        <f t="shared" si="99"/>
        <v>#REF!</v>
      </c>
      <c r="BZ62" s="60" t="e">
        <f>SUM(BZ46,BZ31,BZ61)</f>
        <v>#REF!</v>
      </c>
      <c r="CA62" s="60" t="e">
        <f>SUM(CA46,CA31,CA61)</f>
        <v>#REF!</v>
      </c>
      <c r="CB62" s="70" t="e">
        <f>SUM(CB46,CB31,CB61)</f>
        <v>#REF!</v>
      </c>
      <c r="CC62" s="69">
        <f>SUM(CC31,CC46,CC61)</f>
        <v>314</v>
      </c>
      <c r="CD62" s="69" t="e">
        <f>SUM(CD31,CD46,CD61)</f>
        <v>#DIV/0!</v>
      </c>
      <c r="CE62" s="96" t="str">
        <f t="shared" si="118"/>
        <v/>
      </c>
      <c r="CF62" s="97" t="str">
        <f t="shared" si="119"/>
        <v/>
      </c>
      <c r="CG62" s="97" t="str">
        <f t="shared" si="120"/>
        <v/>
      </c>
      <c r="CH62" s="140" t="e">
        <f>SUM(CH46,CH31,CH61)</f>
        <v>#DIV/0!</v>
      </c>
      <c r="CI62" s="140" t="e">
        <f>SUM(CI46,CI31,CI61)</f>
        <v>#REF!</v>
      </c>
      <c r="CJ62" s="141" t="e">
        <f t="shared" si="121"/>
        <v>#REF!</v>
      </c>
      <c r="CK62" s="60" t="e">
        <f>SUM(CK46,CK31,CK61)</f>
        <v>#REF!</v>
      </c>
      <c r="CL62" s="60" t="e">
        <f>SUM(CL46,CL31,CL61)</f>
        <v>#REF!</v>
      </c>
      <c r="CM62" s="70" t="e">
        <f>SUM(CM46,CM31,CM61)</f>
        <v>#REF!</v>
      </c>
      <c r="CN62" s="60">
        <f>SUM(CN46,CN31)</f>
        <v>237</v>
      </c>
      <c r="CO62" s="60">
        <f>SUM(CO46,CO31)</f>
        <v>1177</v>
      </c>
      <c r="CP62" s="96">
        <f t="shared" si="97"/>
        <v>0.72654320987654319</v>
      </c>
      <c r="CQ62" s="97">
        <f t="shared" si="93"/>
        <v>4.519966015293118</v>
      </c>
      <c r="CR62" s="97">
        <f t="shared" si="94"/>
        <v>77.570461342395916</v>
      </c>
      <c r="CS62" s="60">
        <f>SUM(CS46,CS31)</f>
        <v>91300.43299999999</v>
      </c>
      <c r="CT62" s="60">
        <f>SUM(CT46,CT31)</f>
        <v>2489.9099999999994</v>
      </c>
      <c r="CU62" s="60">
        <f>SUM(CU46,CU31)</f>
        <v>5320</v>
      </c>
      <c r="CV62" s="70">
        <f>SUM(CV46,CV31)</f>
        <v>5287</v>
      </c>
    </row>
    <row r="64" spans="1:115" x14ac:dyDescent="0.25">
      <c r="BW64" s="11"/>
      <c r="CH64" s="11"/>
    </row>
  </sheetData>
  <mergeCells count="3">
    <mergeCell ref="Q3:T3"/>
    <mergeCell ref="AK10:AN10"/>
    <mergeCell ref="Q20:T20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P103"/>
  <sheetViews>
    <sheetView showGridLines="0" zoomScale="85" zoomScaleNormal="85" workbookViewId="0">
      <pane xSplit="1" ySplit="2" topLeftCell="G3" activePane="bottomRight" state="frozen"/>
      <selection activeCell="F6" sqref="F6"/>
      <selection pane="topRight" activeCell="F6" sqref="F6"/>
      <selection pane="bottomLeft" activeCell="F6" sqref="F6"/>
      <selection pane="bottomRight" activeCell="AK1" sqref="AK1"/>
    </sheetView>
  </sheetViews>
  <sheetFormatPr defaultRowHeight="15" outlineLevelRow="1" outlineLevelCol="1" x14ac:dyDescent="0.25"/>
  <cols>
    <col min="1" max="1" width="18.140625" customWidth="1"/>
    <col min="2" max="2" width="15.140625" customWidth="1"/>
    <col min="3" max="3" width="9.140625" customWidth="1"/>
    <col min="5" max="5" width="10.42578125" bestFit="1" customWidth="1"/>
    <col min="7" max="9" width="10" customWidth="1"/>
    <col min="10" max="15" width="10" hidden="1" customWidth="1" outlineLevel="1"/>
    <col min="16" max="17" width="11.140625" hidden="1" customWidth="1" outlineLevel="1"/>
    <col min="18" max="18" width="11.140625" bestFit="1" customWidth="1" collapsed="1"/>
    <col min="19" max="19" width="10" bestFit="1" customWidth="1"/>
    <col min="20" max="23" width="11.140625" hidden="1" customWidth="1" outlineLevel="1"/>
    <col min="24" max="24" width="11.140625" style="127" hidden="1" customWidth="1" outlineLevel="1"/>
    <col min="25" max="25" width="9.140625" customWidth="1" collapsed="1"/>
    <col min="26" max="29" width="9.140625" hidden="1" customWidth="1" outlineLevel="1"/>
    <col min="30" max="30" width="9.140625" style="127" customWidth="1" collapsed="1"/>
    <col min="31" max="31" width="10" bestFit="1" customWidth="1"/>
    <col min="32" max="35" width="11.140625" bestFit="1" customWidth="1"/>
    <col min="36" max="36" width="11.140625" style="127" bestFit="1" customWidth="1"/>
    <col min="42" max="42" width="9.140625" style="127"/>
  </cols>
  <sheetData>
    <row r="1" spans="1:42" ht="19.5" customHeight="1" x14ac:dyDescent="0.25">
      <c r="A1" s="52">
        <v>6</v>
      </c>
      <c r="B1" s="52"/>
    </row>
    <row r="2" spans="1:42" s="1" customFormat="1" x14ac:dyDescent="0.25">
      <c r="A2" s="1" t="s">
        <v>13</v>
      </c>
      <c r="B2" s="1" t="s">
        <v>207</v>
      </c>
      <c r="C2" s="1" t="s">
        <v>206</v>
      </c>
      <c r="D2" s="1" t="s">
        <v>10</v>
      </c>
      <c r="E2" s="1" t="s">
        <v>12</v>
      </c>
      <c r="G2" s="1">
        <v>42020</v>
      </c>
      <c r="H2" s="1">
        <v>42051</v>
      </c>
      <c r="I2" s="1">
        <v>42079</v>
      </c>
      <c r="J2" s="1">
        <v>42110</v>
      </c>
      <c r="K2" s="1">
        <v>42140</v>
      </c>
      <c r="L2" s="1">
        <v>42171</v>
      </c>
      <c r="M2" s="1">
        <v>42201</v>
      </c>
      <c r="N2" s="1">
        <v>42232</v>
      </c>
      <c r="O2" s="1">
        <v>42263</v>
      </c>
      <c r="P2" s="1">
        <v>42293</v>
      </c>
      <c r="Q2" s="1">
        <v>42324</v>
      </c>
      <c r="R2" s="1">
        <v>42354</v>
      </c>
      <c r="S2" s="199">
        <v>42385</v>
      </c>
      <c r="T2" s="199">
        <v>42416</v>
      </c>
      <c r="U2" s="199">
        <v>42445</v>
      </c>
      <c r="V2" s="199">
        <v>42476</v>
      </c>
      <c r="W2" s="199">
        <v>42506</v>
      </c>
      <c r="X2" s="199">
        <v>42537</v>
      </c>
      <c r="Y2" s="199">
        <v>42567</v>
      </c>
      <c r="Z2" s="199">
        <v>42598</v>
      </c>
      <c r="AA2" s="199">
        <v>42629</v>
      </c>
      <c r="AB2" s="199">
        <v>42659</v>
      </c>
      <c r="AC2" s="199">
        <v>42690</v>
      </c>
      <c r="AD2" s="199">
        <v>42720</v>
      </c>
      <c r="AE2" s="198">
        <v>42751</v>
      </c>
      <c r="AF2" s="198">
        <v>42782</v>
      </c>
      <c r="AG2" s="198">
        <v>42810</v>
      </c>
      <c r="AH2" s="198">
        <v>42841</v>
      </c>
      <c r="AI2" s="198">
        <v>42871</v>
      </c>
      <c r="AJ2" s="198">
        <v>42902</v>
      </c>
      <c r="AK2" s="198">
        <v>42932</v>
      </c>
      <c r="AL2" s="198">
        <v>42963</v>
      </c>
      <c r="AM2" s="198">
        <v>42994</v>
      </c>
      <c r="AN2" s="198">
        <v>43024</v>
      </c>
      <c r="AO2" s="198">
        <v>43055</v>
      </c>
      <c r="AP2" s="198">
        <v>43085</v>
      </c>
    </row>
    <row r="3" spans="1:42" x14ac:dyDescent="0.25">
      <c r="A3" s="17" t="s">
        <v>1</v>
      </c>
      <c r="B3" s="150">
        <f>INDEX('[5]2017 - 2022 Plan'!$Z$7:$AK$7,1,A1)</f>
        <v>451</v>
      </c>
      <c r="C3" s="11">
        <f>INDEX($AE3:$AP3,$A$1)</f>
        <v>458</v>
      </c>
      <c r="D3" s="11">
        <f>INDEX($S3:$AD3,$A$1)</f>
        <v>290</v>
      </c>
      <c r="E3" s="14">
        <f t="shared" ref="E3:E12" si="0">C3/D3-1</f>
        <v>0.57931034482758625</v>
      </c>
      <c r="G3" s="37">
        <f>SUM(G16,G29,G42)</f>
        <v>268</v>
      </c>
      <c r="H3">
        <f t="shared" ref="H3:X3" si="1">SUM(H16,H29,H42)</f>
        <v>268</v>
      </c>
      <c r="I3">
        <f t="shared" si="1"/>
        <v>273</v>
      </c>
      <c r="J3">
        <f t="shared" si="1"/>
        <v>274</v>
      </c>
      <c r="K3">
        <f t="shared" si="1"/>
        <v>275</v>
      </c>
      <c r="L3" s="4">
        <f t="shared" si="1"/>
        <v>275</v>
      </c>
      <c r="M3">
        <f t="shared" si="1"/>
        <v>275</v>
      </c>
      <c r="N3">
        <f t="shared" si="1"/>
        <v>276</v>
      </c>
      <c r="O3">
        <f t="shared" si="1"/>
        <v>277</v>
      </c>
      <c r="P3">
        <f t="shared" si="1"/>
        <v>283</v>
      </c>
      <c r="Q3">
        <f t="shared" si="1"/>
        <v>287</v>
      </c>
      <c r="R3" s="4">
        <f t="shared" si="1"/>
        <v>287</v>
      </c>
      <c r="S3">
        <f t="shared" si="1"/>
        <v>287</v>
      </c>
      <c r="T3">
        <f t="shared" si="1"/>
        <v>287</v>
      </c>
      <c r="U3">
        <f t="shared" si="1"/>
        <v>289</v>
      </c>
      <c r="V3">
        <f t="shared" si="1"/>
        <v>290</v>
      </c>
      <c r="W3">
        <f t="shared" si="1"/>
        <v>290</v>
      </c>
      <c r="X3" s="127">
        <f t="shared" si="1"/>
        <v>290</v>
      </c>
      <c r="Y3" s="127">
        <f>SUM(Y16,Y29,Y42)</f>
        <v>173</v>
      </c>
      <c r="Z3" s="134">
        <f t="shared" ref="Z3:AD5" si="2">SUM(Z16,Z29,Z42,Z55)</f>
        <v>304</v>
      </c>
      <c r="AA3">
        <f t="shared" si="2"/>
        <v>302</v>
      </c>
      <c r="AB3">
        <f t="shared" si="2"/>
        <v>302</v>
      </c>
      <c r="AC3">
        <f t="shared" si="2"/>
        <v>302</v>
      </c>
      <c r="AD3">
        <f t="shared" si="2"/>
        <v>302</v>
      </c>
      <c r="AE3" s="37">
        <f>SUM(AE16,AE29,AE42,AE55,AE81)</f>
        <v>370</v>
      </c>
      <c r="AF3" s="37">
        <f t="shared" ref="AF3:AP3" si="3">SUM(AF16,AF29,AF42,AF55,AF81)</f>
        <v>396</v>
      </c>
      <c r="AG3" s="37">
        <f t="shared" si="3"/>
        <v>394</v>
      </c>
      <c r="AH3" s="37">
        <f>SUM(AH16,AH29,AH42,AH55,AH68,AH81)</f>
        <v>434</v>
      </c>
      <c r="AI3" s="235">
        <f>SUM(AI16,AI29,AI42,AI55,AI81,AI68,AI94)</f>
        <v>454</v>
      </c>
      <c r="AJ3" s="235">
        <f>SUM(AJ16,AJ29,AJ42,AJ55,AJ81,AJ68,AJ94)</f>
        <v>458</v>
      </c>
      <c r="AK3" s="235">
        <f>SUM(AK16,AK29,AK42,AK55,AK81,AK68,AK94)</f>
        <v>458</v>
      </c>
      <c r="AL3" s="208">
        <f t="shared" si="3"/>
        <v>0</v>
      </c>
      <c r="AM3" s="197">
        <f t="shared" si="3"/>
        <v>0</v>
      </c>
      <c r="AN3" s="197">
        <f t="shared" si="3"/>
        <v>0</v>
      </c>
      <c r="AO3" s="197">
        <f t="shared" si="3"/>
        <v>0</v>
      </c>
      <c r="AP3" s="197">
        <f t="shared" si="3"/>
        <v>0</v>
      </c>
    </row>
    <row r="4" spans="1:42" x14ac:dyDescent="0.25">
      <c r="A4" s="17" t="s">
        <v>0</v>
      </c>
      <c r="B4" s="150">
        <f>INDEX('[5]2017 - 2022 Plan'!$Z$8:$AK$8,1,$A$1)</f>
        <v>496</v>
      </c>
      <c r="C4" s="11">
        <f>INDEX($AE4:$AP4,$A$1)</f>
        <v>495</v>
      </c>
      <c r="D4" s="11">
        <f>INDEX($S4:$AD4,$A$1)</f>
        <v>181</v>
      </c>
      <c r="E4" s="14">
        <f t="shared" si="0"/>
        <v>1.7348066298342539</v>
      </c>
      <c r="G4">
        <f t="shared" ref="G4:X9" si="4">SUM(G17,G30,G43)</f>
        <v>183</v>
      </c>
      <c r="H4">
        <f t="shared" si="4"/>
        <v>191</v>
      </c>
      <c r="I4">
        <f t="shared" si="4"/>
        <v>199</v>
      </c>
      <c r="J4">
        <f t="shared" si="4"/>
        <v>207</v>
      </c>
      <c r="K4">
        <f t="shared" si="4"/>
        <v>200</v>
      </c>
      <c r="L4" s="4">
        <f t="shared" si="4"/>
        <v>195</v>
      </c>
      <c r="M4">
        <f t="shared" si="4"/>
        <v>200</v>
      </c>
      <c r="N4">
        <f t="shared" si="4"/>
        <v>195</v>
      </c>
      <c r="O4">
        <f t="shared" si="4"/>
        <v>200</v>
      </c>
      <c r="P4">
        <f t="shared" si="4"/>
        <v>169</v>
      </c>
      <c r="Q4">
        <f t="shared" si="4"/>
        <v>167</v>
      </c>
      <c r="R4" s="4">
        <f t="shared" si="4"/>
        <v>170</v>
      </c>
      <c r="S4">
        <f t="shared" si="4"/>
        <v>171</v>
      </c>
      <c r="T4">
        <f t="shared" si="4"/>
        <v>167</v>
      </c>
      <c r="U4">
        <f t="shared" si="4"/>
        <v>168</v>
      </c>
      <c r="V4">
        <f t="shared" si="4"/>
        <v>183</v>
      </c>
      <c r="W4">
        <f t="shared" si="4"/>
        <v>180</v>
      </c>
      <c r="X4" s="127">
        <f t="shared" si="4"/>
        <v>181</v>
      </c>
      <c r="Y4" s="127">
        <f>SUM(Y17,Y30,Y43)</f>
        <v>183</v>
      </c>
      <c r="Z4" s="134">
        <f t="shared" si="2"/>
        <v>320</v>
      </c>
      <c r="AA4">
        <f t="shared" si="2"/>
        <v>314</v>
      </c>
      <c r="AB4">
        <f t="shared" si="2"/>
        <v>430</v>
      </c>
      <c r="AC4">
        <f t="shared" si="2"/>
        <v>367</v>
      </c>
      <c r="AD4">
        <f t="shared" si="2"/>
        <v>385</v>
      </c>
      <c r="AE4" s="37">
        <f>SUM(AE17,AE30,AE43,AE56,AE82)</f>
        <v>377</v>
      </c>
      <c r="AF4" s="37">
        <f t="shared" ref="AF4:AP4" si="5">SUM(AF17,AF30,AF43,AF56,AF82)</f>
        <v>385</v>
      </c>
      <c r="AG4" s="37">
        <f t="shared" si="5"/>
        <v>420</v>
      </c>
      <c r="AH4" s="37">
        <f>SUM(AH17,AH30,AH43,AH56,AH69,AH82)</f>
        <v>416</v>
      </c>
      <c r="AI4" s="235">
        <f t="shared" ref="AI4:AJ4" si="6">SUM(AI17,AI30,AI43,AI56,AI82,AI69,AI95)</f>
        <v>481</v>
      </c>
      <c r="AJ4" s="235">
        <f t="shared" si="6"/>
        <v>495</v>
      </c>
      <c r="AK4" s="235">
        <f>SUM(AK17,AK30,AK43,AK56,AK82,AK69,AK95)</f>
        <v>431</v>
      </c>
      <c r="AL4" s="208">
        <f t="shared" si="5"/>
        <v>0</v>
      </c>
      <c r="AM4" s="197">
        <f t="shared" si="5"/>
        <v>0</v>
      </c>
      <c r="AN4" s="197">
        <f t="shared" si="5"/>
        <v>0</v>
      </c>
      <c r="AO4" s="197">
        <f t="shared" si="5"/>
        <v>0</v>
      </c>
      <c r="AP4" s="197">
        <f t="shared" si="5"/>
        <v>0</v>
      </c>
    </row>
    <row r="5" spans="1:42" x14ac:dyDescent="0.25">
      <c r="A5" s="17" t="s">
        <v>2</v>
      </c>
      <c r="B5" s="137" t="e">
        <f ca="1">SUM('[5]2017 - 2022 Plan'!$Z$10:OFFSET('[5]2017 - 2022 Plan'!$Z$10, ,$A$1-1))</f>
        <v>#VALUE!</v>
      </c>
      <c r="C5" s="11">
        <f>SUM($AE5:INDEX($AE5:$AP5,$A$1))</f>
        <v>1603</v>
      </c>
      <c r="D5" s="11">
        <f>SUM($S5:INDEX($S5:$AD5,$A$1))</f>
        <v>846</v>
      </c>
      <c r="E5" s="14">
        <f t="shared" si="0"/>
        <v>0.89479905437352247</v>
      </c>
      <c r="G5">
        <f t="shared" si="4"/>
        <v>115</v>
      </c>
      <c r="H5">
        <f t="shared" si="4"/>
        <v>80</v>
      </c>
      <c r="I5">
        <f t="shared" si="4"/>
        <v>125</v>
      </c>
      <c r="J5">
        <f t="shared" si="4"/>
        <v>135</v>
      </c>
      <c r="K5">
        <f t="shared" si="4"/>
        <v>144</v>
      </c>
      <c r="L5" s="4">
        <f t="shared" si="4"/>
        <v>135</v>
      </c>
      <c r="M5">
        <f t="shared" si="4"/>
        <v>142</v>
      </c>
      <c r="N5">
        <f t="shared" si="4"/>
        <v>147</v>
      </c>
      <c r="O5">
        <f t="shared" si="4"/>
        <v>151</v>
      </c>
      <c r="P5">
        <f t="shared" si="4"/>
        <v>136</v>
      </c>
      <c r="Q5">
        <f t="shared" si="4"/>
        <v>141</v>
      </c>
      <c r="R5" s="4">
        <f t="shared" si="4"/>
        <v>142</v>
      </c>
      <c r="S5">
        <f t="shared" si="4"/>
        <v>132</v>
      </c>
      <c r="T5">
        <f t="shared" si="4"/>
        <v>129</v>
      </c>
      <c r="U5">
        <f t="shared" si="4"/>
        <v>143</v>
      </c>
      <c r="V5">
        <f t="shared" si="4"/>
        <v>150</v>
      </c>
      <c r="W5">
        <f t="shared" si="4"/>
        <v>146</v>
      </c>
      <c r="X5" s="127">
        <f t="shared" si="4"/>
        <v>146</v>
      </c>
      <c r="Y5" s="127">
        <f>SUM(Y18,Y31,Y44)</f>
        <v>145</v>
      </c>
      <c r="Z5" s="135">
        <f t="shared" si="2"/>
        <v>256</v>
      </c>
      <c r="AA5">
        <f t="shared" si="2"/>
        <v>239</v>
      </c>
      <c r="AB5">
        <f t="shared" si="2"/>
        <v>288</v>
      </c>
      <c r="AC5">
        <f t="shared" si="2"/>
        <v>261</v>
      </c>
      <c r="AD5">
        <f t="shared" si="2"/>
        <v>312</v>
      </c>
      <c r="AE5" s="40">
        <f>SUM(AE18,AE31,AE44,AE57,AE83)</f>
        <v>232</v>
      </c>
      <c r="AF5" s="40">
        <f t="shared" ref="AF5:AP5" si="7">SUM(AF18,AF31,AF44,AF57,AF83)</f>
        <v>260</v>
      </c>
      <c r="AG5" s="40">
        <f t="shared" si="7"/>
        <v>285</v>
      </c>
      <c r="AH5" s="40">
        <f t="shared" si="7"/>
        <v>284</v>
      </c>
      <c r="AI5" s="235">
        <f>SUM(AI18,AI31,AI44,AI57,AI83,AI70,AI96)</f>
        <v>282</v>
      </c>
      <c r="AJ5" s="235">
        <f>SUM(AJ18,AJ31,AJ44,AJ57,AJ83,AJ70,AJ96)</f>
        <v>260</v>
      </c>
      <c r="AK5" s="235">
        <f>SUM(AK18,AK31,AK44,AK57,AK83,AK70,AK96)</f>
        <v>223</v>
      </c>
      <c r="AL5" s="209">
        <f t="shared" si="7"/>
        <v>0</v>
      </c>
      <c r="AM5" s="197">
        <f t="shared" si="7"/>
        <v>0</v>
      </c>
      <c r="AN5" s="197">
        <f t="shared" si="7"/>
        <v>0</v>
      </c>
      <c r="AO5" s="197">
        <f t="shared" si="7"/>
        <v>0</v>
      </c>
      <c r="AP5" s="197">
        <f t="shared" si="7"/>
        <v>0</v>
      </c>
    </row>
    <row r="6" spans="1:42" x14ac:dyDescent="0.25">
      <c r="A6" s="17" t="s">
        <v>3</v>
      </c>
      <c r="B6" s="151" t="e">
        <f ca="1">B5/SUM('[5]2017 - 2022 Plan'!Z8:OFFSET('[5]2017 - 2022 Plan'!Z8, ,$A$1-1))</f>
        <v>#VALUE!</v>
      </c>
      <c r="C6" s="14">
        <f>C5/SUM($AE4:INDEX($AE4:$AP4,$A$1))</f>
        <v>0.62276612276612275</v>
      </c>
      <c r="D6" s="14">
        <f>D5/SUM($S4:INDEX($S4:$AD4,$A$1))</f>
        <v>0.80571428571428572</v>
      </c>
      <c r="E6" s="14">
        <f t="shared" si="0"/>
        <v>-0.22706332280800368</v>
      </c>
      <c r="G6" s="23">
        <f>G5/G4</f>
        <v>0.62841530054644812</v>
      </c>
      <c r="H6" s="23">
        <f t="shared" ref="H6:AD6" si="8">H5/H4</f>
        <v>0.41884816753926701</v>
      </c>
      <c r="I6" s="23">
        <f t="shared" si="8"/>
        <v>0.62814070351758799</v>
      </c>
      <c r="J6" s="23">
        <f t="shared" si="8"/>
        <v>0.65217391304347827</v>
      </c>
      <c r="K6" s="23">
        <f t="shared" si="8"/>
        <v>0.72</v>
      </c>
      <c r="L6" s="41">
        <f t="shared" si="8"/>
        <v>0.69230769230769229</v>
      </c>
      <c r="M6" s="23">
        <f t="shared" si="8"/>
        <v>0.71</v>
      </c>
      <c r="N6" s="23">
        <f t="shared" si="8"/>
        <v>0.75384615384615383</v>
      </c>
      <c r="O6" s="23">
        <f t="shared" si="8"/>
        <v>0.755</v>
      </c>
      <c r="P6" s="23">
        <f t="shared" si="8"/>
        <v>0.80473372781065089</v>
      </c>
      <c r="Q6" s="23">
        <f t="shared" si="8"/>
        <v>0.84431137724550898</v>
      </c>
      <c r="R6" s="41">
        <f t="shared" si="8"/>
        <v>0.83529411764705885</v>
      </c>
      <c r="S6" s="23">
        <f t="shared" si="8"/>
        <v>0.77192982456140347</v>
      </c>
      <c r="T6" s="23">
        <f t="shared" si="8"/>
        <v>0.77245508982035926</v>
      </c>
      <c r="U6" s="23">
        <f t="shared" si="8"/>
        <v>0.85119047619047616</v>
      </c>
      <c r="V6" s="23">
        <f t="shared" si="8"/>
        <v>0.81967213114754101</v>
      </c>
      <c r="W6" s="23">
        <f t="shared" si="8"/>
        <v>0.81111111111111112</v>
      </c>
      <c r="X6" s="129">
        <f t="shared" si="8"/>
        <v>0.8066298342541437</v>
      </c>
      <c r="Y6" s="129">
        <f t="shared" si="8"/>
        <v>0.79234972677595628</v>
      </c>
      <c r="Z6" s="129">
        <f t="shared" si="8"/>
        <v>0.8</v>
      </c>
      <c r="AA6" s="14">
        <f t="shared" si="8"/>
        <v>0.76114649681528668</v>
      </c>
      <c r="AB6" s="14">
        <f t="shared" si="8"/>
        <v>0.66976744186046511</v>
      </c>
      <c r="AC6" s="14">
        <f t="shared" si="8"/>
        <v>0.71117166212534055</v>
      </c>
      <c r="AD6" s="14">
        <f t="shared" si="8"/>
        <v>0.81038961038961044</v>
      </c>
      <c r="AE6" s="23">
        <f>IFERROR(AE5/AE4,0)</f>
        <v>0.61538461538461542</v>
      </c>
      <c r="AF6" s="23">
        <f t="shared" ref="AF6:AP6" si="9">IFERROR(AF5/AF4,0)</f>
        <v>0.67532467532467533</v>
      </c>
      <c r="AG6" s="23">
        <f t="shared" si="9"/>
        <v>0.6785714285714286</v>
      </c>
      <c r="AH6" s="23">
        <f t="shared" si="9"/>
        <v>0.68269230769230771</v>
      </c>
      <c r="AI6" s="23">
        <f>IFERROR(AI5/AI4,0)</f>
        <v>0.58627858627858631</v>
      </c>
      <c r="AJ6" s="201">
        <f>IFERROR(AJ5/AJ4,0)</f>
        <v>0.5252525252525253</v>
      </c>
      <c r="AK6" s="232">
        <f>IFERROR(AK5/AK4,0)</f>
        <v>0.51740139211136893</v>
      </c>
      <c r="AL6" s="201">
        <f t="shared" si="9"/>
        <v>0</v>
      </c>
      <c r="AM6" s="201">
        <f t="shared" si="9"/>
        <v>0</v>
      </c>
      <c r="AN6" s="201">
        <f t="shared" si="9"/>
        <v>0</v>
      </c>
      <c r="AO6" s="201">
        <f t="shared" si="9"/>
        <v>0</v>
      </c>
      <c r="AP6" s="201">
        <f t="shared" si="9"/>
        <v>0</v>
      </c>
    </row>
    <row r="7" spans="1:42" x14ac:dyDescent="0.25">
      <c r="A7" s="17" t="s">
        <v>4</v>
      </c>
      <c r="B7" s="137" t="e">
        <f>SUM('[5]2017 - 2022 Plan'!Z13:INDEX('[5]2017 - 2022 Plan'!Z13:AK13,,A1))</f>
        <v>#REF!</v>
      </c>
      <c r="C7" s="11">
        <f>SUM($AE7:INDEX($AE7:$AP7,$A$1))</f>
        <v>6664</v>
      </c>
      <c r="D7" s="11">
        <f>SUM($S7:INDEX($S7:$AD7,$A$1))</f>
        <v>4215</v>
      </c>
      <c r="E7" s="14">
        <f t="shared" si="0"/>
        <v>0.58102016607354678</v>
      </c>
      <c r="G7">
        <f t="shared" si="4"/>
        <v>302</v>
      </c>
      <c r="H7">
        <f t="shared" si="4"/>
        <v>187</v>
      </c>
      <c r="I7">
        <f t="shared" si="4"/>
        <v>506</v>
      </c>
      <c r="J7">
        <f t="shared" si="4"/>
        <v>494</v>
      </c>
      <c r="K7">
        <f t="shared" si="4"/>
        <v>429</v>
      </c>
      <c r="L7" s="4">
        <f t="shared" si="4"/>
        <v>581</v>
      </c>
      <c r="M7">
        <f t="shared" si="4"/>
        <v>558</v>
      </c>
      <c r="N7">
        <f t="shared" si="4"/>
        <v>475</v>
      </c>
      <c r="O7">
        <f t="shared" si="4"/>
        <v>607</v>
      </c>
      <c r="P7">
        <f t="shared" si="4"/>
        <v>688</v>
      </c>
      <c r="Q7">
        <f t="shared" si="4"/>
        <v>939</v>
      </c>
      <c r="R7" s="50">
        <f t="shared" si="4"/>
        <v>964</v>
      </c>
      <c r="S7" s="11">
        <f t="shared" si="4"/>
        <v>358</v>
      </c>
      <c r="T7" s="11">
        <f t="shared" si="4"/>
        <v>528</v>
      </c>
      <c r="U7" s="11">
        <f t="shared" si="4"/>
        <v>852</v>
      </c>
      <c r="V7" s="11">
        <f t="shared" si="4"/>
        <v>704</v>
      </c>
      <c r="W7" s="11">
        <f t="shared" si="4"/>
        <v>873</v>
      </c>
      <c r="X7" s="131">
        <f t="shared" si="4"/>
        <v>900</v>
      </c>
      <c r="Y7" s="131">
        <f>SUM(Y20,Y33,Y46)</f>
        <v>744</v>
      </c>
      <c r="Z7" s="131">
        <f>SUM(Z20,Z33,Z46,Z59)</f>
        <v>1116</v>
      </c>
      <c r="AA7" s="11">
        <f>SUM(AA20,AA33,AA46,AA59)</f>
        <v>1098</v>
      </c>
      <c r="AB7" s="11">
        <f>SUM(AB20,AB33,AB46,AB59)</f>
        <v>1265</v>
      </c>
      <c r="AC7" s="11">
        <f>SUM(AC20,AC33,AC46,AC59)</f>
        <v>894</v>
      </c>
      <c r="AD7" s="11">
        <f>SUM(AD20,AD33,AD46,AD59)</f>
        <v>1539</v>
      </c>
      <c r="AE7" s="11">
        <f>SUM(AE20,AE33,AE46,AE59,AE85)</f>
        <v>673</v>
      </c>
      <c r="AF7" s="11">
        <f t="shared" ref="AF7:AP7" si="10">SUM(AF20,AF33,AF46,AF59,AF85)</f>
        <v>1305</v>
      </c>
      <c r="AG7" s="11">
        <f t="shared" si="10"/>
        <v>1573</v>
      </c>
      <c r="AH7" s="11">
        <f t="shared" si="10"/>
        <v>1198</v>
      </c>
      <c r="AI7" s="235">
        <f t="shared" ref="AI6:AK9" si="11">SUM(AI20,AI33,AI46,AI59,AI85,AI72,AI98)</f>
        <v>1038</v>
      </c>
      <c r="AJ7" s="235">
        <f t="shared" si="11"/>
        <v>877</v>
      </c>
      <c r="AK7" s="235">
        <f t="shared" si="11"/>
        <v>912</v>
      </c>
      <c r="AL7" s="210">
        <f t="shared" si="10"/>
        <v>0</v>
      </c>
      <c r="AM7" s="211">
        <f t="shared" si="10"/>
        <v>0</v>
      </c>
      <c r="AN7" s="211">
        <f t="shared" si="10"/>
        <v>0</v>
      </c>
      <c r="AO7" s="211">
        <f t="shared" si="10"/>
        <v>0</v>
      </c>
      <c r="AP7" s="211">
        <f t="shared" si="10"/>
        <v>0</v>
      </c>
    </row>
    <row r="8" spans="1:42" x14ac:dyDescent="0.25">
      <c r="A8" s="17" t="s">
        <v>5</v>
      </c>
      <c r="B8" s="103" t="e">
        <f ca="1">B7/B5</f>
        <v>#REF!</v>
      </c>
      <c r="C8" s="38">
        <f>C7/C5</f>
        <v>4.1572052401746724</v>
      </c>
      <c r="D8" s="38">
        <f>D7/D5</f>
        <v>4.9822695035460995</v>
      </c>
      <c r="E8" s="14">
        <f t="shared" si="0"/>
        <v>-0.16560008702543949</v>
      </c>
      <c r="G8" s="38">
        <f>G7/G5</f>
        <v>2.6260869565217391</v>
      </c>
      <c r="H8" s="38">
        <f t="shared" ref="H8:AD8" si="12">H7/H5</f>
        <v>2.3374999999999999</v>
      </c>
      <c r="I8" s="38">
        <f t="shared" si="12"/>
        <v>4.048</v>
      </c>
      <c r="J8" s="38">
        <f t="shared" si="12"/>
        <v>3.6592592592592594</v>
      </c>
      <c r="K8" s="38">
        <f t="shared" si="12"/>
        <v>2.9791666666666665</v>
      </c>
      <c r="L8" s="42">
        <f t="shared" si="12"/>
        <v>4.3037037037037038</v>
      </c>
      <c r="M8" s="38">
        <f t="shared" si="12"/>
        <v>3.9295774647887325</v>
      </c>
      <c r="N8" s="38">
        <f t="shared" si="12"/>
        <v>3.2312925170068025</v>
      </c>
      <c r="O8" s="38">
        <f t="shared" si="12"/>
        <v>4.0198675496688745</v>
      </c>
      <c r="P8" s="38">
        <f t="shared" si="12"/>
        <v>5.0588235294117645</v>
      </c>
      <c r="Q8" s="38">
        <f t="shared" si="12"/>
        <v>6.6595744680851068</v>
      </c>
      <c r="R8" s="42">
        <f t="shared" si="12"/>
        <v>6.788732394366197</v>
      </c>
      <c r="S8" s="38">
        <f t="shared" si="12"/>
        <v>2.7121212121212119</v>
      </c>
      <c r="T8" s="38">
        <f t="shared" si="12"/>
        <v>4.0930232558139537</v>
      </c>
      <c r="U8" s="38">
        <f t="shared" si="12"/>
        <v>5.9580419580419584</v>
      </c>
      <c r="V8" s="38">
        <f t="shared" si="12"/>
        <v>4.6933333333333334</v>
      </c>
      <c r="W8" s="38">
        <f t="shared" si="12"/>
        <v>5.9794520547945202</v>
      </c>
      <c r="X8" s="130">
        <f t="shared" si="12"/>
        <v>6.1643835616438354</v>
      </c>
      <c r="Y8" s="130">
        <f t="shared" si="12"/>
        <v>5.1310344827586203</v>
      </c>
      <c r="Z8" s="130">
        <f t="shared" si="12"/>
        <v>4.359375</v>
      </c>
      <c r="AA8" s="38">
        <f t="shared" si="12"/>
        <v>4.5941422594142258</v>
      </c>
      <c r="AB8" s="38">
        <f t="shared" si="12"/>
        <v>4.3923611111111107</v>
      </c>
      <c r="AC8" s="38">
        <f t="shared" si="12"/>
        <v>3.4252873563218391</v>
      </c>
      <c r="AD8" s="38">
        <f t="shared" si="12"/>
        <v>4.9326923076923075</v>
      </c>
      <c r="AE8" s="38">
        <f>IFERROR(AE7/AE5,0)</f>
        <v>2.9008620689655173</v>
      </c>
      <c r="AF8" s="38">
        <f t="shared" ref="AF8:AP8" si="13">IFERROR(AF7/AF5,0)</f>
        <v>5.0192307692307692</v>
      </c>
      <c r="AG8" s="38">
        <f t="shared" si="13"/>
        <v>5.5192982456140349</v>
      </c>
      <c r="AH8" s="38">
        <f t="shared" si="13"/>
        <v>4.21830985915493</v>
      </c>
      <c r="AI8" s="38">
        <f t="shared" ref="AI8" si="14">IFERROR(AI7/AI5,0)</f>
        <v>3.6808510638297873</v>
      </c>
      <c r="AJ8" s="203">
        <f>IFERROR(AJ7/AJ5,0)</f>
        <v>3.3730769230769231</v>
      </c>
      <c r="AK8" s="233">
        <f>IFERROR(AK7/AK5,0)</f>
        <v>4.0896860986547088</v>
      </c>
      <c r="AL8" s="203">
        <f t="shared" si="13"/>
        <v>0</v>
      </c>
      <c r="AM8" s="203">
        <f t="shared" si="13"/>
        <v>0</v>
      </c>
      <c r="AN8" s="203">
        <f t="shared" si="13"/>
        <v>0</v>
      </c>
      <c r="AO8" s="203">
        <f t="shared" si="13"/>
        <v>0</v>
      </c>
      <c r="AP8" s="203">
        <f t="shared" si="13"/>
        <v>0</v>
      </c>
    </row>
    <row r="9" spans="1:42" x14ac:dyDescent="0.25">
      <c r="A9" s="17" t="s">
        <v>6</v>
      </c>
      <c r="B9" s="137">
        <f>SUM(Data!AN13:INDEX(Data!AN13:AY13,,$A$1))</f>
        <v>125516.16737142859</v>
      </c>
      <c r="C9" s="11">
        <f>SUM($AE9:INDEX($AE9:$AP9,$A$1))</f>
        <v>122818.15900000001</v>
      </c>
      <c r="D9" s="11">
        <f>SUM($S9:INDEX($S9:$AD9,$A$1))</f>
        <v>71730.823000000004</v>
      </c>
      <c r="E9" s="14">
        <f t="shared" si="0"/>
        <v>0.71220897604925026</v>
      </c>
      <c r="F9" s="14">
        <f>C9/B9</f>
        <v>0.97850469443155796</v>
      </c>
      <c r="G9" s="11">
        <f t="shared" si="4"/>
        <v>5188.6629999999996</v>
      </c>
      <c r="H9" s="11">
        <f t="shared" si="4"/>
        <v>3123.3230000000003</v>
      </c>
      <c r="I9" s="11">
        <f t="shared" si="4"/>
        <v>9273.6569999999992</v>
      </c>
      <c r="J9" s="11">
        <f t="shared" si="4"/>
        <v>8375.8829999999998</v>
      </c>
      <c r="K9" s="11">
        <f t="shared" si="4"/>
        <v>7642.2390000000005</v>
      </c>
      <c r="L9" s="50">
        <f t="shared" si="4"/>
        <v>10443.096000000009</v>
      </c>
      <c r="M9" s="11">
        <f t="shared" si="4"/>
        <v>10004.824000000001</v>
      </c>
      <c r="N9" s="11">
        <f t="shared" si="4"/>
        <v>7767.9339999999993</v>
      </c>
      <c r="O9" s="11">
        <f t="shared" si="4"/>
        <v>10991.358000000011</v>
      </c>
      <c r="P9" s="11">
        <f t="shared" si="4"/>
        <v>12458.921</v>
      </c>
      <c r="Q9" s="11">
        <f t="shared" si="4"/>
        <v>16657.947</v>
      </c>
      <c r="R9" s="50">
        <f t="shared" si="4"/>
        <v>16916.330999999998</v>
      </c>
      <c r="S9" s="11">
        <f t="shared" si="4"/>
        <v>5661.8700000000008</v>
      </c>
      <c r="T9" s="11">
        <f t="shared" si="4"/>
        <v>8966.5000000000091</v>
      </c>
      <c r="U9" s="11">
        <f t="shared" si="4"/>
        <v>14161.739</v>
      </c>
      <c r="V9" s="11">
        <f t="shared" si="4"/>
        <v>11771.885</v>
      </c>
      <c r="W9" s="11">
        <f t="shared" si="4"/>
        <v>15183.444</v>
      </c>
      <c r="X9" s="131">
        <f t="shared" si="4"/>
        <v>15985.385</v>
      </c>
      <c r="Y9" s="131">
        <f>SUM(Y22,Y35,Y48)</f>
        <v>12956.3</v>
      </c>
      <c r="Z9" s="131">
        <f>SUM(Z22,Z35,Z48,Z61)</f>
        <v>19452.117000000002</v>
      </c>
      <c r="AA9" s="11">
        <f>SUM(AA22,AA35,AA48,AA61)</f>
        <v>20610.342999999979</v>
      </c>
      <c r="AB9" s="11">
        <f>SUM(AB22,AB35,AB48,AB61)</f>
        <v>21252.087</v>
      </c>
      <c r="AC9" s="11">
        <f>SUM(AC22,AC35,AC48,AC61)</f>
        <v>16088.674000000001</v>
      </c>
      <c r="AD9" s="11">
        <f>SUM(AD22,AD35,AD48,AD61)</f>
        <v>29949.056</v>
      </c>
      <c r="AE9" s="11">
        <f>SUM(AE22,AE35,AE48,AE61,AE87)</f>
        <v>11859.58</v>
      </c>
      <c r="AF9" s="11">
        <f t="shared" ref="AF9:AP9" si="15">SUM(AF22,AF35,AF48,AF61,AF87)</f>
        <v>21762.708999999999</v>
      </c>
      <c r="AG9" s="11">
        <f t="shared" si="15"/>
        <v>29406.12000000001</v>
      </c>
      <c r="AH9" s="11">
        <f>SUM(AH22,AH35,AH48,AH61,AH74,AH87)</f>
        <v>23090.090000000004</v>
      </c>
      <c r="AI9" s="235">
        <f t="shared" si="11"/>
        <v>20047.999999999996</v>
      </c>
      <c r="AJ9" s="235">
        <f t="shared" si="11"/>
        <v>16651.66</v>
      </c>
      <c r="AK9" s="235">
        <f t="shared" si="11"/>
        <v>18658.875</v>
      </c>
      <c r="AL9" s="210">
        <f t="shared" si="15"/>
        <v>0</v>
      </c>
      <c r="AM9" s="211">
        <f t="shared" si="15"/>
        <v>0</v>
      </c>
      <c r="AN9" s="211">
        <f t="shared" si="15"/>
        <v>0</v>
      </c>
      <c r="AO9" s="211">
        <f t="shared" si="15"/>
        <v>0</v>
      </c>
      <c r="AP9" s="211">
        <f t="shared" si="15"/>
        <v>0</v>
      </c>
    </row>
    <row r="10" spans="1:42" x14ac:dyDescent="0.25">
      <c r="A10" s="17" t="s">
        <v>7</v>
      </c>
      <c r="B10" s="152" t="e">
        <f>B9/B7</f>
        <v>#REF!</v>
      </c>
      <c r="C10" s="38">
        <f>C9/C7</f>
        <v>18.430095888355343</v>
      </c>
      <c r="D10" s="38">
        <f>D9/D7</f>
        <v>17.017988849347571</v>
      </c>
      <c r="E10" s="14">
        <f t="shared" si="0"/>
        <v>8.2977316033551629E-2</v>
      </c>
      <c r="G10" s="6">
        <f>G9/G7</f>
        <v>17.181003311258277</v>
      </c>
      <c r="H10" s="6">
        <f t="shared" ref="H10:AD10" si="16">H9/H7</f>
        <v>16.702262032085564</v>
      </c>
      <c r="I10" s="6">
        <f t="shared" si="16"/>
        <v>18.327385375494071</v>
      </c>
      <c r="J10" s="6">
        <f t="shared" si="16"/>
        <v>16.955228744939269</v>
      </c>
      <c r="K10" s="6">
        <f t="shared" si="16"/>
        <v>17.814076923076925</v>
      </c>
      <c r="L10" s="44">
        <f t="shared" si="16"/>
        <v>17.974347676419981</v>
      </c>
      <c r="M10" s="6">
        <f t="shared" si="16"/>
        <v>17.929792114695342</v>
      </c>
      <c r="N10" s="6">
        <f t="shared" si="16"/>
        <v>16.353545263157894</v>
      </c>
      <c r="O10" s="6">
        <f t="shared" si="16"/>
        <v>18.107673805601337</v>
      </c>
      <c r="P10" s="6">
        <f t="shared" si="16"/>
        <v>18.108896802325582</v>
      </c>
      <c r="Q10" s="6">
        <f t="shared" si="16"/>
        <v>17.740092651757188</v>
      </c>
      <c r="R10" s="44">
        <f t="shared" si="16"/>
        <v>17.548061203319499</v>
      </c>
      <c r="S10" s="6">
        <f t="shared" si="16"/>
        <v>15.815279329608941</v>
      </c>
      <c r="T10" s="6">
        <f t="shared" si="16"/>
        <v>16.982007575757592</v>
      </c>
      <c r="U10" s="6">
        <f t="shared" si="16"/>
        <v>16.621759389671361</v>
      </c>
      <c r="V10" s="6">
        <f t="shared" si="16"/>
        <v>16.721427556818181</v>
      </c>
      <c r="W10" s="6">
        <f t="shared" si="16"/>
        <v>17.392261168384881</v>
      </c>
      <c r="X10" s="132">
        <f t="shared" si="16"/>
        <v>17.761538888888889</v>
      </c>
      <c r="Y10" s="132">
        <f t="shared" si="16"/>
        <v>17.414381720430107</v>
      </c>
      <c r="Z10" s="132">
        <f t="shared" si="16"/>
        <v>17.430212365591398</v>
      </c>
      <c r="AA10" s="38">
        <f t="shared" si="16"/>
        <v>18.770804189435317</v>
      </c>
      <c r="AB10" s="38">
        <f t="shared" si="16"/>
        <v>16.800068774703558</v>
      </c>
      <c r="AC10" s="38">
        <f t="shared" si="16"/>
        <v>17.996279642058166</v>
      </c>
      <c r="AD10" s="38">
        <f t="shared" si="16"/>
        <v>19.460075373619233</v>
      </c>
      <c r="AE10" s="6">
        <f t="shared" ref="AE10" si="17">AE9/AE7</f>
        <v>17.621961367013373</v>
      </c>
      <c r="AF10" s="6">
        <f t="shared" ref="AF10:AP10" si="18">AF9/AF7</f>
        <v>16.676405363984674</v>
      </c>
      <c r="AG10" s="6">
        <f t="shared" si="18"/>
        <v>18.694291163382079</v>
      </c>
      <c r="AH10" s="6">
        <f t="shared" si="18"/>
        <v>19.273864774624379</v>
      </c>
      <c r="AI10" s="6">
        <f t="shared" ref="AI10" si="19">AI9/AI7</f>
        <v>19.314065510597299</v>
      </c>
      <c r="AJ10" s="206">
        <f t="shared" si="18"/>
        <v>18.987069555302167</v>
      </c>
      <c r="AK10" s="234">
        <f>AK9/AK7</f>
        <v>20.459292763157894</v>
      </c>
      <c r="AL10" s="206" t="e">
        <f t="shared" si="18"/>
        <v>#DIV/0!</v>
      </c>
      <c r="AM10" s="206" t="e">
        <f t="shared" si="18"/>
        <v>#DIV/0!</v>
      </c>
      <c r="AN10" s="206" t="e">
        <f t="shared" si="18"/>
        <v>#DIV/0!</v>
      </c>
      <c r="AO10" s="206" t="e">
        <f t="shared" si="18"/>
        <v>#DIV/0!</v>
      </c>
      <c r="AP10" s="206" t="e">
        <f t="shared" si="18"/>
        <v>#DIV/0!</v>
      </c>
    </row>
    <row r="11" spans="1:42" x14ac:dyDescent="0.25">
      <c r="A11" s="17" t="s">
        <v>8</v>
      </c>
      <c r="B11" s="145" t="e">
        <f>B9/SUM('[5]2017 - 2022 Plan'!$Z$8:INDEX('[5]2017 - 2022 Plan'!$Z$8:$AK$8,1,A1))</f>
        <v>#REF!</v>
      </c>
      <c r="C11" s="38">
        <f>C9/SUM($AE4:INDEX($AE4:$AP4,$A$1))</f>
        <v>47.714902486402494</v>
      </c>
      <c r="D11" s="38">
        <f>D9/SUM($S4:INDEX($S4:$AD4,$A$1))</f>
        <v>68.315069523809527</v>
      </c>
      <c r="E11" s="14">
        <f t="shared" si="0"/>
        <v>-0.30154645499156452</v>
      </c>
      <c r="G11" s="6">
        <f>G9/G4</f>
        <v>28.353349726775953</v>
      </c>
      <c r="H11" s="6">
        <f t="shared" ref="H11:AD11" si="20">H9/H4</f>
        <v>16.352476439790578</v>
      </c>
      <c r="I11" s="6">
        <f t="shared" si="20"/>
        <v>46.601291457286429</v>
      </c>
      <c r="J11" s="6">
        <f t="shared" si="20"/>
        <v>40.463202898550726</v>
      </c>
      <c r="K11" s="6">
        <f t="shared" si="20"/>
        <v>38.211195000000004</v>
      </c>
      <c r="L11" s="44">
        <f t="shared" si="20"/>
        <v>53.554338461538507</v>
      </c>
      <c r="M11" s="6">
        <f t="shared" si="20"/>
        <v>50.024120000000003</v>
      </c>
      <c r="N11" s="6">
        <f t="shared" si="20"/>
        <v>39.835558974358968</v>
      </c>
      <c r="O11" s="6">
        <f t="shared" si="20"/>
        <v>54.956790000000055</v>
      </c>
      <c r="P11" s="6">
        <f t="shared" si="20"/>
        <v>73.721426035502958</v>
      </c>
      <c r="Q11" s="6">
        <f t="shared" si="20"/>
        <v>99.748185628742519</v>
      </c>
      <c r="R11" s="44">
        <f t="shared" si="20"/>
        <v>99.507829411764689</v>
      </c>
      <c r="S11" s="6">
        <f t="shared" si="20"/>
        <v>33.110350877192985</v>
      </c>
      <c r="T11" s="6">
        <f t="shared" si="20"/>
        <v>53.691616766467121</v>
      </c>
      <c r="U11" s="6">
        <f t="shared" si="20"/>
        <v>84.296065476190478</v>
      </c>
      <c r="V11" s="6">
        <f t="shared" si="20"/>
        <v>64.327240437158466</v>
      </c>
      <c r="W11" s="6">
        <f t="shared" si="20"/>
        <v>84.352466666666658</v>
      </c>
      <c r="X11" s="132">
        <f t="shared" si="20"/>
        <v>88.317044198895033</v>
      </c>
      <c r="Y11" s="132">
        <f t="shared" si="20"/>
        <v>70.799453551912563</v>
      </c>
      <c r="Z11" s="132">
        <f t="shared" si="20"/>
        <v>60.787865625000009</v>
      </c>
      <c r="AA11" s="38">
        <f t="shared" si="20"/>
        <v>65.638035031847068</v>
      </c>
      <c r="AB11" s="38">
        <f t="shared" si="20"/>
        <v>49.42345813953488</v>
      </c>
      <c r="AC11" s="38">
        <f t="shared" si="20"/>
        <v>43.838348773841965</v>
      </c>
      <c r="AD11" s="38">
        <f t="shared" si="20"/>
        <v>77.789755844155849</v>
      </c>
      <c r="AE11" s="6">
        <f t="shared" ref="AE11" si="21">AE9/AE4</f>
        <v>31.457771883289123</v>
      </c>
      <c r="AF11" s="6">
        <f t="shared" ref="AF11:AP11" si="22">AF9/AF4</f>
        <v>56.526516883116884</v>
      </c>
      <c r="AG11" s="6">
        <f t="shared" si="22"/>
        <v>70.014571428571458</v>
      </c>
      <c r="AH11" s="6">
        <f t="shared" si="22"/>
        <v>55.505024038461549</v>
      </c>
      <c r="AI11" s="6">
        <f t="shared" ref="AI11" si="23">AI9/AI4</f>
        <v>41.679833679833671</v>
      </c>
      <c r="AJ11" s="206">
        <f t="shared" si="22"/>
        <v>33.639717171717173</v>
      </c>
      <c r="AK11" s="234">
        <f>AK9/AK4</f>
        <v>43.292053364269144</v>
      </c>
      <c r="AL11" s="206" t="e">
        <f t="shared" si="22"/>
        <v>#DIV/0!</v>
      </c>
      <c r="AM11" s="206" t="e">
        <f t="shared" si="22"/>
        <v>#DIV/0!</v>
      </c>
      <c r="AN11" s="206" t="e">
        <f t="shared" si="22"/>
        <v>#DIV/0!</v>
      </c>
      <c r="AO11" s="206" t="e">
        <f t="shared" si="22"/>
        <v>#DIV/0!</v>
      </c>
      <c r="AP11" s="206" t="e">
        <f t="shared" si="22"/>
        <v>#DIV/0!</v>
      </c>
    </row>
    <row r="12" spans="1:42" x14ac:dyDescent="0.25">
      <c r="A12" s="17" t="s">
        <v>9</v>
      </c>
      <c r="B12" s="153" t="e">
        <f ca="1">B9/B5</f>
        <v>#VALUE!</v>
      </c>
      <c r="C12" s="38">
        <f>C9/C5</f>
        <v>76.617691203992521</v>
      </c>
      <c r="D12" s="38">
        <f>D9/D5</f>
        <v>84.788206855791969</v>
      </c>
      <c r="E12" s="14">
        <f t="shared" si="0"/>
        <v>-9.6363821748181144E-2</v>
      </c>
      <c r="G12" s="6">
        <f>G9/G5</f>
        <v>45.11880869565217</v>
      </c>
      <c r="H12" s="6">
        <f t="shared" ref="H12:AD12" si="24">H9/H5</f>
        <v>39.041537500000004</v>
      </c>
      <c r="I12" s="6">
        <f t="shared" si="24"/>
        <v>74.189256</v>
      </c>
      <c r="J12" s="6">
        <f t="shared" si="24"/>
        <v>62.043577777777777</v>
      </c>
      <c r="K12" s="6">
        <f t="shared" si="24"/>
        <v>53.071104166666672</v>
      </c>
      <c r="L12" s="44">
        <f t="shared" si="24"/>
        <v>77.356266666666727</v>
      </c>
      <c r="M12" s="6">
        <f t="shared" si="24"/>
        <v>70.45650704225352</v>
      </c>
      <c r="N12" s="6">
        <f t="shared" si="24"/>
        <v>52.843088435374142</v>
      </c>
      <c r="O12" s="6">
        <f t="shared" si="24"/>
        <v>72.790450331125896</v>
      </c>
      <c r="P12" s="6">
        <f t="shared" si="24"/>
        <v>91.609713235294123</v>
      </c>
      <c r="Q12" s="6">
        <f t="shared" si="24"/>
        <v>118.14146808510638</v>
      </c>
      <c r="R12" s="44">
        <f t="shared" si="24"/>
        <v>119.12909154929577</v>
      </c>
      <c r="S12" s="6">
        <f t="shared" si="24"/>
        <v>42.89295454545455</v>
      </c>
      <c r="T12" s="6">
        <f t="shared" si="24"/>
        <v>69.507751937984565</v>
      </c>
      <c r="U12" s="6">
        <f t="shared" si="24"/>
        <v>99.033139860139855</v>
      </c>
      <c r="V12" s="6">
        <f t="shared" si="24"/>
        <v>78.47923333333334</v>
      </c>
      <c r="W12" s="6">
        <f t="shared" si="24"/>
        <v>103.99619178082192</v>
      </c>
      <c r="X12" s="132">
        <f t="shared" si="24"/>
        <v>109.48893835616438</v>
      </c>
      <c r="Y12" s="132">
        <f t="shared" si="24"/>
        <v>89.353793103448268</v>
      </c>
      <c r="Z12" s="132">
        <f t="shared" si="24"/>
        <v>75.984832031250008</v>
      </c>
      <c r="AA12" s="38">
        <f t="shared" si="24"/>
        <v>86.235744769874387</v>
      </c>
      <c r="AB12" s="38">
        <f t="shared" si="24"/>
        <v>73.791968749999995</v>
      </c>
      <c r="AC12" s="38">
        <f t="shared" si="24"/>
        <v>61.642429118773947</v>
      </c>
      <c r="AD12" s="38">
        <f t="shared" si="24"/>
        <v>95.990564102564107</v>
      </c>
      <c r="AE12" s="6">
        <f t="shared" ref="AE12" si="25">AE9/AE5</f>
        <v>51.11887931034483</v>
      </c>
      <c r="AF12" s="6">
        <f t="shared" ref="AF12:AP12" si="26">AF9/AF5</f>
        <v>83.702726923076924</v>
      </c>
      <c r="AG12" s="6">
        <f t="shared" si="26"/>
        <v>103.17936842105267</v>
      </c>
      <c r="AH12" s="6">
        <f t="shared" si="26"/>
        <v>81.303133802816916</v>
      </c>
      <c r="AI12" s="6">
        <f t="shared" ref="AI12" si="27">AI9/AI5</f>
        <v>71.092198581560268</v>
      </c>
      <c r="AJ12" s="206">
        <f t="shared" si="26"/>
        <v>64.044846153846152</v>
      </c>
      <c r="AK12" s="234">
        <f>AK9/AK5</f>
        <v>83.67208520179372</v>
      </c>
      <c r="AL12" s="206" t="e">
        <f t="shared" si="26"/>
        <v>#DIV/0!</v>
      </c>
      <c r="AM12" s="206" t="e">
        <f t="shared" si="26"/>
        <v>#DIV/0!</v>
      </c>
      <c r="AN12" s="206" t="e">
        <f t="shared" si="26"/>
        <v>#DIV/0!</v>
      </c>
      <c r="AO12" s="206" t="e">
        <f t="shared" si="26"/>
        <v>#DIV/0!</v>
      </c>
      <c r="AP12" s="206" t="e">
        <f t="shared" si="26"/>
        <v>#DIV/0!</v>
      </c>
    </row>
    <row r="15" spans="1:42" s="1" customFormat="1" x14ac:dyDescent="0.25">
      <c r="A15" s="1" t="s">
        <v>47</v>
      </c>
      <c r="B15" s="1" t="str">
        <f>B2</f>
        <v>YTD Target '17</v>
      </c>
      <c r="C15" s="1" t="s">
        <v>206</v>
      </c>
      <c r="D15" s="1" t="s">
        <v>10</v>
      </c>
      <c r="E15" s="1" t="s">
        <v>12</v>
      </c>
      <c r="G15" s="1">
        <v>42020</v>
      </c>
      <c r="H15" s="1">
        <v>42051</v>
      </c>
      <c r="I15" s="1">
        <v>42079</v>
      </c>
      <c r="J15" s="1">
        <v>42110</v>
      </c>
      <c r="K15" s="1">
        <v>42140</v>
      </c>
      <c r="L15" s="1">
        <v>42171</v>
      </c>
      <c r="M15" s="1">
        <v>42201</v>
      </c>
      <c r="N15" s="1">
        <v>42232</v>
      </c>
      <c r="O15" s="1">
        <v>42263</v>
      </c>
      <c r="P15" s="1">
        <v>42293</v>
      </c>
      <c r="Q15" s="1">
        <v>42324</v>
      </c>
      <c r="R15" s="1">
        <v>42354</v>
      </c>
      <c r="S15" s="1">
        <v>42385</v>
      </c>
      <c r="T15" s="1">
        <v>42416</v>
      </c>
      <c r="U15" s="1">
        <v>42445</v>
      </c>
      <c r="V15" s="1">
        <v>42476</v>
      </c>
      <c r="W15" s="1">
        <v>42506</v>
      </c>
      <c r="X15" s="128">
        <v>42537</v>
      </c>
      <c r="Y15" s="1">
        <v>42567</v>
      </c>
      <c r="Z15" s="1">
        <v>42598</v>
      </c>
      <c r="AA15" s="1">
        <v>42629</v>
      </c>
      <c r="AB15" s="1">
        <v>42659</v>
      </c>
      <c r="AC15" s="1">
        <v>42690</v>
      </c>
      <c r="AD15" s="128">
        <v>42720</v>
      </c>
      <c r="AE15" s="1">
        <f t="shared" ref="AE15:AP15" si="28">AE2</f>
        <v>42751</v>
      </c>
      <c r="AF15" s="1">
        <f t="shared" si="28"/>
        <v>42782</v>
      </c>
      <c r="AG15" s="1">
        <f t="shared" si="28"/>
        <v>42810</v>
      </c>
      <c r="AH15" s="1">
        <f t="shared" si="28"/>
        <v>42841</v>
      </c>
      <c r="AI15" s="1">
        <f t="shared" si="28"/>
        <v>42871</v>
      </c>
      <c r="AJ15" s="128">
        <f t="shared" si="28"/>
        <v>42902</v>
      </c>
      <c r="AK15" s="1">
        <f t="shared" si="28"/>
        <v>42932</v>
      </c>
      <c r="AL15" s="1">
        <f t="shared" si="28"/>
        <v>42963</v>
      </c>
      <c r="AM15" s="1">
        <f t="shared" si="28"/>
        <v>42994</v>
      </c>
      <c r="AN15" s="1">
        <f t="shared" si="28"/>
        <v>43024</v>
      </c>
      <c r="AO15" s="1">
        <f t="shared" si="28"/>
        <v>43055</v>
      </c>
      <c r="AP15" s="128">
        <f t="shared" si="28"/>
        <v>43085</v>
      </c>
    </row>
    <row r="16" spans="1:42" x14ac:dyDescent="0.25">
      <c r="A16" s="17" t="s">
        <v>1</v>
      </c>
      <c r="B16" s="150">
        <f>INDEX('[5]2017 - 2022 Plan'!$Z$20:$AK$20,1,$A$1)</f>
        <v>180</v>
      </c>
      <c r="C16" s="11">
        <f>INDEX($AE16:$AP16,$A$1)</f>
        <v>168</v>
      </c>
      <c r="D16" s="11">
        <f>INDEX($S16:$AD16,$A$1)</f>
        <v>191</v>
      </c>
      <c r="E16" s="14">
        <f t="shared" ref="E16:E25" si="29">C16/D16-1</f>
        <v>-0.12041884816753923</v>
      </c>
      <c r="G16">
        <f>Data!B129</f>
        <v>170</v>
      </c>
      <c r="H16">
        <f>Data!C129</f>
        <v>170</v>
      </c>
      <c r="I16">
        <f>Data!D129</f>
        <v>174</v>
      </c>
      <c r="J16">
        <f>Data!E129</f>
        <v>175</v>
      </c>
      <c r="K16">
        <f>Data!F129</f>
        <v>176</v>
      </c>
      <c r="L16" s="4">
        <f>Data!G129</f>
        <v>176</v>
      </c>
      <c r="M16">
        <f>Data!H129</f>
        <v>176</v>
      </c>
      <c r="N16">
        <f>Data!I129</f>
        <v>177</v>
      </c>
      <c r="O16">
        <f>Data!J129</f>
        <v>178</v>
      </c>
      <c r="P16">
        <f>Data!K129</f>
        <v>184</v>
      </c>
      <c r="Q16">
        <f>Data!L129</f>
        <v>188</v>
      </c>
      <c r="R16" s="4">
        <f>Data!M129</f>
        <v>188</v>
      </c>
      <c r="S16">
        <f>Data!N129</f>
        <v>188</v>
      </c>
      <c r="T16">
        <f>Data!O129</f>
        <v>188</v>
      </c>
      <c r="U16">
        <f>Data!P129</f>
        <v>190</v>
      </c>
      <c r="V16">
        <f>Data!Q129</f>
        <v>191</v>
      </c>
      <c r="W16">
        <f>Data!R129</f>
        <v>191</v>
      </c>
      <c r="X16" s="127">
        <f>Data!S129</f>
        <v>191</v>
      </c>
      <c r="Y16" s="127">
        <f>Data!T129</f>
        <v>173</v>
      </c>
      <c r="Z16" s="127">
        <f>Data!U129</f>
        <v>161</v>
      </c>
      <c r="AA16" s="127">
        <f>Data!V129</f>
        <v>162</v>
      </c>
      <c r="AB16" s="127">
        <f>Data!W129</f>
        <v>162</v>
      </c>
      <c r="AC16" s="127">
        <f>Data!X129</f>
        <v>162</v>
      </c>
      <c r="AD16" s="127">
        <f>Data!Y129</f>
        <v>162</v>
      </c>
      <c r="AE16">
        <f>Data!AN129</f>
        <v>161</v>
      </c>
      <c r="AF16">
        <f>Data!AO129</f>
        <v>161</v>
      </c>
      <c r="AG16">
        <f>Data!AP129</f>
        <v>159</v>
      </c>
      <c r="AH16">
        <f>Data!AQ129</f>
        <v>163</v>
      </c>
      <c r="AI16">
        <f>Data!AR129</f>
        <v>163</v>
      </c>
      <c r="AJ16" s="200">
        <f>Data!AS129</f>
        <v>168</v>
      </c>
      <c r="AK16" s="217">
        <f>Data!AT129</f>
        <v>168</v>
      </c>
      <c r="AL16" s="200">
        <f>Data!AU129</f>
        <v>0</v>
      </c>
      <c r="AM16" s="200">
        <f>Data!AV129</f>
        <v>0</v>
      </c>
      <c r="AN16" s="200">
        <f>Data!AW129</f>
        <v>0</v>
      </c>
      <c r="AO16" s="200">
        <f>Data!AX129</f>
        <v>0</v>
      </c>
      <c r="AP16" s="200">
        <f>Data!AY129</f>
        <v>0</v>
      </c>
    </row>
    <row r="17" spans="1:42" x14ac:dyDescent="0.25">
      <c r="A17" s="17" t="s">
        <v>0</v>
      </c>
      <c r="B17" s="150">
        <f>INDEX('[5]2017 - 2022 Plan'!$Z$21:$AK$21,1,$A$1)</f>
        <v>210</v>
      </c>
      <c r="C17" s="11">
        <f>INDEX($AE17:$AP17,$A$1)</f>
        <v>208</v>
      </c>
      <c r="D17" s="11">
        <f>INDEX($S17:$AD17,$A$1)</f>
        <v>181</v>
      </c>
      <c r="E17" s="14">
        <f t="shared" si="29"/>
        <v>0.149171270718232</v>
      </c>
      <c r="G17">
        <f>Data!B75</f>
        <v>133</v>
      </c>
      <c r="H17">
        <f>Data!C75</f>
        <v>136</v>
      </c>
      <c r="I17">
        <f>Data!D75</f>
        <v>136</v>
      </c>
      <c r="J17">
        <f>Data!E75</f>
        <v>145</v>
      </c>
      <c r="K17">
        <f>Data!F75</f>
        <v>140</v>
      </c>
      <c r="L17" s="4">
        <f>Data!G75</f>
        <v>139</v>
      </c>
      <c r="M17">
        <f>Data!H75</f>
        <v>147</v>
      </c>
      <c r="N17">
        <f>Data!I75</f>
        <v>147</v>
      </c>
      <c r="O17">
        <f>Data!J75</f>
        <v>157</v>
      </c>
      <c r="P17">
        <f>Data!K75</f>
        <v>169</v>
      </c>
      <c r="Q17">
        <f>Data!L75</f>
        <v>167</v>
      </c>
      <c r="R17" s="4">
        <f>Data!M75</f>
        <v>170</v>
      </c>
      <c r="S17">
        <f>Data!N75</f>
        <v>171</v>
      </c>
      <c r="T17">
        <f>Data!O75</f>
        <v>167</v>
      </c>
      <c r="U17">
        <f>Data!P75</f>
        <v>168</v>
      </c>
      <c r="V17">
        <f>Data!Q75</f>
        <v>183</v>
      </c>
      <c r="W17">
        <f>Data!R75</f>
        <v>180</v>
      </c>
      <c r="X17" s="127">
        <f>Data!S75</f>
        <v>181</v>
      </c>
      <c r="Y17" s="127">
        <f>Data!T75</f>
        <v>183</v>
      </c>
      <c r="Z17" s="127">
        <f>Data!U75</f>
        <v>182</v>
      </c>
      <c r="AA17" s="127">
        <f>Data!V75</f>
        <v>166</v>
      </c>
      <c r="AB17" s="127">
        <f>Data!W75</f>
        <v>205</v>
      </c>
      <c r="AC17" s="127">
        <f>Data!X75</f>
        <v>185</v>
      </c>
      <c r="AD17" s="127">
        <f>Data!Y75</f>
        <v>183</v>
      </c>
      <c r="AE17">
        <f>Data!AN75</f>
        <v>177</v>
      </c>
      <c r="AF17">
        <f>Data!AO75</f>
        <v>171</v>
      </c>
      <c r="AG17">
        <f>Data!AP75</f>
        <v>181</v>
      </c>
      <c r="AH17">
        <f>Data!AQ75</f>
        <v>176</v>
      </c>
      <c r="AI17">
        <f>Data!AR75</f>
        <v>191</v>
      </c>
      <c r="AJ17" s="200">
        <f>Data!AS75</f>
        <v>208</v>
      </c>
      <c r="AK17" s="217">
        <f>Data!AT75</f>
        <v>193</v>
      </c>
      <c r="AL17" s="200">
        <f>Data!AU75</f>
        <v>0</v>
      </c>
      <c r="AM17" s="200">
        <f>Data!AV75</f>
        <v>0</v>
      </c>
      <c r="AN17" s="200">
        <f>Data!AW75</f>
        <v>0</v>
      </c>
      <c r="AO17" s="200">
        <f>Data!AX75</f>
        <v>0</v>
      </c>
      <c r="AP17" s="200">
        <f>Data!AY75</f>
        <v>0</v>
      </c>
    </row>
    <row r="18" spans="1:42" x14ac:dyDescent="0.25">
      <c r="A18" s="17" t="s">
        <v>2</v>
      </c>
      <c r="B18" s="137" t="e">
        <f ca="1">SUM('[5]2017 - 2022 Plan'!$Z$23:OFFSET('[5]2017 - 2022 Plan'!$Z$23, ,$A$1-1))</f>
        <v>#VALUE!</v>
      </c>
      <c r="C18" s="11">
        <f>SUM($AE18:INDEX($AE18:$AP18,$A$1))</f>
        <v>900</v>
      </c>
      <c r="D18" s="11">
        <f>SUM($S18:INDEX($S18:$AD18,$A$1))</f>
        <v>846</v>
      </c>
      <c r="E18" s="14">
        <f t="shared" si="29"/>
        <v>6.3829787234042534E-2</v>
      </c>
      <c r="G18">
        <f>Data!B84</f>
        <v>84</v>
      </c>
      <c r="H18">
        <f>Data!C84</f>
        <v>59</v>
      </c>
      <c r="I18">
        <f>Data!D84</f>
        <v>87</v>
      </c>
      <c r="J18">
        <f>Data!E84</f>
        <v>91</v>
      </c>
      <c r="K18">
        <f>Data!F84</f>
        <v>103</v>
      </c>
      <c r="L18" s="4">
        <f>Data!G84</f>
        <v>98</v>
      </c>
      <c r="M18">
        <f>Data!H84</f>
        <v>105</v>
      </c>
      <c r="N18">
        <f>Data!I84</f>
        <v>111</v>
      </c>
      <c r="O18">
        <f>Data!J84</f>
        <v>117</v>
      </c>
      <c r="P18">
        <f>Data!K84</f>
        <v>136</v>
      </c>
      <c r="Q18">
        <f>Data!L84</f>
        <v>141</v>
      </c>
      <c r="R18" s="4">
        <f>Data!M84</f>
        <v>142</v>
      </c>
      <c r="S18">
        <f>Data!N84</f>
        <v>132</v>
      </c>
      <c r="T18">
        <f>Data!O84</f>
        <v>129</v>
      </c>
      <c r="U18">
        <f>Data!P84</f>
        <v>143</v>
      </c>
      <c r="V18">
        <f>Data!Q84</f>
        <v>150</v>
      </c>
      <c r="W18">
        <f>Data!R84</f>
        <v>146</v>
      </c>
      <c r="X18" s="127">
        <f>Data!S84</f>
        <v>146</v>
      </c>
      <c r="Y18" s="127">
        <f>Data!T84</f>
        <v>145</v>
      </c>
      <c r="Z18" s="127">
        <f>Data!U84</f>
        <v>156</v>
      </c>
      <c r="AA18" s="127">
        <f>Data!V84</f>
        <v>148</v>
      </c>
      <c r="AB18" s="127">
        <f>Data!W84</f>
        <v>158</v>
      </c>
      <c r="AC18" s="127">
        <f>Data!X84</f>
        <v>149</v>
      </c>
      <c r="AD18" s="127">
        <f>Data!Y84</f>
        <v>171</v>
      </c>
      <c r="AE18">
        <f>Data!AN84</f>
        <v>147</v>
      </c>
      <c r="AF18">
        <f>Data!AO84</f>
        <v>145</v>
      </c>
      <c r="AG18">
        <f>Data!AP84</f>
        <v>146</v>
      </c>
      <c r="AH18">
        <f>Data!AQ84</f>
        <v>158</v>
      </c>
      <c r="AI18">
        <f>Data!AR84</f>
        <v>154</v>
      </c>
      <c r="AJ18" s="200">
        <f>Data!AS84</f>
        <v>150</v>
      </c>
      <c r="AK18" s="217">
        <f>Data!AT84</f>
        <v>151</v>
      </c>
      <c r="AL18" s="200">
        <f>Data!AU84</f>
        <v>0</v>
      </c>
      <c r="AM18" s="200">
        <f>Data!AV84</f>
        <v>0</v>
      </c>
      <c r="AN18" s="200">
        <f>Data!AW84</f>
        <v>0</v>
      </c>
      <c r="AO18" s="200">
        <f>Data!AX84</f>
        <v>0</v>
      </c>
      <c r="AP18" s="200">
        <f>Data!AY84</f>
        <v>0</v>
      </c>
    </row>
    <row r="19" spans="1:42" x14ac:dyDescent="0.25">
      <c r="A19" s="17" t="s">
        <v>3</v>
      </c>
      <c r="B19" s="151" t="e">
        <f ca="1">B18/SUM('[5]2017 - 2022 Plan'!Z21:OFFSET('[5]2017 - 2022 Plan'!Z21, ,$A$1-1))</f>
        <v>#VALUE!</v>
      </c>
      <c r="C19" s="14">
        <f>C18/SUM($AE17:INDEX($AE17:$AP17,$A$1))</f>
        <v>0.81521739130434778</v>
      </c>
      <c r="D19" s="14">
        <f>D18/SUM($S17:INDEX($S17:$AD17,$A$1))</f>
        <v>0.80571428571428572</v>
      </c>
      <c r="E19" s="14">
        <f t="shared" si="29"/>
        <v>1.1794634597594778E-2</v>
      </c>
      <c r="G19" s="23">
        <f t="shared" ref="G19:Y19" si="30">G18/G17</f>
        <v>0.63157894736842102</v>
      </c>
      <c r="H19" s="23">
        <f t="shared" si="30"/>
        <v>0.43382352941176472</v>
      </c>
      <c r="I19" s="23">
        <f t="shared" si="30"/>
        <v>0.63970588235294112</v>
      </c>
      <c r="J19" s="23">
        <f t="shared" si="30"/>
        <v>0.62758620689655176</v>
      </c>
      <c r="K19" s="23">
        <f t="shared" si="30"/>
        <v>0.73571428571428577</v>
      </c>
      <c r="L19" s="41">
        <f t="shared" si="30"/>
        <v>0.70503597122302153</v>
      </c>
      <c r="M19" s="23">
        <f t="shared" si="30"/>
        <v>0.7142857142857143</v>
      </c>
      <c r="N19" s="23">
        <f t="shared" si="30"/>
        <v>0.75510204081632648</v>
      </c>
      <c r="O19" s="23">
        <f t="shared" si="30"/>
        <v>0.74522292993630568</v>
      </c>
      <c r="P19" s="23">
        <f t="shared" si="30"/>
        <v>0.80473372781065089</v>
      </c>
      <c r="Q19" s="23">
        <f t="shared" si="30"/>
        <v>0.84431137724550898</v>
      </c>
      <c r="R19" s="41">
        <f t="shared" si="30"/>
        <v>0.83529411764705885</v>
      </c>
      <c r="S19" s="23">
        <f t="shared" si="30"/>
        <v>0.77192982456140347</v>
      </c>
      <c r="T19" s="23">
        <f t="shared" si="30"/>
        <v>0.77245508982035926</v>
      </c>
      <c r="U19" s="23">
        <f t="shared" si="30"/>
        <v>0.85119047619047616</v>
      </c>
      <c r="V19" s="23">
        <f t="shared" si="30"/>
        <v>0.81967213114754101</v>
      </c>
      <c r="W19" s="23">
        <f t="shared" si="30"/>
        <v>0.81111111111111112</v>
      </c>
      <c r="X19" s="129">
        <f t="shared" si="30"/>
        <v>0.8066298342541437</v>
      </c>
      <c r="Y19" s="129">
        <f t="shared" si="30"/>
        <v>0.79234972677595628</v>
      </c>
      <c r="Z19" s="129">
        <f>Z18/Z17</f>
        <v>0.8571428571428571</v>
      </c>
      <c r="AA19" s="129">
        <f>AA18/AA17</f>
        <v>0.89156626506024095</v>
      </c>
      <c r="AB19" s="129">
        <f>AB18/AB17</f>
        <v>0.77073170731707319</v>
      </c>
      <c r="AC19" s="129">
        <f>AC18/AC17</f>
        <v>0.80540540540540539</v>
      </c>
      <c r="AD19" s="129">
        <f>AD18/AD17</f>
        <v>0.93442622950819676</v>
      </c>
      <c r="AE19" s="23">
        <f t="shared" ref="AE19" si="31">AE18/AE17</f>
        <v>0.83050847457627119</v>
      </c>
      <c r="AF19" s="23">
        <f t="shared" ref="AF19:AP19" si="32">AF18/AF17</f>
        <v>0.84795321637426901</v>
      </c>
      <c r="AG19" s="23">
        <f t="shared" si="32"/>
        <v>0.8066298342541437</v>
      </c>
      <c r="AH19" s="23">
        <f t="shared" si="32"/>
        <v>0.89772727272727271</v>
      </c>
      <c r="AI19" s="23">
        <f t="shared" ref="AI19" si="33">AI18/AI17</f>
        <v>0.80628272251308897</v>
      </c>
      <c r="AJ19" s="202">
        <f t="shared" si="32"/>
        <v>0.72115384615384615</v>
      </c>
      <c r="AK19" s="218">
        <f t="shared" si="32"/>
        <v>0.78238341968911918</v>
      </c>
      <c r="AL19" s="202" t="e">
        <f t="shared" si="32"/>
        <v>#DIV/0!</v>
      </c>
      <c r="AM19" s="202" t="e">
        <f t="shared" si="32"/>
        <v>#DIV/0!</v>
      </c>
      <c r="AN19" s="202" t="e">
        <f t="shared" si="32"/>
        <v>#DIV/0!</v>
      </c>
      <c r="AO19" s="202" t="e">
        <f t="shared" si="32"/>
        <v>#DIV/0!</v>
      </c>
      <c r="AP19" s="202" t="e">
        <f t="shared" si="32"/>
        <v>#DIV/0!</v>
      </c>
    </row>
    <row r="20" spans="1:42" x14ac:dyDescent="0.25">
      <c r="A20" s="17" t="s">
        <v>4</v>
      </c>
      <c r="B20" s="137" t="e">
        <f>SUM('[5]2017 - 2022 Plan'!Z26:INDEX('[5]2017 - 2022 Plan'!Z26:AK26,,$A$1))</f>
        <v>#REF!</v>
      </c>
      <c r="C20" s="11">
        <f>SUM($AE20:INDEX($AE20:$AP20,$A$1))</f>
        <v>5257</v>
      </c>
      <c r="D20" s="11">
        <f>SUM($S20:INDEX($S20:$AD20,$A$1))</f>
        <v>4219</v>
      </c>
      <c r="E20" s="14">
        <f t="shared" si="29"/>
        <v>0.24602986489689505</v>
      </c>
      <c r="G20">
        <f>Data!B48</f>
        <v>224</v>
      </c>
      <c r="H20">
        <f>Data!C48</f>
        <v>131</v>
      </c>
      <c r="I20">
        <f>Data!D48</f>
        <v>413</v>
      </c>
      <c r="J20">
        <f>Data!E48</f>
        <v>388</v>
      </c>
      <c r="K20">
        <f>Data!F48</f>
        <v>356</v>
      </c>
      <c r="L20" s="4">
        <f>Data!G48</f>
        <v>485</v>
      </c>
      <c r="M20">
        <f>Data!H48</f>
        <v>480</v>
      </c>
      <c r="N20">
        <f>Data!I48</f>
        <v>397</v>
      </c>
      <c r="O20">
        <f>Data!J48</f>
        <v>491</v>
      </c>
      <c r="P20">
        <f>Data!K48</f>
        <v>701</v>
      </c>
      <c r="Q20">
        <f>Data!L48</f>
        <v>940</v>
      </c>
      <c r="R20" s="4">
        <f>Data!M48</f>
        <v>964</v>
      </c>
      <c r="S20">
        <f>Data!N48</f>
        <v>359</v>
      </c>
      <c r="T20">
        <f>Data!O48</f>
        <v>528</v>
      </c>
      <c r="U20">
        <f>Data!P48</f>
        <v>853</v>
      </c>
      <c r="V20">
        <f>Data!Q48</f>
        <v>704</v>
      </c>
      <c r="W20">
        <f>Data!R48</f>
        <v>873</v>
      </c>
      <c r="X20" s="127">
        <f>Data!S48</f>
        <v>902</v>
      </c>
      <c r="Y20" s="127">
        <f>Data!T48</f>
        <v>744</v>
      </c>
      <c r="Z20" s="127">
        <f>Data!U48</f>
        <v>906</v>
      </c>
      <c r="AA20" s="127">
        <f>Data!V48</f>
        <v>903</v>
      </c>
      <c r="AB20" s="127">
        <f>Data!W48</f>
        <v>959</v>
      </c>
      <c r="AC20" s="127">
        <f>Data!X48</f>
        <v>693</v>
      </c>
      <c r="AD20" s="127">
        <f>Data!Y48</f>
        <v>1256</v>
      </c>
      <c r="AE20">
        <f>Data!AN48</f>
        <v>521</v>
      </c>
      <c r="AF20">
        <f>Data!AO48</f>
        <v>1097</v>
      </c>
      <c r="AG20">
        <f>Data!AP48</f>
        <v>1212</v>
      </c>
      <c r="AH20">
        <f>Data!AQ48</f>
        <v>954</v>
      </c>
      <c r="AI20">
        <f>Data!AR48</f>
        <v>777</v>
      </c>
      <c r="AJ20" s="200">
        <f>Data!AS48</f>
        <v>696</v>
      </c>
      <c r="AK20" s="217">
        <f>Data!AT48</f>
        <v>773</v>
      </c>
      <c r="AL20" s="200">
        <f>Data!AU48</f>
        <v>0</v>
      </c>
      <c r="AM20" s="200">
        <f>Data!AV48</f>
        <v>0</v>
      </c>
      <c r="AN20" s="200">
        <f>Data!AW48</f>
        <v>0</v>
      </c>
      <c r="AO20" s="200">
        <f>Data!AX48</f>
        <v>0</v>
      </c>
      <c r="AP20" s="200">
        <f>Data!AY48</f>
        <v>0</v>
      </c>
    </row>
    <row r="21" spans="1:42" x14ac:dyDescent="0.25">
      <c r="A21" s="17" t="s">
        <v>5</v>
      </c>
      <c r="B21" s="144" t="e">
        <f ca="1">B20/B18</f>
        <v>#REF!</v>
      </c>
      <c r="C21" s="38">
        <f>C20/C18</f>
        <v>5.8411111111111111</v>
      </c>
      <c r="D21" s="38">
        <f>D20/D18</f>
        <v>4.9869976359338057</v>
      </c>
      <c r="E21" s="14">
        <f t="shared" si="29"/>
        <v>0.17126807300308133</v>
      </c>
      <c r="G21" s="38">
        <f t="shared" ref="G21:Y21" si="34">G20/G18</f>
        <v>2.6666666666666665</v>
      </c>
      <c r="H21" s="38">
        <f t="shared" si="34"/>
        <v>2.2203389830508473</v>
      </c>
      <c r="I21" s="38">
        <f t="shared" si="34"/>
        <v>4.7471264367816088</v>
      </c>
      <c r="J21" s="38">
        <f t="shared" si="34"/>
        <v>4.2637362637362637</v>
      </c>
      <c r="K21" s="38">
        <f t="shared" si="34"/>
        <v>3.4563106796116503</v>
      </c>
      <c r="L21" s="42">
        <f t="shared" si="34"/>
        <v>4.9489795918367347</v>
      </c>
      <c r="M21" s="38">
        <f t="shared" si="34"/>
        <v>4.5714285714285712</v>
      </c>
      <c r="N21" s="38">
        <f t="shared" si="34"/>
        <v>3.5765765765765765</v>
      </c>
      <c r="O21" s="38">
        <f t="shared" si="34"/>
        <v>4.1965811965811968</v>
      </c>
      <c r="P21" s="38">
        <f t="shared" si="34"/>
        <v>5.1544117647058822</v>
      </c>
      <c r="Q21" s="38">
        <f t="shared" si="34"/>
        <v>6.666666666666667</v>
      </c>
      <c r="R21" s="42">
        <f t="shared" si="34"/>
        <v>6.788732394366197</v>
      </c>
      <c r="S21" s="38">
        <f t="shared" si="34"/>
        <v>2.7196969696969697</v>
      </c>
      <c r="T21" s="38">
        <f t="shared" si="34"/>
        <v>4.0930232558139537</v>
      </c>
      <c r="U21" s="38">
        <f t="shared" si="34"/>
        <v>5.965034965034965</v>
      </c>
      <c r="V21" s="38">
        <f t="shared" si="34"/>
        <v>4.6933333333333334</v>
      </c>
      <c r="W21" s="38">
        <f t="shared" si="34"/>
        <v>5.9794520547945202</v>
      </c>
      <c r="X21" s="130">
        <f t="shared" si="34"/>
        <v>6.1780821917808222</v>
      </c>
      <c r="Y21" s="130">
        <f t="shared" si="34"/>
        <v>5.1310344827586203</v>
      </c>
      <c r="Z21" s="130">
        <f>Z20/Z18</f>
        <v>5.8076923076923075</v>
      </c>
      <c r="AA21" s="130">
        <f>AA20/AA18</f>
        <v>6.1013513513513518</v>
      </c>
      <c r="AB21" s="130">
        <f>AB20/AB18</f>
        <v>6.0696202531645573</v>
      </c>
      <c r="AC21" s="130">
        <f>AC20/AC18</f>
        <v>4.651006711409396</v>
      </c>
      <c r="AD21" s="130">
        <f>AD20/AD18</f>
        <v>7.3450292397660819</v>
      </c>
      <c r="AE21" s="38">
        <f t="shared" ref="AE21" si="35">AE20/AE18</f>
        <v>3.5442176870748301</v>
      </c>
      <c r="AF21" s="38">
        <f t="shared" ref="AF21:AP21" si="36">AF20/AF18</f>
        <v>7.5655172413793101</v>
      </c>
      <c r="AG21" s="38">
        <f t="shared" si="36"/>
        <v>8.3013698630136989</v>
      </c>
      <c r="AH21" s="38">
        <f t="shared" si="36"/>
        <v>6.037974683544304</v>
      </c>
      <c r="AI21" s="38">
        <f t="shared" ref="AI21" si="37">AI20/AI18</f>
        <v>5.0454545454545459</v>
      </c>
      <c r="AJ21" s="204">
        <f t="shared" si="36"/>
        <v>4.6399999999999997</v>
      </c>
      <c r="AK21" s="219">
        <f t="shared" si="36"/>
        <v>5.1192052980132452</v>
      </c>
      <c r="AL21" s="204" t="e">
        <f t="shared" si="36"/>
        <v>#DIV/0!</v>
      </c>
      <c r="AM21" s="204" t="e">
        <f t="shared" si="36"/>
        <v>#DIV/0!</v>
      </c>
      <c r="AN21" s="204" t="e">
        <f t="shared" si="36"/>
        <v>#DIV/0!</v>
      </c>
      <c r="AO21" s="204" t="e">
        <f t="shared" si="36"/>
        <v>#DIV/0!</v>
      </c>
      <c r="AP21" s="204" t="e">
        <f t="shared" si="36"/>
        <v>#DIV/0!</v>
      </c>
    </row>
    <row r="22" spans="1:42" x14ac:dyDescent="0.25">
      <c r="A22" s="17" t="s">
        <v>6</v>
      </c>
      <c r="B22" s="137">
        <f>SUM(Data!AN6:INDEX(Data!AN6:AY6,,$A$1))</f>
        <v>91323.248800000001</v>
      </c>
      <c r="C22" s="11">
        <f>SUM($AE22:INDEX($AE22:$AP22,$A$1))</f>
        <v>97120.123000000007</v>
      </c>
      <c r="D22" s="11">
        <f>SUM($S22:INDEX($S22:$AD22,$A$1))</f>
        <v>71793.736000000004</v>
      </c>
      <c r="E22" s="14">
        <f t="shared" si="29"/>
        <v>0.3527659711148059</v>
      </c>
      <c r="G22" s="3">
        <f>Data!B19</f>
        <v>3667.1289999999999</v>
      </c>
      <c r="H22" s="3">
        <f>Data!C19</f>
        <v>2294.451</v>
      </c>
      <c r="I22" s="3">
        <f>Data!D19</f>
        <v>7358.8670000000002</v>
      </c>
      <c r="J22" s="3">
        <f>Data!E19</f>
        <v>6516.1009999999997</v>
      </c>
      <c r="K22" s="3">
        <f>Data!F19</f>
        <v>6568.7520000000004</v>
      </c>
      <c r="L22" s="43">
        <f>Data!G19</f>
        <v>8581.5100000000093</v>
      </c>
      <c r="M22" s="3">
        <f>Data!H19</f>
        <v>8268.277</v>
      </c>
      <c r="N22" s="3">
        <f>Data!I19</f>
        <v>6449.6949999999997</v>
      </c>
      <c r="O22" s="3">
        <f>Data!J19</f>
        <v>8693.0870000000104</v>
      </c>
      <c r="P22" s="3">
        <f>Data!K19</f>
        <v>12623.291999999999</v>
      </c>
      <c r="Q22" s="3">
        <f>Data!L19</f>
        <v>16668.133000000002</v>
      </c>
      <c r="R22" s="43">
        <f>Data!M19</f>
        <v>16916.330999999998</v>
      </c>
      <c r="S22" s="3">
        <f>Data!N19</f>
        <v>5683.9350000000004</v>
      </c>
      <c r="T22" s="3">
        <f>Data!O19</f>
        <v>8966.5000000000091</v>
      </c>
      <c r="U22" s="3">
        <f>Data!P19</f>
        <v>14179.177</v>
      </c>
      <c r="V22" s="3">
        <f>Data!Q19</f>
        <v>11771.885</v>
      </c>
      <c r="W22" s="3">
        <f>Data!R19</f>
        <v>15183.444</v>
      </c>
      <c r="X22" s="133">
        <f>Data!S19</f>
        <v>16008.795</v>
      </c>
      <c r="Y22" s="133">
        <f>Data!T19</f>
        <v>12956.3</v>
      </c>
      <c r="Z22" s="133">
        <f>Data!U19</f>
        <v>16443.667000000001</v>
      </c>
      <c r="AA22" s="133">
        <f>Data!V19</f>
        <v>17583.61599999998</v>
      </c>
      <c r="AB22" s="133">
        <f>Data!W19</f>
        <v>16589.584999999999</v>
      </c>
      <c r="AC22" s="133">
        <f>Data!X19</f>
        <v>12806.273000000001</v>
      </c>
      <c r="AD22" s="133">
        <f>Data!Y19</f>
        <v>24589.598000000002</v>
      </c>
      <c r="AE22" s="3">
        <f>Data!AN19</f>
        <v>9512.1810000000005</v>
      </c>
      <c r="AF22" s="3">
        <f>Data!AO19</f>
        <v>18574.081999999999</v>
      </c>
      <c r="AG22" s="3">
        <f>Data!AP19</f>
        <v>22745.040000000008</v>
      </c>
      <c r="AH22" s="3">
        <f>Data!AQ19</f>
        <v>17763.730000000003</v>
      </c>
      <c r="AI22" s="3">
        <f>Data!AR19</f>
        <v>14982.839999999998</v>
      </c>
      <c r="AJ22" s="205">
        <f>Data!AS19</f>
        <v>13542.25</v>
      </c>
      <c r="AK22" s="220">
        <f>Data!AT19</f>
        <v>15373.438</v>
      </c>
      <c r="AL22" s="205">
        <f>Data!AU19</f>
        <v>0</v>
      </c>
      <c r="AM22" s="205">
        <f>Data!AV19</f>
        <v>0</v>
      </c>
      <c r="AN22" s="205">
        <f>Data!AW19</f>
        <v>0</v>
      </c>
      <c r="AO22" s="205">
        <f>Data!AX19</f>
        <v>0</v>
      </c>
      <c r="AP22" s="205">
        <f>Data!AY19</f>
        <v>0</v>
      </c>
    </row>
    <row r="23" spans="1:42" x14ac:dyDescent="0.25">
      <c r="A23" s="17" t="s">
        <v>7</v>
      </c>
      <c r="B23" s="144" t="e">
        <f>B22/B20</f>
        <v>#REF!</v>
      </c>
      <c r="C23" s="38">
        <f>C22/C20</f>
        <v>18.474438463001714</v>
      </c>
      <c r="D23" s="38">
        <f>D22/D20</f>
        <v>17.016766058307656</v>
      </c>
      <c r="E23" s="14">
        <f t="shared" si="29"/>
        <v>8.5660953420842123E-2</v>
      </c>
      <c r="G23" s="6">
        <f t="shared" ref="G23:Y23" si="38">G22/G20</f>
        <v>16.371111607142858</v>
      </c>
      <c r="H23" s="6">
        <f t="shared" si="38"/>
        <v>17.514893129770993</v>
      </c>
      <c r="I23" s="6">
        <f t="shared" si="38"/>
        <v>17.818079903147702</v>
      </c>
      <c r="J23" s="6">
        <f t="shared" si="38"/>
        <v>16.794074742268041</v>
      </c>
      <c r="K23" s="6">
        <f t="shared" si="38"/>
        <v>18.451550561797752</v>
      </c>
      <c r="L23" s="44">
        <f t="shared" si="38"/>
        <v>17.693835051546412</v>
      </c>
      <c r="M23" s="6">
        <f t="shared" si="38"/>
        <v>17.225577083333334</v>
      </c>
      <c r="N23" s="6">
        <f t="shared" si="38"/>
        <v>16.246083123425691</v>
      </c>
      <c r="O23" s="6">
        <f t="shared" si="38"/>
        <v>17.704861507128332</v>
      </c>
      <c r="P23" s="6">
        <f t="shared" si="38"/>
        <v>18.007549215406563</v>
      </c>
      <c r="Q23" s="6">
        <f t="shared" si="38"/>
        <v>17.732056382978726</v>
      </c>
      <c r="R23" s="44">
        <f t="shared" si="38"/>
        <v>17.548061203319499</v>
      </c>
      <c r="S23" s="6">
        <f t="shared" si="38"/>
        <v>15.832688022284124</v>
      </c>
      <c r="T23" s="6">
        <f t="shared" si="38"/>
        <v>16.982007575757592</v>
      </c>
      <c r="U23" s="6">
        <f t="shared" si="38"/>
        <v>16.6227162954279</v>
      </c>
      <c r="V23" s="6">
        <f t="shared" si="38"/>
        <v>16.721427556818181</v>
      </c>
      <c r="W23" s="6">
        <f t="shared" si="38"/>
        <v>17.392261168384881</v>
      </c>
      <c r="X23" s="132">
        <f t="shared" si="38"/>
        <v>17.748109756097563</v>
      </c>
      <c r="Y23" s="132">
        <f t="shared" si="38"/>
        <v>17.414381720430107</v>
      </c>
      <c r="Z23" s="132">
        <f>Z22/Z20</f>
        <v>18.149742825607067</v>
      </c>
      <c r="AA23" s="132">
        <f>AA22/AA20</f>
        <v>19.472442967884806</v>
      </c>
      <c r="AB23" s="132">
        <f>AB22/AB20</f>
        <v>17.298837330552658</v>
      </c>
      <c r="AC23" s="132">
        <f>AC22/AC20</f>
        <v>18.47947041847042</v>
      </c>
      <c r="AD23" s="132">
        <f>AD22/AD20</f>
        <v>19.57770541401274</v>
      </c>
      <c r="AE23" s="6">
        <f t="shared" ref="AE23" si="39">AE22/AE20</f>
        <v>18.257545105566219</v>
      </c>
      <c r="AF23" s="6">
        <f t="shared" ref="AF23:AP23" si="40">AF22/AF20</f>
        <v>16.9317064721969</v>
      </c>
      <c r="AG23" s="6">
        <f t="shared" si="40"/>
        <v>18.766534653465353</v>
      </c>
      <c r="AH23" s="6">
        <f t="shared" si="40"/>
        <v>18.620262054507339</v>
      </c>
      <c r="AI23" s="6">
        <f t="shared" ref="AI23" si="41">AI22/AI20</f>
        <v>19.282934362934359</v>
      </c>
      <c r="AJ23" s="207">
        <f t="shared" si="40"/>
        <v>19.457255747126435</v>
      </c>
      <c r="AK23" s="221">
        <f t="shared" si="40"/>
        <v>19.888018111254851</v>
      </c>
      <c r="AL23" s="207" t="e">
        <f t="shared" si="40"/>
        <v>#DIV/0!</v>
      </c>
      <c r="AM23" s="207" t="e">
        <f t="shared" si="40"/>
        <v>#DIV/0!</v>
      </c>
      <c r="AN23" s="207" t="e">
        <f t="shared" si="40"/>
        <v>#DIV/0!</v>
      </c>
      <c r="AO23" s="207" t="e">
        <f t="shared" si="40"/>
        <v>#DIV/0!</v>
      </c>
      <c r="AP23" s="207" t="e">
        <f t="shared" si="40"/>
        <v>#DIV/0!</v>
      </c>
    </row>
    <row r="24" spans="1:42" x14ac:dyDescent="0.25">
      <c r="A24" s="17" t="s">
        <v>8</v>
      </c>
      <c r="B24" s="145">
        <f>B22/B17</f>
        <v>434.87261333333333</v>
      </c>
      <c r="C24" s="38">
        <f>C22/SUM($AE17:INDEX($AE17:$AP17,$A$1))</f>
        <v>87.971125905797109</v>
      </c>
      <c r="D24" s="38">
        <f>D22/SUM($S17:INDEX($S17:$AD17,$A$1))</f>
        <v>68.374986666666672</v>
      </c>
      <c r="E24" s="14">
        <f t="shared" si="29"/>
        <v>0.28659807035375562</v>
      </c>
      <c r="G24" s="6">
        <f>G22/G17</f>
        <v>27.572398496240602</v>
      </c>
      <c r="H24" s="6">
        <f t="shared" ref="H24:AD24" si="42">H22/H17</f>
        <v>16.870963235294116</v>
      </c>
      <c r="I24" s="6">
        <f t="shared" si="42"/>
        <v>54.109316176470593</v>
      </c>
      <c r="J24" s="6">
        <f t="shared" si="42"/>
        <v>44.938627586206891</v>
      </c>
      <c r="K24" s="6">
        <f t="shared" si="42"/>
        <v>46.919657142857147</v>
      </c>
      <c r="L24" s="44">
        <f t="shared" si="42"/>
        <v>61.737482014388554</v>
      </c>
      <c r="M24" s="6">
        <f t="shared" si="42"/>
        <v>56.24678231292517</v>
      </c>
      <c r="N24" s="6">
        <f t="shared" si="42"/>
        <v>43.875476190476185</v>
      </c>
      <c r="O24" s="6">
        <f t="shared" si="42"/>
        <v>55.369980891719813</v>
      </c>
      <c r="P24" s="6">
        <f t="shared" si="42"/>
        <v>74.69403550295857</v>
      </c>
      <c r="Q24" s="6">
        <f t="shared" si="42"/>
        <v>99.809179640718568</v>
      </c>
      <c r="R24" s="44">
        <f t="shared" si="42"/>
        <v>99.507829411764689</v>
      </c>
      <c r="S24" s="6">
        <f t="shared" si="42"/>
        <v>33.23938596491228</v>
      </c>
      <c r="T24" s="6">
        <f t="shared" si="42"/>
        <v>53.691616766467121</v>
      </c>
      <c r="U24" s="6">
        <f t="shared" si="42"/>
        <v>84.399863095238089</v>
      </c>
      <c r="V24" s="6">
        <f t="shared" si="42"/>
        <v>64.327240437158466</v>
      </c>
      <c r="W24" s="6">
        <f t="shared" si="42"/>
        <v>84.352466666666658</v>
      </c>
      <c r="X24" s="132">
        <f t="shared" si="42"/>
        <v>88.446381215469614</v>
      </c>
      <c r="Y24" s="132">
        <f t="shared" si="42"/>
        <v>70.799453551912563</v>
      </c>
      <c r="Z24" s="132">
        <f t="shared" si="42"/>
        <v>90.349818681318695</v>
      </c>
      <c r="AA24" s="132">
        <f t="shared" si="42"/>
        <v>105.92539759036133</v>
      </c>
      <c r="AB24" s="132">
        <f t="shared" si="42"/>
        <v>80.924804878048775</v>
      </c>
      <c r="AC24" s="132">
        <f t="shared" si="42"/>
        <v>69.223097297297301</v>
      </c>
      <c r="AD24" s="132">
        <f t="shared" si="42"/>
        <v>134.3693879781421</v>
      </c>
      <c r="AE24" s="6">
        <f t="shared" ref="AE24" si="43">AE22/AE17</f>
        <v>53.741135593220342</v>
      </c>
      <c r="AF24" s="6">
        <f t="shared" ref="AF24:AP24" si="44">AF22/AF17</f>
        <v>108.62036257309941</v>
      </c>
      <c r="AG24" s="6">
        <f t="shared" si="44"/>
        <v>125.66320441988955</v>
      </c>
      <c r="AH24" s="6">
        <f t="shared" si="44"/>
        <v>100.93028409090911</v>
      </c>
      <c r="AI24" s="6">
        <f t="shared" ref="AI24" si="45">AI22/AI17</f>
        <v>78.444188481675383</v>
      </c>
      <c r="AJ24" s="207">
        <f t="shared" si="44"/>
        <v>65.10697115384616</v>
      </c>
      <c r="AK24" s="221">
        <f t="shared" si="44"/>
        <v>79.655119170984463</v>
      </c>
      <c r="AL24" s="207" t="e">
        <f t="shared" si="44"/>
        <v>#DIV/0!</v>
      </c>
      <c r="AM24" s="207" t="e">
        <f t="shared" si="44"/>
        <v>#DIV/0!</v>
      </c>
      <c r="AN24" s="207" t="e">
        <f t="shared" si="44"/>
        <v>#DIV/0!</v>
      </c>
      <c r="AO24" s="207" t="e">
        <f t="shared" si="44"/>
        <v>#DIV/0!</v>
      </c>
      <c r="AP24" s="207" t="e">
        <f t="shared" si="44"/>
        <v>#DIV/0!</v>
      </c>
    </row>
    <row r="25" spans="1:42" x14ac:dyDescent="0.25">
      <c r="A25" s="17" t="s">
        <v>9</v>
      </c>
      <c r="B25" s="145" t="e">
        <f ca="1">B22/B18</f>
        <v>#VALUE!</v>
      </c>
      <c r="C25" s="38">
        <f>C22/C18</f>
        <v>107.91124777777779</v>
      </c>
      <c r="D25" s="38">
        <f>D22/D18</f>
        <v>84.862572104018923</v>
      </c>
      <c r="E25" s="14">
        <f t="shared" si="29"/>
        <v>0.27160001284791746</v>
      </c>
      <c r="G25" s="6">
        <f>G22/G18</f>
        <v>43.656297619047621</v>
      </c>
      <c r="H25" s="6">
        <f t="shared" ref="H25:AD25" si="46">H22/H18</f>
        <v>38.889000000000003</v>
      </c>
      <c r="I25" s="6">
        <f t="shared" si="46"/>
        <v>84.584678160919538</v>
      </c>
      <c r="J25" s="6">
        <f t="shared" si="46"/>
        <v>71.605505494505493</v>
      </c>
      <c r="K25" s="6">
        <f t="shared" si="46"/>
        <v>63.774291262135925</v>
      </c>
      <c r="L25" s="44">
        <f t="shared" si="46"/>
        <v>87.566428571428673</v>
      </c>
      <c r="M25" s="6">
        <f t="shared" si="46"/>
        <v>78.745495238095245</v>
      </c>
      <c r="N25" s="6">
        <f t="shared" si="46"/>
        <v>58.105360360360358</v>
      </c>
      <c r="O25" s="6">
        <f t="shared" si="46"/>
        <v>74.299888888888972</v>
      </c>
      <c r="P25" s="6">
        <f t="shared" si="46"/>
        <v>92.818323529411757</v>
      </c>
      <c r="Q25" s="6">
        <f t="shared" si="46"/>
        <v>118.21370921985817</v>
      </c>
      <c r="R25" s="44">
        <f t="shared" si="46"/>
        <v>119.12909154929577</v>
      </c>
      <c r="S25" s="6">
        <f t="shared" si="46"/>
        <v>43.060113636363639</v>
      </c>
      <c r="T25" s="6">
        <f t="shared" si="46"/>
        <v>69.507751937984565</v>
      </c>
      <c r="U25" s="6">
        <f t="shared" si="46"/>
        <v>99.15508391608391</v>
      </c>
      <c r="V25" s="6">
        <f t="shared" si="46"/>
        <v>78.47923333333334</v>
      </c>
      <c r="W25" s="6">
        <f t="shared" si="46"/>
        <v>103.99619178082192</v>
      </c>
      <c r="X25" s="132">
        <f t="shared" si="46"/>
        <v>109.64928082191781</v>
      </c>
      <c r="Y25" s="132">
        <f t="shared" si="46"/>
        <v>89.353793103448268</v>
      </c>
      <c r="Z25" s="132">
        <f t="shared" si="46"/>
        <v>105.4081217948718</v>
      </c>
      <c r="AA25" s="132">
        <f t="shared" si="46"/>
        <v>118.80821621621608</v>
      </c>
      <c r="AB25" s="132">
        <f t="shared" si="46"/>
        <v>104.99737341772152</v>
      </c>
      <c r="AC25" s="132">
        <f t="shared" si="46"/>
        <v>85.948140939597323</v>
      </c>
      <c r="AD25" s="132">
        <f t="shared" si="46"/>
        <v>143.79881871345032</v>
      </c>
      <c r="AE25" s="6">
        <f t="shared" ref="AE25" si="47">AE22/AE18</f>
        <v>64.708714285714294</v>
      </c>
      <c r="AF25" s="6">
        <f t="shared" ref="AF25:AP25" si="48">AF22/AF18</f>
        <v>128.09711724137929</v>
      </c>
      <c r="AG25" s="6">
        <f t="shared" si="48"/>
        <v>155.7879452054795</v>
      </c>
      <c r="AH25" s="6">
        <f t="shared" si="48"/>
        <v>112.42867088607596</v>
      </c>
      <c r="AI25" s="6">
        <f t="shared" ref="AI25" si="49">AI22/AI18</f>
        <v>97.291168831168818</v>
      </c>
      <c r="AJ25" s="207">
        <f t="shared" si="48"/>
        <v>90.281666666666666</v>
      </c>
      <c r="AK25" s="221">
        <f t="shared" si="48"/>
        <v>101.8108476821192</v>
      </c>
      <c r="AL25" s="207" t="e">
        <f t="shared" si="48"/>
        <v>#DIV/0!</v>
      </c>
      <c r="AM25" s="207" t="e">
        <f t="shared" si="48"/>
        <v>#DIV/0!</v>
      </c>
      <c r="AN25" s="207" t="e">
        <f t="shared" si="48"/>
        <v>#DIV/0!</v>
      </c>
      <c r="AO25" s="207" t="e">
        <f t="shared" si="48"/>
        <v>#DIV/0!</v>
      </c>
      <c r="AP25" s="207" t="e">
        <f t="shared" si="48"/>
        <v>#DIV/0!</v>
      </c>
    </row>
    <row r="28" spans="1:42" s="1" customFormat="1" x14ac:dyDescent="0.25">
      <c r="A28" s="1" t="s">
        <v>48</v>
      </c>
      <c r="B28" s="1" t="str">
        <f>B15</f>
        <v>YTD Target '17</v>
      </c>
      <c r="C28" s="1" t="s">
        <v>206</v>
      </c>
      <c r="D28" s="1" t="s">
        <v>10</v>
      </c>
      <c r="E28" s="1" t="s">
        <v>12</v>
      </c>
      <c r="G28" s="1">
        <v>42020</v>
      </c>
      <c r="H28" s="1">
        <v>42051</v>
      </c>
      <c r="I28" s="1">
        <v>42079</v>
      </c>
      <c r="J28" s="1">
        <v>42110</v>
      </c>
      <c r="K28" s="1">
        <v>42140</v>
      </c>
      <c r="L28" s="1">
        <v>42171</v>
      </c>
      <c r="M28" s="1">
        <v>42201</v>
      </c>
      <c r="N28" s="1">
        <v>42232</v>
      </c>
      <c r="O28" s="1">
        <v>42263</v>
      </c>
      <c r="P28" s="1">
        <v>42293</v>
      </c>
      <c r="Q28" s="1">
        <v>42324</v>
      </c>
      <c r="R28" s="1">
        <v>42354</v>
      </c>
      <c r="S28" s="1">
        <v>42385</v>
      </c>
      <c r="T28" s="1">
        <v>42416</v>
      </c>
      <c r="U28" s="1">
        <v>42445</v>
      </c>
      <c r="V28" s="1">
        <v>42476</v>
      </c>
      <c r="W28" s="1">
        <v>42506</v>
      </c>
      <c r="X28" s="128">
        <v>42537</v>
      </c>
      <c r="Y28" s="1">
        <v>42567</v>
      </c>
      <c r="Z28" s="1">
        <v>42598</v>
      </c>
      <c r="AA28" s="1">
        <v>42629</v>
      </c>
      <c r="AB28" s="1">
        <v>42659</v>
      </c>
      <c r="AC28" s="1">
        <v>42690</v>
      </c>
      <c r="AD28" s="128">
        <v>42720</v>
      </c>
      <c r="AE28" s="1">
        <f t="shared" ref="AE28:AP28" si="50">AE2</f>
        <v>42751</v>
      </c>
      <c r="AF28" s="1">
        <f t="shared" si="50"/>
        <v>42782</v>
      </c>
      <c r="AG28" s="1">
        <f t="shared" si="50"/>
        <v>42810</v>
      </c>
      <c r="AH28" s="1">
        <f t="shared" si="50"/>
        <v>42841</v>
      </c>
      <c r="AI28" s="1">
        <f t="shared" si="50"/>
        <v>42871</v>
      </c>
      <c r="AJ28" s="128">
        <f t="shared" si="50"/>
        <v>42902</v>
      </c>
      <c r="AK28" s="1">
        <f t="shared" si="50"/>
        <v>42932</v>
      </c>
      <c r="AL28" s="1">
        <f t="shared" si="50"/>
        <v>42963</v>
      </c>
      <c r="AM28" s="1">
        <f t="shared" si="50"/>
        <v>42994</v>
      </c>
      <c r="AN28" s="1">
        <f t="shared" si="50"/>
        <v>43024</v>
      </c>
      <c r="AO28" s="1">
        <f t="shared" si="50"/>
        <v>43055</v>
      </c>
      <c r="AP28" s="128">
        <f t="shared" si="50"/>
        <v>43085</v>
      </c>
    </row>
    <row r="29" spans="1:42" hidden="1" outlineLevel="1" x14ac:dyDescent="0.25">
      <c r="A29" s="17" t="s">
        <v>1</v>
      </c>
      <c r="B29" s="150">
        <f>'[2]2016-2018 Plan_Non-Credit Life'!$O$33</f>
        <v>90</v>
      </c>
      <c r="C29" s="11">
        <f>INDEX($S29:$AD29,$A$1)</f>
        <v>0</v>
      </c>
      <c r="D29" s="11">
        <f>INDEX($G29:$R29,$A$1)</f>
        <v>0</v>
      </c>
      <c r="E29" s="14" t="e">
        <f t="shared" ref="E29:E38" si="51">C29/D29-1</f>
        <v>#DIV/0!</v>
      </c>
      <c r="G29" s="37">
        <f>Data!B133</f>
        <v>0</v>
      </c>
      <c r="H29" s="37">
        <f>Data!C133</f>
        <v>0</v>
      </c>
      <c r="I29" s="37">
        <f>Data!D133</f>
        <v>0</v>
      </c>
      <c r="J29" s="37">
        <f>Data!E133</f>
        <v>0</v>
      </c>
      <c r="K29" s="37">
        <f>Data!F133</f>
        <v>0</v>
      </c>
      <c r="L29" s="45">
        <f>Data!G133</f>
        <v>0</v>
      </c>
      <c r="M29" s="37">
        <f>Data!H133</f>
        <v>0</v>
      </c>
      <c r="N29" s="37">
        <f>Data!I133</f>
        <v>0</v>
      </c>
      <c r="O29" s="37">
        <f>Data!J133</f>
        <v>0</v>
      </c>
      <c r="P29" s="37">
        <f>Data!K133</f>
        <v>0</v>
      </c>
      <c r="Q29" s="37">
        <f>Data!L133</f>
        <v>0</v>
      </c>
      <c r="R29" s="45">
        <f>Data!M133</f>
        <v>0</v>
      </c>
      <c r="S29" s="37">
        <f>Data!N133</f>
        <v>0</v>
      </c>
      <c r="T29" s="37">
        <f>Data!O133</f>
        <v>0</v>
      </c>
      <c r="U29" s="37">
        <f>Data!P133</f>
        <v>0</v>
      </c>
      <c r="V29" s="37">
        <f>Data!Q133</f>
        <v>0</v>
      </c>
      <c r="W29" s="37">
        <f>Data!R133</f>
        <v>0</v>
      </c>
      <c r="X29" s="134">
        <f>Data!S133</f>
        <v>0</v>
      </c>
      <c r="Y29" s="134">
        <f>Data!T133</f>
        <v>0</v>
      </c>
      <c r="Z29" s="134">
        <f>Data!U133</f>
        <v>0</v>
      </c>
      <c r="AA29" s="134">
        <f>Data!V133</f>
        <v>0</v>
      </c>
      <c r="AB29" s="134">
        <f>Data!W133</f>
        <v>0</v>
      </c>
      <c r="AC29" s="134">
        <f>Data!X133</f>
        <v>0</v>
      </c>
      <c r="AD29" s="134">
        <f>Data!Y133</f>
        <v>0</v>
      </c>
      <c r="AE29" s="37">
        <f>Data!Z133</f>
        <v>0</v>
      </c>
      <c r="AF29" s="37">
        <f>Data!AA133</f>
        <v>0</v>
      </c>
      <c r="AG29" s="37">
        <f>Data!AB133</f>
        <v>0</v>
      </c>
      <c r="AH29" s="37">
        <f>Data!AC133</f>
        <v>0</v>
      </c>
      <c r="AI29" s="37">
        <f>Data!AD133</f>
        <v>0</v>
      </c>
      <c r="AJ29" s="134">
        <f>Data!AE133</f>
        <v>0</v>
      </c>
      <c r="AK29" s="134">
        <f>Data!AF133</f>
        <v>0</v>
      </c>
      <c r="AL29" s="134">
        <f>Data!AG133</f>
        <v>0</v>
      </c>
      <c r="AM29" s="134">
        <f>Data!AH133</f>
        <v>0</v>
      </c>
      <c r="AN29" s="134">
        <f>Data!AI133</f>
        <v>0</v>
      </c>
      <c r="AO29" s="134">
        <f>Data!AJ133</f>
        <v>0</v>
      </c>
      <c r="AP29" s="134">
        <f>Data!AK133</f>
        <v>0</v>
      </c>
    </row>
    <row r="30" spans="1:42" hidden="1" outlineLevel="1" x14ac:dyDescent="0.25">
      <c r="A30" s="17" t="s">
        <v>0</v>
      </c>
      <c r="B30" s="150">
        <f>'[2]2016-2018 Plan_Non-Credit Life'!$O$34</f>
        <v>90</v>
      </c>
      <c r="C30" s="11">
        <f>INDEX($S30:$AD30,$A$1)</f>
        <v>0</v>
      </c>
      <c r="D30" s="11">
        <f>INDEX($G30:$R30,$A$1)</f>
        <v>0</v>
      </c>
      <c r="E30" s="14" t="e">
        <f t="shared" si="51"/>
        <v>#DIV/0!</v>
      </c>
      <c r="G30" s="37">
        <f>Data!B79</f>
        <v>0</v>
      </c>
      <c r="H30" s="37">
        <f>Data!C79</f>
        <v>0</v>
      </c>
      <c r="I30" s="37">
        <f>Data!D79</f>
        <v>0</v>
      </c>
      <c r="J30" s="37">
        <f>Data!E79</f>
        <v>0</v>
      </c>
      <c r="K30" s="37">
        <f>Data!F79</f>
        <v>0</v>
      </c>
      <c r="L30" s="45">
        <f>Data!G79</f>
        <v>0</v>
      </c>
      <c r="M30" s="37">
        <f>Data!H79</f>
        <v>0</v>
      </c>
      <c r="N30" s="37">
        <f>Data!I79</f>
        <v>0</v>
      </c>
      <c r="O30" s="37">
        <f>Data!J79</f>
        <v>0</v>
      </c>
      <c r="P30" s="37">
        <f>Data!K79</f>
        <v>0</v>
      </c>
      <c r="Q30" s="37">
        <f>Data!L79</f>
        <v>0</v>
      </c>
      <c r="R30" s="45">
        <f>Data!M79</f>
        <v>0</v>
      </c>
      <c r="S30" s="37">
        <f>Data!N79</f>
        <v>0</v>
      </c>
      <c r="T30" s="37">
        <f>Data!O79</f>
        <v>0</v>
      </c>
      <c r="U30" s="37">
        <f>Data!P79</f>
        <v>0</v>
      </c>
      <c r="V30" s="37">
        <f>Data!Q79</f>
        <v>0</v>
      </c>
      <c r="W30" s="37">
        <f>Data!R79</f>
        <v>0</v>
      </c>
      <c r="X30" s="134">
        <f>Data!S79</f>
        <v>0</v>
      </c>
      <c r="Y30" s="134">
        <f>Data!T79</f>
        <v>0</v>
      </c>
      <c r="Z30" s="134">
        <f>Data!U79</f>
        <v>0</v>
      </c>
      <c r="AA30" s="134">
        <f>Data!V79</f>
        <v>0</v>
      </c>
      <c r="AB30" s="134">
        <f>Data!W79</f>
        <v>0</v>
      </c>
      <c r="AC30" s="134">
        <f>Data!X79</f>
        <v>0</v>
      </c>
      <c r="AD30" s="134">
        <f>Data!Y79</f>
        <v>0</v>
      </c>
      <c r="AE30" s="37">
        <f>Data!Z79</f>
        <v>0</v>
      </c>
      <c r="AF30" s="37">
        <f>Data!AA79</f>
        <v>0</v>
      </c>
      <c r="AG30" s="37">
        <f>Data!AB79</f>
        <v>0</v>
      </c>
      <c r="AH30" s="37">
        <f>Data!AC79</f>
        <v>0</v>
      </c>
      <c r="AI30" s="37">
        <f>Data!AD79</f>
        <v>0</v>
      </c>
      <c r="AJ30" s="134">
        <f>Data!AE79</f>
        <v>0</v>
      </c>
      <c r="AK30" s="134">
        <f>Data!AF79</f>
        <v>0</v>
      </c>
      <c r="AL30" s="134">
        <f>Data!AG79</f>
        <v>0</v>
      </c>
      <c r="AM30" s="134">
        <f>Data!AH79</f>
        <v>0</v>
      </c>
      <c r="AN30" s="134">
        <f>Data!AI79</f>
        <v>0</v>
      </c>
      <c r="AO30" s="134">
        <f>Data!AJ79</f>
        <v>0</v>
      </c>
      <c r="AP30" s="134">
        <f>Data!AK79</f>
        <v>0</v>
      </c>
    </row>
    <row r="31" spans="1:42" hidden="1" outlineLevel="1" x14ac:dyDescent="0.25">
      <c r="A31" s="17" t="s">
        <v>2</v>
      </c>
      <c r="B31" s="137" t="e">
        <f>SUM('[2]2016-2018 Plan_Non-Credit Life'!$I$37:INDEX('[2]2016-2018 Plan_Non-Credit Life'!$I37:'[2]2016-2018 Plan_Non-Credit Life'!$T37,$A$1))</f>
        <v>#REF!</v>
      </c>
      <c r="C31" s="11">
        <f>SUM($S31:INDEX($S31:$AD31,$A$1))</f>
        <v>0</v>
      </c>
      <c r="D31" s="11">
        <f>SUM($G31:INDEX($G31:$R31,$A$1))</f>
        <v>0</v>
      </c>
      <c r="E31" s="14" t="e">
        <f t="shared" si="51"/>
        <v>#DIV/0!</v>
      </c>
      <c r="G31" s="40">
        <f>Data!B88</f>
        <v>0</v>
      </c>
      <c r="H31" s="40">
        <f>Data!C88</f>
        <v>0</v>
      </c>
      <c r="I31" s="40">
        <f>Data!D88</f>
        <v>0</v>
      </c>
      <c r="J31" s="40">
        <f>Data!E88</f>
        <v>0</v>
      </c>
      <c r="K31" s="40">
        <f>Data!F88</f>
        <v>0</v>
      </c>
      <c r="L31" s="46">
        <f>Data!G88</f>
        <v>0</v>
      </c>
      <c r="M31" s="40">
        <f>Data!H88</f>
        <v>0</v>
      </c>
      <c r="N31" s="40">
        <f>Data!I88</f>
        <v>0</v>
      </c>
      <c r="O31" s="40">
        <f>Data!J88</f>
        <v>0</v>
      </c>
      <c r="P31" s="40">
        <f>Data!K88</f>
        <v>0</v>
      </c>
      <c r="Q31" s="40">
        <f>Data!L88</f>
        <v>0</v>
      </c>
      <c r="R31" s="46">
        <f>Data!M88</f>
        <v>0</v>
      </c>
      <c r="S31" s="40">
        <f>Data!N88</f>
        <v>0</v>
      </c>
      <c r="T31" s="40">
        <f>Data!O88</f>
        <v>0</v>
      </c>
      <c r="U31" s="40">
        <f>Data!P88</f>
        <v>0</v>
      </c>
      <c r="V31" s="40">
        <f>Data!Q88</f>
        <v>0</v>
      </c>
      <c r="W31" s="40">
        <f>Data!R88</f>
        <v>0</v>
      </c>
      <c r="X31" s="135">
        <f>Data!S88</f>
        <v>0</v>
      </c>
      <c r="Y31" s="135">
        <f>Data!T88</f>
        <v>0</v>
      </c>
      <c r="Z31" s="135">
        <f>Data!U88</f>
        <v>0</v>
      </c>
      <c r="AA31" s="135">
        <f>Data!V88</f>
        <v>0</v>
      </c>
      <c r="AB31" s="135">
        <f>Data!W88</f>
        <v>0</v>
      </c>
      <c r="AC31" s="135">
        <f>Data!X88</f>
        <v>0</v>
      </c>
      <c r="AD31" s="135">
        <f>Data!Y88</f>
        <v>0</v>
      </c>
      <c r="AE31" s="40">
        <f>Data!Z88</f>
        <v>0</v>
      </c>
      <c r="AF31" s="40">
        <f>Data!AA88</f>
        <v>0</v>
      </c>
      <c r="AG31" s="40">
        <f>Data!AB88</f>
        <v>0</v>
      </c>
      <c r="AH31" s="40">
        <f>Data!AC88</f>
        <v>0</v>
      </c>
      <c r="AI31" s="40">
        <f>Data!AD88</f>
        <v>0</v>
      </c>
      <c r="AJ31" s="135">
        <f>Data!AE88</f>
        <v>0</v>
      </c>
      <c r="AK31" s="135">
        <f>Data!AF88</f>
        <v>0</v>
      </c>
      <c r="AL31" s="135">
        <f>Data!AG88</f>
        <v>0</v>
      </c>
      <c r="AM31" s="135">
        <f>Data!AH88</f>
        <v>0</v>
      </c>
      <c r="AN31" s="135">
        <f>Data!AI88</f>
        <v>0</v>
      </c>
      <c r="AO31" s="135">
        <f>Data!AJ88</f>
        <v>0</v>
      </c>
      <c r="AP31" s="135">
        <f>Data!AK88</f>
        <v>0</v>
      </c>
    </row>
    <row r="32" spans="1:42" hidden="1" outlineLevel="1" x14ac:dyDescent="0.25">
      <c r="A32" s="17" t="s">
        <v>3</v>
      </c>
      <c r="B32" s="150"/>
      <c r="C32" s="14" t="e">
        <f>C31/SUM($S30:INDEX($S30:$AD30,$A$1))</f>
        <v>#DIV/0!</v>
      </c>
      <c r="D32" s="14" t="e">
        <f>D31/SUM($G30:INDEX($G30:$R30,$A$1))</f>
        <v>#DIV/0!</v>
      </c>
      <c r="E32" s="14" t="e">
        <f t="shared" si="51"/>
        <v>#DIV/0!</v>
      </c>
      <c r="G32" s="23">
        <f>IFERROR(G31/G30,0)</f>
        <v>0</v>
      </c>
      <c r="H32" s="23">
        <f t="shared" ref="H32:AD32" si="52">IFERROR(H31/H30,0)</f>
        <v>0</v>
      </c>
      <c r="I32" s="23">
        <f t="shared" si="52"/>
        <v>0</v>
      </c>
      <c r="J32" s="23">
        <f t="shared" si="52"/>
        <v>0</v>
      </c>
      <c r="K32" s="23">
        <f t="shared" si="52"/>
        <v>0</v>
      </c>
      <c r="L32" s="41">
        <f t="shared" si="52"/>
        <v>0</v>
      </c>
      <c r="M32" s="23">
        <f t="shared" si="52"/>
        <v>0</v>
      </c>
      <c r="N32" s="23">
        <f t="shared" si="52"/>
        <v>0</v>
      </c>
      <c r="O32" s="23">
        <f t="shared" si="52"/>
        <v>0</v>
      </c>
      <c r="P32" s="23">
        <f t="shared" si="52"/>
        <v>0</v>
      </c>
      <c r="Q32" s="23">
        <f t="shared" si="52"/>
        <v>0</v>
      </c>
      <c r="R32" s="41">
        <f t="shared" si="52"/>
        <v>0</v>
      </c>
      <c r="S32" s="23">
        <f t="shared" si="52"/>
        <v>0</v>
      </c>
      <c r="T32" s="23">
        <f t="shared" si="52"/>
        <v>0</v>
      </c>
      <c r="U32" s="23">
        <f t="shared" si="52"/>
        <v>0</v>
      </c>
      <c r="V32" s="23">
        <f t="shared" si="52"/>
        <v>0</v>
      </c>
      <c r="W32" s="23">
        <f t="shared" si="52"/>
        <v>0</v>
      </c>
      <c r="X32" s="129">
        <f t="shared" si="52"/>
        <v>0</v>
      </c>
      <c r="Y32" s="129">
        <f t="shared" si="52"/>
        <v>0</v>
      </c>
      <c r="Z32" s="129">
        <f t="shared" si="52"/>
        <v>0</v>
      </c>
      <c r="AA32" s="129">
        <f t="shared" si="52"/>
        <v>0</v>
      </c>
      <c r="AB32" s="129">
        <f t="shared" si="52"/>
        <v>0</v>
      </c>
      <c r="AC32" s="129">
        <f t="shared" si="52"/>
        <v>0</v>
      </c>
      <c r="AD32" s="129">
        <f t="shared" si="52"/>
        <v>0</v>
      </c>
      <c r="AE32" s="23">
        <f t="shared" ref="AE32:AP32" si="53">IFERROR(AE31/AE30,0)</f>
        <v>0</v>
      </c>
      <c r="AF32" s="23">
        <f t="shared" si="53"/>
        <v>0</v>
      </c>
      <c r="AG32" s="23">
        <f t="shared" si="53"/>
        <v>0</v>
      </c>
      <c r="AH32" s="23">
        <f t="shared" si="53"/>
        <v>0</v>
      </c>
      <c r="AI32" s="23">
        <f t="shared" si="53"/>
        <v>0</v>
      </c>
      <c r="AJ32" s="129">
        <f t="shared" si="53"/>
        <v>0</v>
      </c>
      <c r="AK32" s="129">
        <f t="shared" si="53"/>
        <v>0</v>
      </c>
      <c r="AL32" s="129">
        <f t="shared" si="53"/>
        <v>0</v>
      </c>
      <c r="AM32" s="129">
        <f t="shared" si="53"/>
        <v>0</v>
      </c>
      <c r="AN32" s="129">
        <f t="shared" si="53"/>
        <v>0</v>
      </c>
      <c r="AO32" s="129">
        <f t="shared" si="53"/>
        <v>0</v>
      </c>
      <c r="AP32" s="129">
        <f t="shared" si="53"/>
        <v>0</v>
      </c>
    </row>
    <row r="33" spans="1:42" hidden="1" outlineLevel="1" x14ac:dyDescent="0.25">
      <c r="A33" s="17" t="s">
        <v>4</v>
      </c>
      <c r="B33" s="137" t="e">
        <f>SUM('[2]2016-2018 Plan_Non-Credit Life'!$I$41:INDEX('[2]2016-2018 Plan_Non-Credit Life'!$I41:'[2]2016-2018 Plan_Non-Credit Life'!$T41,$A$1))</f>
        <v>#REF!</v>
      </c>
      <c r="C33" s="11">
        <f>SUM($S33:INDEX($S33:$AD33,$A$1))</f>
        <v>0</v>
      </c>
      <c r="D33" s="11">
        <f>SUM($G33:INDEX($G33:$R33,$A$1))</f>
        <v>0</v>
      </c>
      <c r="E33" s="14" t="e">
        <f t="shared" si="51"/>
        <v>#DIV/0!</v>
      </c>
      <c r="G33" s="40">
        <f>Data!B52</f>
        <v>0</v>
      </c>
      <c r="H33" s="40">
        <f>Data!C52</f>
        <v>0</v>
      </c>
      <c r="I33" s="40">
        <f>Data!D52</f>
        <v>0</v>
      </c>
      <c r="J33" s="40">
        <f>Data!E52</f>
        <v>0</v>
      </c>
      <c r="K33" s="40">
        <f>Data!F52</f>
        <v>0</v>
      </c>
      <c r="L33" s="46">
        <f>Data!G52</f>
        <v>0</v>
      </c>
      <c r="M33" s="40">
        <f>Data!H52</f>
        <v>0</v>
      </c>
      <c r="N33" s="40">
        <f>Data!I52</f>
        <v>0</v>
      </c>
      <c r="O33" s="40">
        <f>Data!J52</f>
        <v>0</v>
      </c>
      <c r="P33" s="40">
        <f>Data!K52</f>
        <v>0</v>
      </c>
      <c r="Q33" s="40">
        <f>Data!L52</f>
        <v>0</v>
      </c>
      <c r="R33" s="46">
        <f>Data!M52</f>
        <v>0</v>
      </c>
      <c r="S33" s="40">
        <f>Data!N52</f>
        <v>0</v>
      </c>
      <c r="T33" s="40">
        <f>Data!O52</f>
        <v>0</v>
      </c>
      <c r="U33" s="40">
        <f>Data!P52</f>
        <v>0</v>
      </c>
      <c r="V33" s="40">
        <f>Data!Q52</f>
        <v>0</v>
      </c>
      <c r="W33" s="40">
        <f>Data!R52</f>
        <v>0</v>
      </c>
      <c r="X33" s="135">
        <f>Data!S52</f>
        <v>0</v>
      </c>
      <c r="Y33" s="135">
        <f>Data!T52</f>
        <v>0</v>
      </c>
      <c r="Z33" s="135">
        <f>Data!U52</f>
        <v>0</v>
      </c>
      <c r="AA33" s="135">
        <f>Data!V52</f>
        <v>0</v>
      </c>
      <c r="AB33" s="135">
        <f>Data!W52</f>
        <v>0</v>
      </c>
      <c r="AC33" s="135">
        <f>Data!X52</f>
        <v>0</v>
      </c>
      <c r="AD33" s="135">
        <f>Data!Y52</f>
        <v>0</v>
      </c>
      <c r="AE33" s="40">
        <f>Data!Z52</f>
        <v>0</v>
      </c>
      <c r="AF33" s="40">
        <f>Data!AA52</f>
        <v>0</v>
      </c>
      <c r="AG33" s="40">
        <f>Data!AB52</f>
        <v>0</v>
      </c>
      <c r="AH33" s="40">
        <f>Data!AC52</f>
        <v>0</v>
      </c>
      <c r="AI33" s="40">
        <f>Data!AD52</f>
        <v>0</v>
      </c>
      <c r="AJ33" s="135">
        <f>Data!AE52</f>
        <v>0</v>
      </c>
      <c r="AK33" s="135">
        <f>Data!AF52</f>
        <v>0</v>
      </c>
      <c r="AL33" s="135">
        <f>Data!AG52</f>
        <v>0</v>
      </c>
      <c r="AM33" s="135">
        <f>Data!AH52</f>
        <v>0</v>
      </c>
      <c r="AN33" s="135">
        <f>Data!AI52</f>
        <v>0</v>
      </c>
      <c r="AO33" s="135">
        <f>Data!AJ52</f>
        <v>0</v>
      </c>
      <c r="AP33" s="135">
        <f>Data!AK52</f>
        <v>0</v>
      </c>
    </row>
    <row r="34" spans="1:42" hidden="1" outlineLevel="1" x14ac:dyDescent="0.25">
      <c r="A34" s="17" t="s">
        <v>5</v>
      </c>
      <c r="B34" s="144" t="e">
        <f>B33/B31</f>
        <v>#REF!</v>
      </c>
      <c r="C34" s="38" t="e">
        <f>C33/C31</f>
        <v>#DIV/0!</v>
      </c>
      <c r="D34" s="38" t="e">
        <f>D33/D31</f>
        <v>#DIV/0!</v>
      </c>
      <c r="E34" s="14" t="e">
        <f t="shared" si="51"/>
        <v>#DIV/0!</v>
      </c>
      <c r="G34" s="39">
        <f>IFERROR(G33/G31,0)</f>
        <v>0</v>
      </c>
      <c r="H34" s="39">
        <f t="shared" ref="H34:AD34" si="54">IFERROR(H33/H31,0)</f>
        <v>0</v>
      </c>
      <c r="I34" s="39">
        <f t="shared" si="54"/>
        <v>0</v>
      </c>
      <c r="J34" s="39">
        <f t="shared" si="54"/>
        <v>0</v>
      </c>
      <c r="K34" s="39">
        <f t="shared" si="54"/>
        <v>0</v>
      </c>
      <c r="L34" s="47">
        <f t="shared" si="54"/>
        <v>0</v>
      </c>
      <c r="M34" s="39">
        <f t="shared" si="54"/>
        <v>0</v>
      </c>
      <c r="N34" s="39">
        <f t="shared" si="54"/>
        <v>0</v>
      </c>
      <c r="O34" s="39">
        <f t="shared" si="54"/>
        <v>0</v>
      </c>
      <c r="P34" s="39">
        <f t="shared" si="54"/>
        <v>0</v>
      </c>
      <c r="Q34" s="39">
        <f t="shared" si="54"/>
        <v>0</v>
      </c>
      <c r="R34" s="47">
        <f t="shared" si="54"/>
        <v>0</v>
      </c>
      <c r="S34" s="39">
        <f t="shared" si="54"/>
        <v>0</v>
      </c>
      <c r="T34" s="39">
        <f t="shared" si="54"/>
        <v>0</v>
      </c>
      <c r="U34" s="39">
        <f t="shared" si="54"/>
        <v>0</v>
      </c>
      <c r="V34" s="39">
        <f t="shared" si="54"/>
        <v>0</v>
      </c>
      <c r="W34" s="39">
        <f t="shared" si="54"/>
        <v>0</v>
      </c>
      <c r="X34" s="136">
        <f t="shared" si="54"/>
        <v>0</v>
      </c>
      <c r="Y34" s="136">
        <f t="shared" si="54"/>
        <v>0</v>
      </c>
      <c r="Z34" s="136">
        <f t="shared" si="54"/>
        <v>0</v>
      </c>
      <c r="AA34" s="136">
        <f t="shared" si="54"/>
        <v>0</v>
      </c>
      <c r="AB34" s="136">
        <f t="shared" si="54"/>
        <v>0</v>
      </c>
      <c r="AC34" s="136">
        <f t="shared" si="54"/>
        <v>0</v>
      </c>
      <c r="AD34" s="136">
        <f t="shared" si="54"/>
        <v>0</v>
      </c>
      <c r="AE34" s="39">
        <f t="shared" ref="AE34:AP34" si="55">IFERROR(AE33/AE31,0)</f>
        <v>0</v>
      </c>
      <c r="AF34" s="39">
        <f t="shared" si="55"/>
        <v>0</v>
      </c>
      <c r="AG34" s="39">
        <f t="shared" si="55"/>
        <v>0</v>
      </c>
      <c r="AH34" s="39">
        <f t="shared" si="55"/>
        <v>0</v>
      </c>
      <c r="AI34" s="39">
        <f t="shared" si="55"/>
        <v>0</v>
      </c>
      <c r="AJ34" s="136">
        <f t="shared" si="55"/>
        <v>0</v>
      </c>
      <c r="AK34" s="136">
        <f t="shared" si="55"/>
        <v>0</v>
      </c>
      <c r="AL34" s="136">
        <f t="shared" si="55"/>
        <v>0</v>
      </c>
      <c r="AM34" s="136">
        <f t="shared" si="55"/>
        <v>0</v>
      </c>
      <c r="AN34" s="136">
        <f t="shared" si="55"/>
        <v>0</v>
      </c>
      <c r="AO34" s="136">
        <f t="shared" si="55"/>
        <v>0</v>
      </c>
      <c r="AP34" s="136">
        <f t="shared" si="55"/>
        <v>0</v>
      </c>
    </row>
    <row r="35" spans="1:42" hidden="1" outlineLevel="1" x14ac:dyDescent="0.25">
      <c r="A35" s="17" t="s">
        <v>6</v>
      </c>
      <c r="B35" s="137" t="e">
        <f>SUM('[2]2016-2018 Plan_Non-Credit Life'!$I$42:INDEX('[2]2016-2018 Plan_Non-Credit Life'!$I42:'[2]2016-2018 Plan_Non-Credit Life'!$T42,$A$1))</f>
        <v>#REF!</v>
      </c>
      <c r="C35" s="11">
        <f>SUM($S35:INDEX($S35:$AD35,$A$1))</f>
        <v>0</v>
      </c>
      <c r="D35" s="11">
        <f>SUM($G35:INDEX($G35:$R35,$A$1))</f>
        <v>0</v>
      </c>
      <c r="E35" s="14" t="e">
        <f t="shared" si="51"/>
        <v>#DIV/0!</v>
      </c>
      <c r="G35" s="3">
        <f>Data!B23</f>
        <v>0</v>
      </c>
      <c r="H35" s="3">
        <f>Data!C23</f>
        <v>0</v>
      </c>
      <c r="I35" s="3">
        <f>Data!D23</f>
        <v>0</v>
      </c>
      <c r="J35" s="3">
        <f>Data!E23</f>
        <v>0</v>
      </c>
      <c r="K35" s="3">
        <f>Data!F23</f>
        <v>0</v>
      </c>
      <c r="L35" s="43">
        <f>Data!G23</f>
        <v>0</v>
      </c>
      <c r="M35" s="3">
        <f>Data!H23</f>
        <v>0</v>
      </c>
      <c r="N35" s="3">
        <f>Data!I23</f>
        <v>0</v>
      </c>
      <c r="O35" s="3">
        <f>Data!J23</f>
        <v>0</v>
      </c>
      <c r="P35" s="3">
        <f>Data!K23</f>
        <v>0</v>
      </c>
      <c r="Q35" s="3">
        <f>Data!L23</f>
        <v>0</v>
      </c>
      <c r="R35" s="43">
        <f>Data!M23</f>
        <v>0</v>
      </c>
      <c r="S35" s="3">
        <f>Data!N23</f>
        <v>0</v>
      </c>
      <c r="T35" s="3">
        <f>Data!O23</f>
        <v>0</v>
      </c>
      <c r="U35" s="3">
        <f>Data!P23</f>
        <v>0</v>
      </c>
      <c r="V35" s="3">
        <f>Data!Q23</f>
        <v>0</v>
      </c>
      <c r="W35" s="3">
        <f>Data!R23</f>
        <v>0</v>
      </c>
      <c r="X35" s="133">
        <f>Data!S23</f>
        <v>0</v>
      </c>
      <c r="Y35" s="133">
        <f>Data!T23</f>
        <v>0</v>
      </c>
      <c r="Z35" s="133">
        <f>Data!U23</f>
        <v>0</v>
      </c>
      <c r="AA35" s="133">
        <f>Data!V23</f>
        <v>0</v>
      </c>
      <c r="AB35" s="133">
        <f>Data!W23</f>
        <v>0</v>
      </c>
      <c r="AC35" s="133">
        <f>Data!X23</f>
        <v>0</v>
      </c>
      <c r="AD35" s="133">
        <f>Data!Y23</f>
        <v>0</v>
      </c>
      <c r="AE35" s="3">
        <f>Data!Z23</f>
        <v>0</v>
      </c>
      <c r="AF35" s="3">
        <f>Data!AA23</f>
        <v>0</v>
      </c>
      <c r="AG35" s="3">
        <f>Data!AB23</f>
        <v>0</v>
      </c>
      <c r="AH35" s="3">
        <f>Data!AC23</f>
        <v>0</v>
      </c>
      <c r="AI35" s="3">
        <f>Data!AD23</f>
        <v>0</v>
      </c>
      <c r="AJ35" s="133">
        <f>Data!AE23</f>
        <v>0</v>
      </c>
      <c r="AK35" s="133">
        <f>Data!AF23</f>
        <v>0</v>
      </c>
      <c r="AL35" s="133">
        <f>Data!AG23</f>
        <v>0</v>
      </c>
      <c r="AM35" s="133">
        <f>Data!AH23</f>
        <v>0</v>
      </c>
      <c r="AN35" s="133">
        <f>Data!AI23</f>
        <v>0</v>
      </c>
      <c r="AO35" s="133">
        <f>Data!AJ23</f>
        <v>0</v>
      </c>
      <c r="AP35" s="133">
        <f>Data!AK23</f>
        <v>0</v>
      </c>
    </row>
    <row r="36" spans="1:42" hidden="1" outlineLevel="1" x14ac:dyDescent="0.25">
      <c r="A36" s="17" t="s">
        <v>7</v>
      </c>
      <c r="B36" s="144" t="e">
        <f>B35/B33</f>
        <v>#REF!</v>
      </c>
      <c r="C36" s="38" t="e">
        <f>C35/C33</f>
        <v>#DIV/0!</v>
      </c>
      <c r="D36" s="38" t="e">
        <f>D35/D33</f>
        <v>#DIV/0!</v>
      </c>
      <c r="E36" s="14" t="e">
        <f t="shared" si="51"/>
        <v>#DIV/0!</v>
      </c>
      <c r="G36" s="6">
        <f>IFERROR(G35/G33,0)</f>
        <v>0</v>
      </c>
      <c r="H36" s="6">
        <f t="shared" ref="H36:AD36" si="56">IFERROR(H35/H33,0)</f>
        <v>0</v>
      </c>
      <c r="I36" s="6">
        <f t="shared" si="56"/>
        <v>0</v>
      </c>
      <c r="J36" s="6">
        <f t="shared" si="56"/>
        <v>0</v>
      </c>
      <c r="K36" s="6">
        <f t="shared" si="56"/>
        <v>0</v>
      </c>
      <c r="L36" s="44">
        <f t="shared" si="56"/>
        <v>0</v>
      </c>
      <c r="M36" s="6">
        <f t="shared" si="56"/>
        <v>0</v>
      </c>
      <c r="N36" s="6">
        <f t="shared" si="56"/>
        <v>0</v>
      </c>
      <c r="O36" s="6">
        <f t="shared" si="56"/>
        <v>0</v>
      </c>
      <c r="P36" s="6">
        <f t="shared" si="56"/>
        <v>0</v>
      </c>
      <c r="Q36" s="6">
        <f t="shared" si="56"/>
        <v>0</v>
      </c>
      <c r="R36" s="44">
        <f t="shared" si="56"/>
        <v>0</v>
      </c>
      <c r="S36" s="6">
        <f t="shared" si="56"/>
        <v>0</v>
      </c>
      <c r="T36" s="6">
        <f t="shared" si="56"/>
        <v>0</v>
      </c>
      <c r="U36" s="6">
        <f t="shared" si="56"/>
        <v>0</v>
      </c>
      <c r="V36" s="6">
        <f t="shared" si="56"/>
        <v>0</v>
      </c>
      <c r="W36" s="6">
        <f t="shared" si="56"/>
        <v>0</v>
      </c>
      <c r="X36" s="132">
        <f t="shared" si="56"/>
        <v>0</v>
      </c>
      <c r="Y36" s="132">
        <f t="shared" si="56"/>
        <v>0</v>
      </c>
      <c r="Z36" s="132">
        <f t="shared" si="56"/>
        <v>0</v>
      </c>
      <c r="AA36" s="132">
        <f t="shared" si="56"/>
        <v>0</v>
      </c>
      <c r="AB36" s="132">
        <f t="shared" si="56"/>
        <v>0</v>
      </c>
      <c r="AC36" s="132">
        <f t="shared" si="56"/>
        <v>0</v>
      </c>
      <c r="AD36" s="132">
        <f t="shared" si="56"/>
        <v>0</v>
      </c>
      <c r="AE36" s="6">
        <f t="shared" ref="AE36:AP36" si="57">IFERROR(AE35/AE33,0)</f>
        <v>0</v>
      </c>
      <c r="AF36" s="6">
        <f t="shared" si="57"/>
        <v>0</v>
      </c>
      <c r="AG36" s="6">
        <f t="shared" si="57"/>
        <v>0</v>
      </c>
      <c r="AH36" s="6">
        <f t="shared" si="57"/>
        <v>0</v>
      </c>
      <c r="AI36" s="6">
        <f t="shared" si="57"/>
        <v>0</v>
      </c>
      <c r="AJ36" s="132">
        <f t="shared" si="57"/>
        <v>0</v>
      </c>
      <c r="AK36" s="132">
        <f t="shared" si="57"/>
        <v>0</v>
      </c>
      <c r="AL36" s="132">
        <f t="shared" si="57"/>
        <v>0</v>
      </c>
      <c r="AM36" s="132">
        <f t="shared" si="57"/>
        <v>0</v>
      </c>
      <c r="AN36" s="132">
        <f t="shared" si="57"/>
        <v>0</v>
      </c>
      <c r="AO36" s="132">
        <f t="shared" si="57"/>
        <v>0</v>
      </c>
      <c r="AP36" s="132">
        <f t="shared" si="57"/>
        <v>0</v>
      </c>
    </row>
    <row r="37" spans="1:42" hidden="1" outlineLevel="1" x14ac:dyDescent="0.25">
      <c r="A37" s="17" t="s">
        <v>8</v>
      </c>
      <c r="B37" s="145" t="e">
        <f>B35/B30</f>
        <v>#REF!</v>
      </c>
      <c r="C37" s="38" t="e">
        <f>C35/SUM($S30:INDEX($S30:$AD30,$A$1))</f>
        <v>#DIV/0!</v>
      </c>
      <c r="D37" t="e">
        <f>D35/SUM($G30:INDEX($G30:$R30,$A$1))</f>
        <v>#DIV/0!</v>
      </c>
      <c r="E37" s="14" t="e">
        <f t="shared" si="51"/>
        <v>#DIV/0!</v>
      </c>
      <c r="G37" s="6">
        <f>IFERROR(G35/G30,0)</f>
        <v>0</v>
      </c>
      <c r="H37" s="6">
        <f t="shared" ref="H37:AD37" si="58">IFERROR(H35/H30,0)</f>
        <v>0</v>
      </c>
      <c r="I37" s="6">
        <f t="shared" si="58"/>
        <v>0</v>
      </c>
      <c r="J37" s="6">
        <f t="shared" si="58"/>
        <v>0</v>
      </c>
      <c r="K37" s="6">
        <f t="shared" si="58"/>
        <v>0</v>
      </c>
      <c r="L37" s="44">
        <f t="shared" si="58"/>
        <v>0</v>
      </c>
      <c r="M37" s="6">
        <f t="shared" si="58"/>
        <v>0</v>
      </c>
      <c r="N37" s="6">
        <f t="shared" si="58"/>
        <v>0</v>
      </c>
      <c r="O37" s="6">
        <f t="shared" si="58"/>
        <v>0</v>
      </c>
      <c r="P37" s="6">
        <f t="shared" si="58"/>
        <v>0</v>
      </c>
      <c r="Q37" s="6">
        <f t="shared" si="58"/>
        <v>0</v>
      </c>
      <c r="R37" s="44">
        <f t="shared" si="58"/>
        <v>0</v>
      </c>
      <c r="S37" s="6">
        <f t="shared" si="58"/>
        <v>0</v>
      </c>
      <c r="T37" s="6">
        <f t="shared" si="58"/>
        <v>0</v>
      </c>
      <c r="U37" s="6">
        <f t="shared" si="58"/>
        <v>0</v>
      </c>
      <c r="V37" s="6">
        <f t="shared" si="58"/>
        <v>0</v>
      </c>
      <c r="W37" s="6">
        <f t="shared" si="58"/>
        <v>0</v>
      </c>
      <c r="X37" s="132">
        <f t="shared" si="58"/>
        <v>0</v>
      </c>
      <c r="Y37" s="132">
        <f t="shared" si="58"/>
        <v>0</v>
      </c>
      <c r="Z37" s="132">
        <f t="shared" si="58"/>
        <v>0</v>
      </c>
      <c r="AA37" s="132">
        <f t="shared" si="58"/>
        <v>0</v>
      </c>
      <c r="AB37" s="132">
        <f t="shared" si="58"/>
        <v>0</v>
      </c>
      <c r="AC37" s="132">
        <f t="shared" si="58"/>
        <v>0</v>
      </c>
      <c r="AD37" s="132">
        <f t="shared" si="58"/>
        <v>0</v>
      </c>
      <c r="AE37" s="6">
        <f t="shared" ref="AE37:AP37" si="59">IFERROR(AE35/AE30,0)</f>
        <v>0</v>
      </c>
      <c r="AF37" s="6">
        <f t="shared" si="59"/>
        <v>0</v>
      </c>
      <c r="AG37" s="6">
        <f t="shared" si="59"/>
        <v>0</v>
      </c>
      <c r="AH37" s="6">
        <f t="shared" si="59"/>
        <v>0</v>
      </c>
      <c r="AI37" s="6">
        <f t="shared" si="59"/>
        <v>0</v>
      </c>
      <c r="AJ37" s="132">
        <f t="shared" si="59"/>
        <v>0</v>
      </c>
      <c r="AK37" s="132">
        <f t="shared" si="59"/>
        <v>0</v>
      </c>
      <c r="AL37" s="132">
        <f t="shared" si="59"/>
        <v>0</v>
      </c>
      <c r="AM37" s="132">
        <f t="shared" si="59"/>
        <v>0</v>
      </c>
      <c r="AN37" s="132">
        <f t="shared" si="59"/>
        <v>0</v>
      </c>
      <c r="AO37" s="132">
        <f t="shared" si="59"/>
        <v>0</v>
      </c>
      <c r="AP37" s="132">
        <f t="shared" si="59"/>
        <v>0</v>
      </c>
    </row>
    <row r="38" spans="1:42" hidden="1" outlineLevel="1" x14ac:dyDescent="0.25">
      <c r="A38" s="17" t="s">
        <v>9</v>
      </c>
      <c r="B38" s="145" t="e">
        <f>B35/B31</f>
        <v>#REF!</v>
      </c>
      <c r="C38" s="38" t="e">
        <f>C35/C31</f>
        <v>#DIV/0!</v>
      </c>
      <c r="D38" s="38" t="e">
        <f>D35/D31</f>
        <v>#DIV/0!</v>
      </c>
      <c r="E38" s="14" t="e">
        <f t="shared" si="51"/>
        <v>#DIV/0!</v>
      </c>
      <c r="G38" s="6">
        <f>IFERROR(G35/G31,0)</f>
        <v>0</v>
      </c>
      <c r="H38" s="6">
        <f t="shared" ref="H38:AD38" si="60">IFERROR(H35/H31,0)</f>
        <v>0</v>
      </c>
      <c r="I38" s="6">
        <f t="shared" si="60"/>
        <v>0</v>
      </c>
      <c r="J38" s="6">
        <f t="shared" si="60"/>
        <v>0</v>
      </c>
      <c r="K38" s="6">
        <f t="shared" si="60"/>
        <v>0</v>
      </c>
      <c r="L38" s="44">
        <f t="shared" si="60"/>
        <v>0</v>
      </c>
      <c r="M38" s="6">
        <f t="shared" si="60"/>
        <v>0</v>
      </c>
      <c r="N38" s="6">
        <f t="shared" si="60"/>
        <v>0</v>
      </c>
      <c r="O38" s="6">
        <f t="shared" si="60"/>
        <v>0</v>
      </c>
      <c r="P38" s="6">
        <f t="shared" si="60"/>
        <v>0</v>
      </c>
      <c r="Q38" s="6">
        <f t="shared" si="60"/>
        <v>0</v>
      </c>
      <c r="R38" s="44">
        <f t="shared" si="60"/>
        <v>0</v>
      </c>
      <c r="S38" s="6">
        <f t="shared" si="60"/>
        <v>0</v>
      </c>
      <c r="T38" s="6">
        <f t="shared" si="60"/>
        <v>0</v>
      </c>
      <c r="U38" s="6">
        <f t="shared" si="60"/>
        <v>0</v>
      </c>
      <c r="V38" s="6">
        <f t="shared" si="60"/>
        <v>0</v>
      </c>
      <c r="W38" s="6">
        <f t="shared" si="60"/>
        <v>0</v>
      </c>
      <c r="X38" s="132">
        <f t="shared" si="60"/>
        <v>0</v>
      </c>
      <c r="Y38" s="132">
        <f t="shared" si="60"/>
        <v>0</v>
      </c>
      <c r="Z38" s="132">
        <f t="shared" si="60"/>
        <v>0</v>
      </c>
      <c r="AA38" s="132">
        <f t="shared" si="60"/>
        <v>0</v>
      </c>
      <c r="AB38" s="132">
        <f t="shared" si="60"/>
        <v>0</v>
      </c>
      <c r="AC38" s="132">
        <f t="shared" si="60"/>
        <v>0</v>
      </c>
      <c r="AD38" s="132">
        <f t="shared" si="60"/>
        <v>0</v>
      </c>
      <c r="AE38" s="6">
        <f t="shared" ref="AE38:AP38" si="61">IFERROR(AE35/AE31,0)</f>
        <v>0</v>
      </c>
      <c r="AF38" s="6">
        <f t="shared" si="61"/>
        <v>0</v>
      </c>
      <c r="AG38" s="6">
        <f t="shared" si="61"/>
        <v>0</v>
      </c>
      <c r="AH38" s="6">
        <f t="shared" si="61"/>
        <v>0</v>
      </c>
      <c r="AI38" s="6">
        <f t="shared" si="61"/>
        <v>0</v>
      </c>
      <c r="AJ38" s="132">
        <f t="shared" si="61"/>
        <v>0</v>
      </c>
      <c r="AK38" s="132">
        <f t="shared" si="61"/>
        <v>0</v>
      </c>
      <c r="AL38" s="132">
        <f t="shared" si="61"/>
        <v>0</v>
      </c>
      <c r="AM38" s="132">
        <f t="shared" si="61"/>
        <v>0</v>
      </c>
      <c r="AN38" s="132">
        <f t="shared" si="61"/>
        <v>0</v>
      </c>
      <c r="AO38" s="132">
        <f t="shared" si="61"/>
        <v>0</v>
      </c>
      <c r="AP38" s="132">
        <f t="shared" si="61"/>
        <v>0</v>
      </c>
    </row>
    <row r="39" spans="1:42" hidden="1" outlineLevel="1" x14ac:dyDescent="0.25">
      <c r="B39" s="150"/>
    </row>
    <row r="40" spans="1:42" collapsed="1" x14ac:dyDescent="0.25"/>
    <row r="41" spans="1:42" s="1" customFormat="1" x14ac:dyDescent="0.25">
      <c r="A41" s="1" t="s">
        <v>71</v>
      </c>
      <c r="B41" s="1" t="str">
        <f t="shared" ref="B41:E41" si="62">B28</f>
        <v>YTD Target '17</v>
      </c>
      <c r="C41" s="1" t="str">
        <f t="shared" si="62"/>
        <v>YTD'17</v>
      </c>
      <c r="D41" s="1" t="str">
        <f t="shared" si="62"/>
        <v>YTD'16</v>
      </c>
      <c r="E41" s="1" t="str">
        <f t="shared" si="62"/>
        <v>YoY Growth</v>
      </c>
      <c r="G41" s="1">
        <v>42020</v>
      </c>
      <c r="H41" s="1">
        <v>42051</v>
      </c>
      <c r="I41" s="1">
        <v>42079</v>
      </c>
      <c r="J41" s="1">
        <v>42110</v>
      </c>
      <c r="K41" s="1">
        <v>42140</v>
      </c>
      <c r="L41" s="1">
        <v>42171</v>
      </c>
      <c r="M41" s="1">
        <v>42201</v>
      </c>
      <c r="N41" s="1">
        <v>42232</v>
      </c>
      <c r="O41" s="1">
        <v>42263</v>
      </c>
      <c r="P41" s="1">
        <v>42293</v>
      </c>
      <c r="Q41" s="1">
        <v>42324</v>
      </c>
      <c r="R41" s="1">
        <v>42354</v>
      </c>
      <c r="S41" s="1">
        <v>42385</v>
      </c>
      <c r="T41" s="1">
        <v>42416</v>
      </c>
      <c r="U41" s="1">
        <v>42445</v>
      </c>
      <c r="V41" s="1">
        <v>42476</v>
      </c>
      <c r="W41" s="1">
        <v>42506</v>
      </c>
      <c r="X41" s="128">
        <v>42537</v>
      </c>
      <c r="Y41" s="1">
        <v>42567</v>
      </c>
      <c r="Z41" s="1">
        <v>42598</v>
      </c>
      <c r="AA41" s="1">
        <v>42629</v>
      </c>
      <c r="AB41" s="1">
        <v>42659</v>
      </c>
      <c r="AC41" s="1">
        <v>42690</v>
      </c>
      <c r="AD41" s="128">
        <v>42720</v>
      </c>
      <c r="AE41" s="1">
        <f t="shared" ref="AE41:AP41" si="63">AE2</f>
        <v>42751</v>
      </c>
      <c r="AF41" s="1">
        <f t="shared" si="63"/>
        <v>42782</v>
      </c>
      <c r="AG41" s="1">
        <f t="shared" si="63"/>
        <v>42810</v>
      </c>
      <c r="AH41" s="1">
        <f t="shared" si="63"/>
        <v>42841</v>
      </c>
      <c r="AI41" s="1">
        <f t="shared" si="63"/>
        <v>42871</v>
      </c>
      <c r="AJ41" s="128">
        <f t="shared" si="63"/>
        <v>42902</v>
      </c>
      <c r="AK41" s="1">
        <f t="shared" si="63"/>
        <v>42932</v>
      </c>
      <c r="AL41" s="1">
        <f t="shared" si="63"/>
        <v>42963</v>
      </c>
      <c r="AM41" s="1">
        <f t="shared" si="63"/>
        <v>42994</v>
      </c>
      <c r="AN41" s="1">
        <f t="shared" si="63"/>
        <v>43024</v>
      </c>
      <c r="AO41" s="1">
        <f t="shared" si="63"/>
        <v>43055</v>
      </c>
      <c r="AP41" s="128">
        <f t="shared" si="63"/>
        <v>43085</v>
      </c>
    </row>
    <row r="42" spans="1:42" hidden="1" outlineLevel="1" x14ac:dyDescent="0.25">
      <c r="A42" s="17" t="s">
        <v>1</v>
      </c>
      <c r="B42" s="17"/>
      <c r="C42" s="11">
        <f>INDEX($S42:$AD42,$A$1)</f>
        <v>99</v>
      </c>
      <c r="D42" s="11">
        <f>INDEX($G42:$R42,$A$1)</f>
        <v>99</v>
      </c>
      <c r="E42" s="14">
        <f>C42/D42-1</f>
        <v>0</v>
      </c>
      <c r="G42">
        <f>Data!B128</f>
        <v>98</v>
      </c>
      <c r="H42">
        <f>Data!C128</f>
        <v>98</v>
      </c>
      <c r="I42">
        <f>Data!D128</f>
        <v>99</v>
      </c>
      <c r="J42">
        <f>Data!E128</f>
        <v>99</v>
      </c>
      <c r="K42">
        <f>Data!F128</f>
        <v>99</v>
      </c>
      <c r="L42" s="4">
        <f>Data!G128</f>
        <v>99</v>
      </c>
      <c r="M42">
        <f>Data!H128</f>
        <v>99</v>
      </c>
      <c r="N42">
        <f>Data!I128</f>
        <v>99</v>
      </c>
      <c r="O42">
        <f>Data!J128</f>
        <v>99</v>
      </c>
      <c r="P42">
        <f>Data!K128</f>
        <v>99</v>
      </c>
      <c r="Q42">
        <f>Data!L128</f>
        <v>99</v>
      </c>
      <c r="R42" s="4">
        <f>Data!M128</f>
        <v>99</v>
      </c>
      <c r="S42">
        <f>Data!N128</f>
        <v>99</v>
      </c>
      <c r="T42">
        <f>Data!O128</f>
        <v>99</v>
      </c>
      <c r="U42">
        <f>Data!P128</f>
        <v>99</v>
      </c>
      <c r="V42">
        <f>Data!Q128</f>
        <v>99</v>
      </c>
      <c r="W42">
        <f>Data!R128</f>
        <v>99</v>
      </c>
      <c r="X42" s="127">
        <f>Data!S128</f>
        <v>99</v>
      </c>
      <c r="Y42" s="127"/>
      <c r="AK42" s="127"/>
    </row>
    <row r="43" spans="1:42" hidden="1" outlineLevel="1" x14ac:dyDescent="0.25">
      <c r="A43" s="17" t="s">
        <v>0</v>
      </c>
      <c r="B43" s="17"/>
      <c r="C43" s="11">
        <f>INDEX($S43:$AD43,$A$1)</f>
        <v>0</v>
      </c>
      <c r="D43" s="11">
        <f>INDEX($G43:$R43,$A$1)</f>
        <v>56</v>
      </c>
      <c r="E43" s="14">
        <f>C43/D43-1</f>
        <v>-1</v>
      </c>
      <c r="G43">
        <f>Data!B74</f>
        <v>50</v>
      </c>
      <c r="H43">
        <f>Data!C74</f>
        <v>55</v>
      </c>
      <c r="I43">
        <f>Data!D74</f>
        <v>63</v>
      </c>
      <c r="J43">
        <f>Data!E74</f>
        <v>62</v>
      </c>
      <c r="K43">
        <f>Data!F74</f>
        <v>60</v>
      </c>
      <c r="L43" s="4">
        <f>Data!G74</f>
        <v>56</v>
      </c>
      <c r="M43">
        <f>Data!H74</f>
        <v>53</v>
      </c>
      <c r="N43">
        <f>Data!I74</f>
        <v>48</v>
      </c>
      <c r="O43">
        <f>Data!J74</f>
        <v>43</v>
      </c>
      <c r="R43" s="4"/>
      <c r="Y43" s="127"/>
      <c r="AK43" s="127"/>
    </row>
    <row r="44" spans="1:42" hidden="1" outlineLevel="1" x14ac:dyDescent="0.25">
      <c r="A44" s="17" t="s">
        <v>2</v>
      </c>
      <c r="B44" s="17"/>
      <c r="C44" s="11">
        <f>SUM($S44:INDEX($S44:$AD44,$A$1))</f>
        <v>0</v>
      </c>
      <c r="D44" s="11">
        <f>SUM($G44:INDEX($G44:$R44,$A$1))</f>
        <v>212</v>
      </c>
      <c r="E44" s="14">
        <f>C44/D44-1</f>
        <v>-1</v>
      </c>
      <c r="G44">
        <f>Data!B83</f>
        <v>31</v>
      </c>
      <c r="H44">
        <f>Data!C83</f>
        <v>21</v>
      </c>
      <c r="I44">
        <f>Data!D83</f>
        <v>38</v>
      </c>
      <c r="J44">
        <f>Data!E83</f>
        <v>44</v>
      </c>
      <c r="K44">
        <f>Data!F83</f>
        <v>41</v>
      </c>
      <c r="L44" s="4">
        <f>Data!G83</f>
        <v>37</v>
      </c>
      <c r="M44">
        <f>Data!H83</f>
        <v>37</v>
      </c>
      <c r="N44">
        <f>Data!I83</f>
        <v>36</v>
      </c>
      <c r="O44">
        <f>Data!J83</f>
        <v>34</v>
      </c>
      <c r="R44" s="4"/>
      <c r="Y44" s="127"/>
      <c r="AK44" s="127"/>
    </row>
    <row r="45" spans="1:42" hidden="1" outlineLevel="1" x14ac:dyDescent="0.25">
      <c r="A45" s="17" t="s">
        <v>3</v>
      </c>
      <c r="B45" s="17"/>
      <c r="C45" s="48" t="str">
        <f>IFERROR(C44/SUM($S43:INDEX($S43:$AD43,$A$1)),"-")</f>
        <v>-</v>
      </c>
      <c r="D45" s="14">
        <f>D44/SUM($G43:INDEX($G43:$R43,$A$1))</f>
        <v>0.61271676300578037</v>
      </c>
      <c r="E45" s="48" t="str">
        <f>IFERROR(C45/D45-1,"-")</f>
        <v>-</v>
      </c>
      <c r="G45" s="23">
        <f t="shared" ref="G45:X45" si="64">IFERROR(G44/G43,0)</f>
        <v>0.62</v>
      </c>
      <c r="H45" s="23">
        <f t="shared" si="64"/>
        <v>0.38181818181818183</v>
      </c>
      <c r="I45" s="23">
        <f t="shared" si="64"/>
        <v>0.60317460317460314</v>
      </c>
      <c r="J45" s="23">
        <f t="shared" si="64"/>
        <v>0.70967741935483875</v>
      </c>
      <c r="K45" s="23">
        <f t="shared" si="64"/>
        <v>0.68333333333333335</v>
      </c>
      <c r="L45" s="41">
        <f t="shared" si="64"/>
        <v>0.6607142857142857</v>
      </c>
      <c r="M45" s="23">
        <f t="shared" si="64"/>
        <v>0.69811320754716977</v>
      </c>
      <c r="N45" s="23">
        <f t="shared" si="64"/>
        <v>0.75</v>
      </c>
      <c r="O45" s="23">
        <f t="shared" si="64"/>
        <v>0.79069767441860461</v>
      </c>
      <c r="P45" s="23">
        <f t="shared" si="64"/>
        <v>0</v>
      </c>
      <c r="Q45" s="23">
        <f t="shared" si="64"/>
        <v>0</v>
      </c>
      <c r="R45" s="41">
        <f t="shared" si="64"/>
        <v>0</v>
      </c>
      <c r="S45" s="23">
        <f t="shared" si="64"/>
        <v>0</v>
      </c>
      <c r="T45" s="23">
        <f t="shared" si="64"/>
        <v>0</v>
      </c>
      <c r="U45" s="23">
        <f t="shared" si="64"/>
        <v>0</v>
      </c>
      <c r="V45" s="23">
        <f t="shared" si="64"/>
        <v>0</v>
      </c>
      <c r="W45" s="23">
        <f t="shared" si="64"/>
        <v>0</v>
      </c>
      <c r="X45" s="129">
        <f t="shared" si="64"/>
        <v>0</v>
      </c>
      <c r="Y45" s="129"/>
      <c r="AE45" s="23"/>
      <c r="AF45" s="23"/>
      <c r="AG45" s="23"/>
      <c r="AH45" s="23"/>
      <c r="AI45" s="23"/>
      <c r="AJ45" s="129"/>
      <c r="AK45" s="129"/>
    </row>
    <row r="46" spans="1:42" hidden="1" outlineLevel="1" x14ac:dyDescent="0.25">
      <c r="A46" s="17" t="s">
        <v>4</v>
      </c>
      <c r="B46" s="17"/>
      <c r="C46" s="11">
        <f>SUM($S46:INDEX($S46:$AD46,$A$1))</f>
        <v>-4</v>
      </c>
      <c r="D46" s="11">
        <f>SUM($G46:INDEX($G46:$R46,$A$1))</f>
        <v>502</v>
      </c>
      <c r="E46" s="14">
        <f>C46/D46-1</f>
        <v>-1.0079681274900398</v>
      </c>
      <c r="G46">
        <f>Data!B47</f>
        <v>78</v>
      </c>
      <c r="H46">
        <f>Data!C47</f>
        <v>56</v>
      </c>
      <c r="I46">
        <f>Data!D47</f>
        <v>93</v>
      </c>
      <c r="J46">
        <f>Data!E47</f>
        <v>106</v>
      </c>
      <c r="K46">
        <f>Data!F47</f>
        <v>73</v>
      </c>
      <c r="L46" s="4">
        <f>Data!G47</f>
        <v>96</v>
      </c>
      <c r="M46">
        <f>Data!H47</f>
        <v>78</v>
      </c>
      <c r="N46">
        <f>Data!I47</f>
        <v>78</v>
      </c>
      <c r="O46">
        <f>Data!J47</f>
        <v>116</v>
      </c>
      <c r="P46">
        <f>Data!K47</f>
        <v>-13</v>
      </c>
      <c r="Q46">
        <f>Data!L47</f>
        <v>-1</v>
      </c>
      <c r="R46" s="4">
        <f>Data!M47</f>
        <v>0</v>
      </c>
      <c r="S46">
        <f>Data!N47</f>
        <v>-1</v>
      </c>
      <c r="T46">
        <f>Data!O47</f>
        <v>0</v>
      </c>
      <c r="U46">
        <f>Data!P47</f>
        <v>-1</v>
      </c>
      <c r="V46">
        <f>Data!Q47</f>
        <v>0</v>
      </c>
      <c r="W46">
        <f>Data!R47</f>
        <v>0</v>
      </c>
      <c r="X46" s="127">
        <f>Data!S47</f>
        <v>-2</v>
      </c>
      <c r="Y46" s="127"/>
      <c r="AH46">
        <f>Data!$AQ$47</f>
        <v>-1</v>
      </c>
      <c r="AK46" s="127"/>
    </row>
    <row r="47" spans="1:42" hidden="1" outlineLevel="1" x14ac:dyDescent="0.25">
      <c r="A47" s="17" t="s">
        <v>5</v>
      </c>
      <c r="B47" s="17"/>
      <c r="C47" s="49" t="str">
        <f>IFERROR(C46/C44,"-")</f>
        <v>-</v>
      </c>
      <c r="D47" s="38">
        <f>D46/D44</f>
        <v>2.3679245283018866</v>
      </c>
      <c r="E47" s="48" t="str">
        <f>IFERROR(C47/D47-1,"-")</f>
        <v>-</v>
      </c>
      <c r="G47" s="39">
        <f t="shared" ref="G47:X47" si="65">IFERROR(G46/G44,0)</f>
        <v>2.5161290322580645</v>
      </c>
      <c r="H47" s="39">
        <f t="shared" si="65"/>
        <v>2.6666666666666665</v>
      </c>
      <c r="I47" s="39">
        <f t="shared" si="65"/>
        <v>2.4473684210526314</v>
      </c>
      <c r="J47" s="39">
        <f t="shared" si="65"/>
        <v>2.4090909090909092</v>
      </c>
      <c r="K47" s="39">
        <f t="shared" si="65"/>
        <v>1.7804878048780488</v>
      </c>
      <c r="L47" s="47">
        <f t="shared" si="65"/>
        <v>2.5945945945945947</v>
      </c>
      <c r="M47" s="39">
        <f t="shared" si="65"/>
        <v>2.1081081081081079</v>
      </c>
      <c r="N47" s="39">
        <f t="shared" si="65"/>
        <v>2.1666666666666665</v>
      </c>
      <c r="O47" s="39">
        <f t="shared" si="65"/>
        <v>3.4117647058823528</v>
      </c>
      <c r="P47" s="39">
        <f t="shared" si="65"/>
        <v>0</v>
      </c>
      <c r="Q47" s="39">
        <f t="shared" si="65"/>
        <v>0</v>
      </c>
      <c r="R47" s="47">
        <f t="shared" si="65"/>
        <v>0</v>
      </c>
      <c r="S47" s="39">
        <f t="shared" si="65"/>
        <v>0</v>
      </c>
      <c r="T47" s="39">
        <f t="shared" si="65"/>
        <v>0</v>
      </c>
      <c r="U47" s="39">
        <f t="shared" si="65"/>
        <v>0</v>
      </c>
      <c r="V47" s="39">
        <f t="shared" si="65"/>
        <v>0</v>
      </c>
      <c r="W47" s="39">
        <f t="shared" si="65"/>
        <v>0</v>
      </c>
      <c r="X47" s="136">
        <f t="shared" si="65"/>
        <v>0</v>
      </c>
      <c r="Y47" s="136"/>
      <c r="AE47" s="39"/>
      <c r="AF47" s="39"/>
      <c r="AG47" s="39"/>
      <c r="AH47" s="39"/>
      <c r="AI47" s="39"/>
      <c r="AJ47" s="136"/>
      <c r="AK47" s="136"/>
    </row>
    <row r="48" spans="1:42" hidden="1" outlineLevel="1" x14ac:dyDescent="0.25">
      <c r="A48" s="17" t="s">
        <v>6</v>
      </c>
      <c r="B48" s="17"/>
      <c r="C48" s="11">
        <f>SUM($S48:INDEX($S48:$AD48,$A$1))</f>
        <v>-62.912999999999997</v>
      </c>
      <c r="D48" s="11">
        <f>SUM($G48:INDEX($G48:$R48,$A$1))</f>
        <v>9060.0509999999977</v>
      </c>
      <c r="E48" s="14">
        <f>C48/D48-1</f>
        <v>-1.0069440006463539</v>
      </c>
      <c r="G48" s="11">
        <f>Data!B18</f>
        <v>1521.5339999999999</v>
      </c>
      <c r="H48" s="11">
        <f>Data!C18</f>
        <v>828.87200000000018</v>
      </c>
      <c r="I48" s="11">
        <f>Data!D18</f>
        <v>1914.7899999999993</v>
      </c>
      <c r="J48" s="11">
        <f>Data!E18</f>
        <v>1859.7819999999999</v>
      </c>
      <c r="K48" s="11">
        <f>Data!F18</f>
        <v>1073.4869999999999</v>
      </c>
      <c r="L48" s="50">
        <f>Data!G18</f>
        <v>1861.5859999999989</v>
      </c>
      <c r="M48" s="11">
        <f>Data!H18</f>
        <v>1736.5470000000003</v>
      </c>
      <c r="N48" s="11">
        <f>Data!I18</f>
        <v>1318.239</v>
      </c>
      <c r="O48" s="11">
        <f>Data!J18</f>
        <v>2298.2710000000002</v>
      </c>
      <c r="P48" s="11">
        <f>Data!K18</f>
        <v>-164.37100000000001</v>
      </c>
      <c r="Q48" s="11">
        <f>Data!L18</f>
        <v>-10.186</v>
      </c>
      <c r="R48" s="50">
        <f>Data!M18</f>
        <v>0</v>
      </c>
      <c r="S48" s="11">
        <f>Data!N18</f>
        <v>-22.065000000000001</v>
      </c>
      <c r="T48" s="11">
        <f>Data!O18</f>
        <v>0</v>
      </c>
      <c r="U48" s="11">
        <f>Data!P18</f>
        <v>-17.437999999999999</v>
      </c>
      <c r="V48" s="11">
        <f>Data!Q18</f>
        <v>0</v>
      </c>
      <c r="W48" s="11">
        <f>Data!R18</f>
        <v>0</v>
      </c>
      <c r="X48" s="131">
        <f>Data!S18</f>
        <v>-23.41</v>
      </c>
      <c r="Y48" s="131"/>
      <c r="AE48" s="11"/>
      <c r="AF48" s="11"/>
      <c r="AG48" s="11"/>
      <c r="AH48" s="11">
        <f>Data!$AQ$18</f>
        <v>-17.22</v>
      </c>
      <c r="AI48" s="11">
        <f>Data!AR18</f>
        <v>75.900000000000006</v>
      </c>
      <c r="AJ48" s="131">
        <f>Data!AS18</f>
        <v>117.19</v>
      </c>
      <c r="AK48" s="131"/>
    </row>
    <row r="49" spans="1:42" hidden="1" outlineLevel="1" x14ac:dyDescent="0.25">
      <c r="A49" s="17" t="s">
        <v>7</v>
      </c>
      <c r="B49" s="17"/>
      <c r="C49" s="38">
        <f>C48/C46</f>
        <v>15.728249999999999</v>
      </c>
      <c r="D49" s="38">
        <f>D48/D46</f>
        <v>18.047910358565733</v>
      </c>
      <c r="E49" s="14">
        <f>C49/D49-1</f>
        <v>-0.12852791888257575</v>
      </c>
      <c r="G49" s="6">
        <f t="shared" ref="G49:X49" si="66">IFERROR(G48/G46,0)</f>
        <v>19.506846153846151</v>
      </c>
      <c r="H49" s="6">
        <f t="shared" si="66"/>
        <v>14.801285714285717</v>
      </c>
      <c r="I49" s="6">
        <f t="shared" si="66"/>
        <v>20.58913978494623</v>
      </c>
      <c r="J49" s="6">
        <f t="shared" si="66"/>
        <v>17.545113207547168</v>
      </c>
      <c r="K49" s="6">
        <f t="shared" si="66"/>
        <v>14.705301369863012</v>
      </c>
      <c r="L49" s="44">
        <f t="shared" si="66"/>
        <v>19.39152083333332</v>
      </c>
      <c r="M49" s="6">
        <f t="shared" si="66"/>
        <v>22.263423076923079</v>
      </c>
      <c r="N49" s="6">
        <f t="shared" si="66"/>
        <v>16.900500000000001</v>
      </c>
      <c r="O49" s="6">
        <f t="shared" si="66"/>
        <v>19.812681034482761</v>
      </c>
      <c r="P49" s="6">
        <f t="shared" si="66"/>
        <v>12.643923076923077</v>
      </c>
      <c r="Q49" s="6">
        <f t="shared" si="66"/>
        <v>10.186</v>
      </c>
      <c r="R49" s="44">
        <f t="shared" si="66"/>
        <v>0</v>
      </c>
      <c r="S49" s="6">
        <f t="shared" si="66"/>
        <v>22.065000000000001</v>
      </c>
      <c r="T49" s="6">
        <f t="shared" si="66"/>
        <v>0</v>
      </c>
      <c r="U49" s="6">
        <f t="shared" si="66"/>
        <v>17.437999999999999</v>
      </c>
      <c r="V49" s="6">
        <f t="shared" si="66"/>
        <v>0</v>
      </c>
      <c r="W49" s="6">
        <f t="shared" si="66"/>
        <v>0</v>
      </c>
      <c r="X49" s="132">
        <f t="shared" si="66"/>
        <v>11.705</v>
      </c>
      <c r="Y49" s="132"/>
      <c r="AE49" s="6"/>
      <c r="AF49" s="6"/>
      <c r="AG49" s="6"/>
      <c r="AH49" s="6"/>
      <c r="AI49" s="6"/>
      <c r="AJ49" s="132"/>
      <c r="AK49" s="132"/>
    </row>
    <row r="50" spans="1:42" hidden="1" outlineLevel="1" x14ac:dyDescent="0.25">
      <c r="A50" s="17" t="s">
        <v>8</v>
      </c>
      <c r="B50" s="17"/>
      <c r="C50" s="49" t="str">
        <f>IFERROR(C48/SUM($S43:INDEX($S43:$AD43,$A$1)),"-")</f>
        <v>-</v>
      </c>
      <c r="D50" s="38">
        <f>D48/SUM($G43:INDEX($G43:$R43,$A$1))</f>
        <v>26.185118497109819</v>
      </c>
      <c r="E50" s="48" t="str">
        <f>IFERROR(C50/D50-1,"-")</f>
        <v>-</v>
      </c>
      <c r="G50" s="6">
        <f>IFERROR(G48/G43,0)</f>
        <v>30.430679999999999</v>
      </c>
      <c r="H50" s="6">
        <f t="shared" ref="H50:X50" si="67">IFERROR(H48/H43,0)</f>
        <v>15.070400000000003</v>
      </c>
      <c r="I50" s="6">
        <f t="shared" si="67"/>
        <v>30.393492063492051</v>
      </c>
      <c r="J50" s="6">
        <f t="shared" si="67"/>
        <v>29.99648387096774</v>
      </c>
      <c r="K50" s="6">
        <f t="shared" si="67"/>
        <v>17.891449999999999</v>
      </c>
      <c r="L50" s="44">
        <f t="shared" si="67"/>
        <v>33.242607142857125</v>
      </c>
      <c r="M50" s="6">
        <f t="shared" si="67"/>
        <v>32.765037735849063</v>
      </c>
      <c r="N50" s="6">
        <f t="shared" si="67"/>
        <v>27.463312500000001</v>
      </c>
      <c r="O50" s="6">
        <f t="shared" si="67"/>
        <v>53.44816279069768</v>
      </c>
      <c r="P50" s="6">
        <f t="shared" si="67"/>
        <v>0</v>
      </c>
      <c r="Q50" s="6">
        <f t="shared" si="67"/>
        <v>0</v>
      </c>
      <c r="R50" s="44">
        <f t="shared" si="67"/>
        <v>0</v>
      </c>
      <c r="S50" s="6">
        <f t="shared" si="67"/>
        <v>0</v>
      </c>
      <c r="T50" s="6">
        <f t="shared" si="67"/>
        <v>0</v>
      </c>
      <c r="U50" s="6">
        <f t="shared" si="67"/>
        <v>0</v>
      </c>
      <c r="V50" s="6">
        <f t="shared" si="67"/>
        <v>0</v>
      </c>
      <c r="W50" s="6">
        <f t="shared" si="67"/>
        <v>0</v>
      </c>
      <c r="X50" s="132">
        <f t="shared" si="67"/>
        <v>0</v>
      </c>
      <c r="Y50" s="132"/>
      <c r="AE50" s="6"/>
      <c r="AF50" s="6"/>
      <c r="AG50" s="6"/>
      <c r="AH50" s="6"/>
      <c r="AI50" s="6"/>
      <c r="AJ50" s="132"/>
      <c r="AK50" s="132"/>
    </row>
    <row r="51" spans="1:42" hidden="1" outlineLevel="1" x14ac:dyDescent="0.25">
      <c r="A51" s="17" t="s">
        <v>9</v>
      </c>
      <c r="B51" s="17"/>
      <c r="C51" s="49" t="str">
        <f>IFERROR(C48/C44,"-")</f>
        <v>-</v>
      </c>
      <c r="D51" s="38">
        <f>D48/D44</f>
        <v>42.736089622641501</v>
      </c>
      <c r="E51" s="48" t="str">
        <f>IFERROR(C51/D51-1,"-")</f>
        <v>-</v>
      </c>
      <c r="G51" s="6">
        <f>IFERROR(G48/G44,0)</f>
        <v>49.081741935483869</v>
      </c>
      <c r="H51" s="6">
        <f t="shared" ref="H51:X51" si="68">IFERROR(H48/H44,0)</f>
        <v>39.470095238095247</v>
      </c>
      <c r="I51" s="6">
        <f t="shared" si="68"/>
        <v>50.389210526315772</v>
      </c>
      <c r="J51" s="6">
        <f t="shared" si="68"/>
        <v>42.267772727272728</v>
      </c>
      <c r="K51" s="6">
        <f t="shared" si="68"/>
        <v>26.182609756097559</v>
      </c>
      <c r="L51" s="44">
        <f t="shared" si="68"/>
        <v>50.313135135135106</v>
      </c>
      <c r="M51" s="6">
        <f t="shared" si="68"/>
        <v>46.93370270270271</v>
      </c>
      <c r="N51" s="6">
        <f t="shared" si="68"/>
        <v>36.617750000000001</v>
      </c>
      <c r="O51" s="6">
        <f t="shared" si="68"/>
        <v>67.596205882352947</v>
      </c>
      <c r="P51" s="6">
        <f t="shared" si="68"/>
        <v>0</v>
      </c>
      <c r="Q51" s="6">
        <f t="shared" si="68"/>
        <v>0</v>
      </c>
      <c r="R51" s="44">
        <f t="shared" si="68"/>
        <v>0</v>
      </c>
      <c r="S51" s="6">
        <f t="shared" si="68"/>
        <v>0</v>
      </c>
      <c r="T51" s="6">
        <f t="shared" si="68"/>
        <v>0</v>
      </c>
      <c r="U51" s="6">
        <f t="shared" si="68"/>
        <v>0</v>
      </c>
      <c r="V51" s="6">
        <f t="shared" si="68"/>
        <v>0</v>
      </c>
      <c r="W51" s="6">
        <f t="shared" si="68"/>
        <v>0</v>
      </c>
      <c r="X51" s="132">
        <f t="shared" si="68"/>
        <v>0</v>
      </c>
      <c r="Y51" s="132"/>
      <c r="AE51" s="6"/>
      <c r="AF51" s="6"/>
      <c r="AG51" s="6"/>
      <c r="AH51" s="6"/>
      <c r="AI51" s="6"/>
      <c r="AJ51" s="132"/>
      <c r="AK51" s="132"/>
    </row>
    <row r="52" spans="1:42" hidden="1" outlineLevel="1" x14ac:dyDescent="0.25"/>
    <row r="53" spans="1:42" collapsed="1" x14ac:dyDescent="0.25"/>
    <row r="54" spans="1:42" s="1" customFormat="1" x14ac:dyDescent="0.25">
      <c r="A54" s="1" t="s">
        <v>116</v>
      </c>
      <c r="B54" s="1" t="str">
        <f t="shared" ref="B54:E54" si="69">B28</f>
        <v>YTD Target '17</v>
      </c>
      <c r="C54" s="1" t="str">
        <f t="shared" si="69"/>
        <v>YTD'17</v>
      </c>
      <c r="D54" s="1" t="str">
        <f t="shared" si="69"/>
        <v>YTD'16</v>
      </c>
      <c r="E54" s="1" t="str">
        <f t="shared" si="69"/>
        <v>YoY Growth</v>
      </c>
      <c r="G54" s="1">
        <v>42020</v>
      </c>
      <c r="H54" s="1">
        <v>42051</v>
      </c>
      <c r="I54" s="1">
        <v>42079</v>
      </c>
      <c r="J54" s="1">
        <v>42110</v>
      </c>
      <c r="K54" s="1">
        <v>42140</v>
      </c>
      <c r="L54" s="1">
        <v>42171</v>
      </c>
      <c r="M54" s="1">
        <v>42201</v>
      </c>
      <c r="N54" s="1">
        <v>42232</v>
      </c>
      <c r="O54" s="1">
        <v>42263</v>
      </c>
      <c r="P54" s="1">
        <v>42293</v>
      </c>
      <c r="Q54" s="1">
        <v>42324</v>
      </c>
      <c r="R54" s="1">
        <v>42354</v>
      </c>
      <c r="S54" s="1">
        <v>42385</v>
      </c>
      <c r="T54" s="1">
        <v>42416</v>
      </c>
      <c r="U54" s="1">
        <v>42445</v>
      </c>
      <c r="V54" s="1">
        <v>42476</v>
      </c>
      <c r="W54" s="1">
        <v>42506</v>
      </c>
      <c r="X54" s="128">
        <v>42537</v>
      </c>
      <c r="Y54" s="1">
        <v>42567</v>
      </c>
      <c r="Z54" s="1">
        <v>42598</v>
      </c>
      <c r="AA54" s="1">
        <v>42629</v>
      </c>
      <c r="AB54" s="1">
        <v>42659</v>
      </c>
      <c r="AC54" s="1">
        <v>42690</v>
      </c>
      <c r="AD54" s="128">
        <v>42720</v>
      </c>
      <c r="AE54" s="1">
        <f t="shared" ref="AE54:AP54" si="70">AE2</f>
        <v>42751</v>
      </c>
      <c r="AF54" s="1">
        <f t="shared" si="70"/>
        <v>42782</v>
      </c>
      <c r="AG54" s="1">
        <f t="shared" si="70"/>
        <v>42810</v>
      </c>
      <c r="AH54" s="1">
        <f t="shared" si="70"/>
        <v>42841</v>
      </c>
      <c r="AI54" s="1">
        <f t="shared" si="70"/>
        <v>42871</v>
      </c>
      <c r="AJ54" s="128">
        <f t="shared" si="70"/>
        <v>42902</v>
      </c>
      <c r="AK54" s="1">
        <f t="shared" si="70"/>
        <v>42932</v>
      </c>
      <c r="AL54" s="1">
        <f t="shared" si="70"/>
        <v>42963</v>
      </c>
      <c r="AM54" s="1">
        <f t="shared" si="70"/>
        <v>42994</v>
      </c>
      <c r="AN54" s="1">
        <f t="shared" si="70"/>
        <v>43024</v>
      </c>
      <c r="AO54" s="1">
        <f t="shared" si="70"/>
        <v>43055</v>
      </c>
      <c r="AP54" s="128">
        <f t="shared" si="70"/>
        <v>43085</v>
      </c>
    </row>
    <row r="55" spans="1:42" x14ac:dyDescent="0.25">
      <c r="A55" s="17" t="s">
        <v>1</v>
      </c>
      <c r="B55" s="150">
        <f>INDEX('[5]2017 - 2022 Plan'!$Z$46:$AK$46,1,$A$1)</f>
        <v>150</v>
      </c>
      <c r="C55" s="11">
        <f>INDEX($AE55:$AP55,$A$1)</f>
        <v>208</v>
      </c>
      <c r="D55" s="11"/>
      <c r="E55" s="1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Y55" s="127"/>
      <c r="Z55" s="131">
        <f>Data!U130</f>
        <v>143</v>
      </c>
      <c r="AA55" s="131">
        <f>Data!V130</f>
        <v>140</v>
      </c>
      <c r="AB55" s="131">
        <f>Data!W130</f>
        <v>140</v>
      </c>
      <c r="AC55" s="131">
        <f>Data!X130</f>
        <v>140</v>
      </c>
      <c r="AD55" s="131">
        <f>Data!Y130</f>
        <v>140</v>
      </c>
      <c r="AE55">
        <f>Data!AN130</f>
        <v>208</v>
      </c>
      <c r="AF55" s="3">
        <f>Data!AO130</f>
        <v>208</v>
      </c>
      <c r="AG55" s="3">
        <f>Data!AP130</f>
        <v>208</v>
      </c>
      <c r="AH55" s="3">
        <f>Data!AQ130</f>
        <v>208</v>
      </c>
      <c r="AI55" s="3">
        <f>Data!AR130</f>
        <v>208</v>
      </c>
      <c r="AJ55" s="132">
        <f>Data!AS130</f>
        <v>208</v>
      </c>
      <c r="AK55" s="132">
        <f>Data!AT130</f>
        <v>207</v>
      </c>
      <c r="AL55" s="132">
        <f>Data!AU130</f>
        <v>0</v>
      </c>
      <c r="AM55" s="132">
        <f>Data!AV130</f>
        <v>0</v>
      </c>
      <c r="AN55" s="132">
        <f>Data!AW130</f>
        <v>0</v>
      </c>
      <c r="AO55" s="132">
        <f>Data!AX130</f>
        <v>0</v>
      </c>
      <c r="AP55" s="132">
        <f>Data!AY130</f>
        <v>0</v>
      </c>
    </row>
    <row r="56" spans="1:42" x14ac:dyDescent="0.25">
      <c r="A56" s="17" t="s">
        <v>0</v>
      </c>
      <c r="B56" s="150">
        <f>INDEX('[5]2017 - 2022 Plan'!$Z$47:$AK$47,1,$A$1)</f>
        <v>165</v>
      </c>
      <c r="C56" s="11">
        <f>INDEX($AE56:$AP56,$A$1)</f>
        <v>200</v>
      </c>
      <c r="D56" s="11"/>
      <c r="E56" s="1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Y56" s="127"/>
      <c r="Z56" s="127">
        <f>Data!U$76</f>
        <v>138</v>
      </c>
      <c r="AA56" s="127">
        <f>Data!V$76</f>
        <v>148</v>
      </c>
      <c r="AB56" s="127">
        <f>Data!W$76</f>
        <v>225</v>
      </c>
      <c r="AC56" s="127">
        <f>Data!X$76</f>
        <v>182</v>
      </c>
      <c r="AD56" s="127">
        <f>Data!Y$76</f>
        <v>202</v>
      </c>
      <c r="AE56">
        <f>Data!AN$76</f>
        <v>188</v>
      </c>
      <c r="AF56" s="3">
        <f>Data!AO$76</f>
        <v>201</v>
      </c>
      <c r="AG56" s="3">
        <f>Data!AP$76</f>
        <v>223</v>
      </c>
      <c r="AH56" s="3">
        <f>Data!AQ$76</f>
        <v>199</v>
      </c>
      <c r="AI56" s="3">
        <f>Data!AR$76</f>
        <v>204</v>
      </c>
      <c r="AJ56" s="132">
        <f>Data!AS$76</f>
        <v>200</v>
      </c>
      <c r="AK56" s="132">
        <f>Data!AT$76</f>
        <v>167</v>
      </c>
      <c r="AL56" s="132">
        <f>Data!AU$76</f>
        <v>0</v>
      </c>
      <c r="AM56" s="132">
        <f>Data!AV$76</f>
        <v>0</v>
      </c>
      <c r="AN56" s="132">
        <f>Data!AW$76</f>
        <v>0</v>
      </c>
      <c r="AO56" s="132">
        <f>Data!AX$76</f>
        <v>0</v>
      </c>
      <c r="AP56" s="132">
        <f>Data!AY$76</f>
        <v>0</v>
      </c>
    </row>
    <row r="57" spans="1:42" x14ac:dyDescent="0.25">
      <c r="A57" s="17" t="s">
        <v>2</v>
      </c>
      <c r="B57" s="137" t="e">
        <f ca="1">SUM('[5]2017 - 2022 Plan'!$Z$49:OFFSET('[5]2017 - 2022 Plan'!$Z$49, ,$A$1-1))</f>
        <v>#VALUE!</v>
      </c>
      <c r="C57" s="11">
        <f>SUM($AE57:INDEX($AE57:$AP57,$A$1))</f>
        <v>630</v>
      </c>
      <c r="D57" s="11"/>
      <c r="E57" s="1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Y57" s="127"/>
      <c r="Z57" s="131">
        <f>Data!U85</f>
        <v>100</v>
      </c>
      <c r="AA57" s="131">
        <f>Data!V85</f>
        <v>91</v>
      </c>
      <c r="AB57" s="131">
        <f>Data!W85</f>
        <v>130</v>
      </c>
      <c r="AC57" s="131">
        <f>Data!X85</f>
        <v>112</v>
      </c>
      <c r="AD57" s="131">
        <f>Data!Y85</f>
        <v>141</v>
      </c>
      <c r="AE57">
        <f>Data!AN85</f>
        <v>84</v>
      </c>
      <c r="AF57" s="3">
        <f>Data!AO85</f>
        <v>111</v>
      </c>
      <c r="AG57" s="3">
        <f>Data!AP85</f>
        <v>134</v>
      </c>
      <c r="AH57" s="3">
        <f>Data!AQ85</f>
        <v>121</v>
      </c>
      <c r="AI57" s="3">
        <f>Data!AR85</f>
        <v>99</v>
      </c>
      <c r="AJ57" s="132">
        <f>Data!AS85</f>
        <v>81</v>
      </c>
      <c r="AK57" s="132">
        <f>Data!AT85</f>
        <v>49</v>
      </c>
      <c r="AL57" s="132">
        <f>Data!AU85</f>
        <v>0</v>
      </c>
      <c r="AM57" s="132">
        <f>Data!AV85</f>
        <v>0</v>
      </c>
      <c r="AN57" s="132">
        <f>Data!AW85</f>
        <v>0</v>
      </c>
      <c r="AO57" s="132">
        <f>Data!AX85</f>
        <v>0</v>
      </c>
      <c r="AP57" s="132">
        <f>Data!AY85</f>
        <v>0</v>
      </c>
    </row>
    <row r="58" spans="1:42" x14ac:dyDescent="0.25">
      <c r="A58" s="17" t="s">
        <v>3</v>
      </c>
      <c r="B58" s="151" t="e">
        <f ca="1">B57/SUM('[5]2017 - 2022 Plan'!Z47:OFFSET('[5]2017 - 2022 Plan'!Z47, ,$A$1-1))</f>
        <v>#VALUE!</v>
      </c>
      <c r="C58" s="48">
        <f>IFERROR(C57/SUM($AE56:INDEX($AE56:$AP56,$A$1)),"-")</f>
        <v>0.51851851851851849</v>
      </c>
      <c r="D58" s="14"/>
      <c r="E58" s="48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23"/>
      <c r="T58" s="23"/>
      <c r="U58" s="23"/>
      <c r="V58" s="23"/>
      <c r="W58" s="23"/>
      <c r="X58" s="129"/>
      <c r="Y58" s="129"/>
      <c r="Z58" s="129">
        <f t="shared" ref="Z58:AE58" si="71">Z57/Z56</f>
        <v>0.72463768115942029</v>
      </c>
      <c r="AA58" s="129">
        <f t="shared" si="71"/>
        <v>0.61486486486486491</v>
      </c>
      <c r="AB58" s="129">
        <f t="shared" si="71"/>
        <v>0.57777777777777772</v>
      </c>
      <c r="AC58" s="129">
        <f t="shared" si="71"/>
        <v>0.61538461538461542</v>
      </c>
      <c r="AD58" s="129">
        <f t="shared" si="71"/>
        <v>0.69801980198019797</v>
      </c>
      <c r="AE58" s="23">
        <f t="shared" si="71"/>
        <v>0.44680851063829785</v>
      </c>
      <c r="AF58" s="23">
        <f>IFERROR(AF57/AF56,0)</f>
        <v>0.55223880597014929</v>
      </c>
      <c r="AG58" s="23">
        <f t="shared" ref="AG58:AP58" si="72">IFERROR(AG57/AG56,0)</f>
        <v>0.60089686098654704</v>
      </c>
      <c r="AH58" s="23">
        <f t="shared" si="72"/>
        <v>0.60804020100502509</v>
      </c>
      <c r="AI58" s="23">
        <f t="shared" si="72"/>
        <v>0.48529411764705882</v>
      </c>
      <c r="AJ58" s="23">
        <f t="shared" si="72"/>
        <v>0.40500000000000003</v>
      </c>
      <c r="AK58" s="23">
        <f t="shared" si="72"/>
        <v>0.29341317365269459</v>
      </c>
      <c r="AL58" s="23">
        <f t="shared" si="72"/>
        <v>0</v>
      </c>
      <c r="AM58" s="23">
        <f t="shared" si="72"/>
        <v>0</v>
      </c>
      <c r="AN58" s="23">
        <f t="shared" si="72"/>
        <v>0</v>
      </c>
      <c r="AO58" s="23">
        <f t="shared" si="72"/>
        <v>0</v>
      </c>
      <c r="AP58" s="23">
        <f t="shared" si="72"/>
        <v>0</v>
      </c>
    </row>
    <row r="59" spans="1:42" x14ac:dyDescent="0.25">
      <c r="A59" s="17" t="s">
        <v>4</v>
      </c>
      <c r="B59" s="137" t="e">
        <f>SUM('[5]2017 - 2022 Plan'!Z52:INDEX('[5]2017 - 2022 Plan'!Z52:AK52,,$A$1))</f>
        <v>#REF!</v>
      </c>
      <c r="C59" s="11">
        <f>SUM($AE59:INDEX($AE59:$AP59,$A$1))</f>
        <v>1194</v>
      </c>
      <c r="D59" s="11"/>
      <c r="E59" s="1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Y59" s="127"/>
      <c r="Z59" s="127">
        <f>Data!U49</f>
        <v>210</v>
      </c>
      <c r="AA59" s="127">
        <f>Data!V49</f>
        <v>195</v>
      </c>
      <c r="AB59" s="127">
        <f>Data!W49</f>
        <v>306</v>
      </c>
      <c r="AC59" s="127">
        <f>Data!X49</f>
        <v>201</v>
      </c>
      <c r="AD59" s="127">
        <f>Data!Y49</f>
        <v>283</v>
      </c>
      <c r="AE59">
        <f>Data!AN49</f>
        <v>151</v>
      </c>
      <c r="AF59" s="3">
        <f>Data!AO49</f>
        <v>199</v>
      </c>
      <c r="AG59" s="3">
        <f>Data!AP49</f>
        <v>348</v>
      </c>
      <c r="AH59" s="3">
        <f>Data!AQ49</f>
        <v>231</v>
      </c>
      <c r="AI59" s="3">
        <f>Data!AR49</f>
        <v>183</v>
      </c>
      <c r="AJ59" s="132">
        <f>Data!AS49</f>
        <v>82</v>
      </c>
      <c r="AK59" s="132">
        <f>Data!AT49</f>
        <v>89</v>
      </c>
      <c r="AL59" s="132">
        <f>Data!AU49</f>
        <v>0</v>
      </c>
      <c r="AM59" s="132">
        <f>Data!AV49</f>
        <v>0</v>
      </c>
      <c r="AN59" s="132">
        <f>Data!AW49</f>
        <v>0</v>
      </c>
      <c r="AO59" s="132">
        <f>Data!AX49</f>
        <v>0</v>
      </c>
      <c r="AP59" s="132">
        <f>Data!AY49</f>
        <v>0</v>
      </c>
    </row>
    <row r="60" spans="1:42" x14ac:dyDescent="0.25">
      <c r="A60" s="17" t="s">
        <v>5</v>
      </c>
      <c r="B60" s="144" t="e">
        <f ca="1">B59/B57</f>
        <v>#REF!</v>
      </c>
      <c r="C60" s="49">
        <f>IFERROR(C59/C57,"-")</f>
        <v>1.8952380952380952</v>
      </c>
      <c r="D60" s="38"/>
      <c r="E60" s="48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39"/>
      <c r="T60" s="39"/>
      <c r="U60" s="39"/>
      <c r="V60" s="39"/>
      <c r="W60" s="39"/>
      <c r="X60" s="136"/>
      <c r="Y60" s="136"/>
      <c r="Z60" s="136">
        <f t="shared" ref="Z60:AE60" si="73">IFERROR(Z59/Z57,0)</f>
        <v>2.1</v>
      </c>
      <c r="AA60" s="136">
        <f t="shared" si="73"/>
        <v>2.1428571428571428</v>
      </c>
      <c r="AB60" s="136">
        <f t="shared" si="73"/>
        <v>2.3538461538461539</v>
      </c>
      <c r="AC60" s="136">
        <f t="shared" si="73"/>
        <v>1.7946428571428572</v>
      </c>
      <c r="AD60" s="136">
        <f t="shared" si="73"/>
        <v>2.0070921985815602</v>
      </c>
      <c r="AE60" s="39">
        <f t="shared" si="73"/>
        <v>1.7976190476190477</v>
      </c>
      <c r="AF60" s="39">
        <f t="shared" ref="AF60:AP60" si="74">IFERROR(AF59/AF57,0)</f>
        <v>1.7927927927927927</v>
      </c>
      <c r="AG60" s="39">
        <f t="shared" si="74"/>
        <v>2.5970149253731343</v>
      </c>
      <c r="AH60" s="39">
        <f t="shared" si="74"/>
        <v>1.9090909090909092</v>
      </c>
      <c r="AI60" s="39">
        <f t="shared" si="74"/>
        <v>1.8484848484848484</v>
      </c>
      <c r="AJ60" s="136">
        <f t="shared" si="74"/>
        <v>1.0123456790123457</v>
      </c>
      <c r="AK60" s="136">
        <f t="shared" si="74"/>
        <v>1.8163265306122449</v>
      </c>
      <c r="AL60" s="136">
        <f t="shared" si="74"/>
        <v>0</v>
      </c>
      <c r="AM60" s="136">
        <f t="shared" si="74"/>
        <v>0</v>
      </c>
      <c r="AN60" s="136">
        <f t="shared" si="74"/>
        <v>0</v>
      </c>
      <c r="AO60" s="136">
        <f t="shared" si="74"/>
        <v>0</v>
      </c>
      <c r="AP60" s="136">
        <f t="shared" si="74"/>
        <v>0</v>
      </c>
    </row>
    <row r="61" spans="1:42" x14ac:dyDescent="0.25">
      <c r="A61" s="17" t="s">
        <v>6</v>
      </c>
      <c r="B61" s="137">
        <f>SUM(Data!AN8:INDEX(Data!AN8:AY8,,$A$1))</f>
        <v>21208.275000000001</v>
      </c>
      <c r="C61" s="11">
        <f>SUM($AE61:INDEX($AE61:$AP61,$A$1))</f>
        <v>20886.165000000001</v>
      </c>
      <c r="D61" s="11"/>
      <c r="E61" s="14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11"/>
      <c r="T61" s="11"/>
      <c r="U61" s="11"/>
      <c r="V61" s="11"/>
      <c r="W61" s="11"/>
      <c r="X61" s="131"/>
      <c r="Y61" s="131"/>
      <c r="Z61" s="131">
        <f>Data!U20</f>
        <v>3008.45</v>
      </c>
      <c r="AA61" s="131">
        <f>Data!V20</f>
        <v>3026.7269999999999</v>
      </c>
      <c r="AB61" s="131">
        <f>Data!W20</f>
        <v>4662.5019999999995</v>
      </c>
      <c r="AC61" s="131">
        <f>Data!X20</f>
        <v>3282.4009999999994</v>
      </c>
      <c r="AD61" s="131">
        <f>Data!Y20</f>
        <v>5359.4579999999996</v>
      </c>
      <c r="AE61" s="11">
        <f>Data!AN20</f>
        <v>2313.453</v>
      </c>
      <c r="AF61" s="3">
        <f>Data!AO20</f>
        <v>2976.6620000000003</v>
      </c>
      <c r="AG61" s="3">
        <f>Data!AP20</f>
        <v>6331.84</v>
      </c>
      <c r="AH61" s="3">
        <f>Data!AQ20</f>
        <v>4179.01</v>
      </c>
      <c r="AI61" s="3">
        <f>Data!AR20</f>
        <v>3670.7300000000005</v>
      </c>
      <c r="AJ61" s="132">
        <f>Data!AS20</f>
        <v>1414.4699999999998</v>
      </c>
      <c r="AK61" s="132">
        <f>Data!AT20</f>
        <v>2343.444</v>
      </c>
      <c r="AL61" s="132">
        <f>Data!AU20</f>
        <v>0</v>
      </c>
      <c r="AM61" s="132">
        <f>Data!AV20</f>
        <v>0</v>
      </c>
      <c r="AN61" s="132">
        <f>Data!AW20</f>
        <v>0</v>
      </c>
      <c r="AO61" s="132">
        <f>Data!AX20</f>
        <v>0</v>
      </c>
      <c r="AP61" s="132">
        <f>Data!AY20</f>
        <v>0</v>
      </c>
    </row>
    <row r="62" spans="1:42" x14ac:dyDescent="0.25">
      <c r="A62" s="17" t="s">
        <v>7</v>
      </c>
      <c r="B62" s="144" t="e">
        <f>B61/B59</f>
        <v>#REF!</v>
      </c>
      <c r="C62" s="38">
        <f>C61/C59</f>
        <v>17.492600502512563</v>
      </c>
      <c r="D62" s="38"/>
      <c r="E62" s="1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6"/>
      <c r="T62" s="6"/>
      <c r="U62" s="6"/>
      <c r="V62" s="6"/>
      <c r="W62" s="6"/>
      <c r="X62" s="132"/>
      <c r="Y62" s="132"/>
      <c r="Z62" s="132">
        <f t="shared" ref="Z62:AE62" si="75">IFERROR(Z61/Z59,0)</f>
        <v>14.32595238095238</v>
      </c>
      <c r="AA62" s="132">
        <f t="shared" si="75"/>
        <v>15.521676923076923</v>
      </c>
      <c r="AB62" s="132">
        <f t="shared" si="75"/>
        <v>15.236934640522874</v>
      </c>
      <c r="AC62" s="132">
        <f t="shared" si="75"/>
        <v>16.330353233830841</v>
      </c>
      <c r="AD62" s="132">
        <f t="shared" si="75"/>
        <v>18.938014134275615</v>
      </c>
      <c r="AE62" s="6">
        <f t="shared" si="75"/>
        <v>15.320880794701987</v>
      </c>
      <c r="AF62" s="6">
        <f t="shared" ref="AF62:AP62" si="76">IFERROR(AF61/AF59,0)</f>
        <v>14.958100502512565</v>
      </c>
      <c r="AG62" s="6">
        <f t="shared" si="76"/>
        <v>18.194942528735634</v>
      </c>
      <c r="AH62" s="6">
        <f t="shared" si="76"/>
        <v>18.09095238095238</v>
      </c>
      <c r="AI62" s="6">
        <f t="shared" si="76"/>
        <v>20.058633879781425</v>
      </c>
      <c r="AJ62" s="132">
        <f t="shared" si="76"/>
        <v>17.24963414634146</v>
      </c>
      <c r="AK62" s="132">
        <f t="shared" si="76"/>
        <v>26.330831460674158</v>
      </c>
      <c r="AL62" s="132">
        <f t="shared" si="76"/>
        <v>0</v>
      </c>
      <c r="AM62" s="132">
        <f t="shared" si="76"/>
        <v>0</v>
      </c>
      <c r="AN62" s="132">
        <f t="shared" si="76"/>
        <v>0</v>
      </c>
      <c r="AO62" s="132">
        <f t="shared" si="76"/>
        <v>0</v>
      </c>
      <c r="AP62" s="132">
        <f t="shared" si="76"/>
        <v>0</v>
      </c>
    </row>
    <row r="63" spans="1:42" x14ac:dyDescent="0.25">
      <c r="A63" s="17" t="s">
        <v>8</v>
      </c>
      <c r="B63" s="145">
        <f>B61/B56</f>
        <v>128.535</v>
      </c>
      <c r="C63" s="49">
        <f>IFERROR(C61/SUM($AE56:INDEX($AE56:$AP56,$A$1)),"-")</f>
        <v>17.19025925925926</v>
      </c>
      <c r="D63" s="38"/>
      <c r="E63" s="48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6"/>
      <c r="T63" s="6"/>
      <c r="U63" s="6"/>
      <c r="V63" s="6"/>
      <c r="W63" s="6"/>
      <c r="X63" s="132"/>
      <c r="Y63" s="132"/>
      <c r="Z63" s="132">
        <f t="shared" ref="Z63:AE63" si="77">IFERROR(Z61/Z56,0)</f>
        <v>21.800362318840577</v>
      </c>
      <c r="AA63" s="132">
        <f t="shared" si="77"/>
        <v>20.450858108108108</v>
      </c>
      <c r="AB63" s="132">
        <f t="shared" si="77"/>
        <v>20.72223111111111</v>
      </c>
      <c r="AC63" s="132">
        <f t="shared" si="77"/>
        <v>18.035170329670326</v>
      </c>
      <c r="AD63" s="132">
        <f t="shared" si="77"/>
        <v>26.531970297029702</v>
      </c>
      <c r="AE63" s="6">
        <f t="shared" si="77"/>
        <v>12.305601063829787</v>
      </c>
      <c r="AF63" s="6">
        <f t="shared" ref="AF63:AP63" si="78">IFERROR(AF61/AF56,0)</f>
        <v>14.809263681592041</v>
      </c>
      <c r="AG63" s="6">
        <f t="shared" si="78"/>
        <v>28.393901345291482</v>
      </c>
      <c r="AH63" s="6">
        <f t="shared" si="78"/>
        <v>21.000050251256283</v>
      </c>
      <c r="AI63" s="6">
        <f t="shared" si="78"/>
        <v>17.993774509803924</v>
      </c>
      <c r="AJ63" s="132">
        <f t="shared" si="78"/>
        <v>7.0723499999999992</v>
      </c>
      <c r="AK63" s="132">
        <f t="shared" si="78"/>
        <v>14.03259880239521</v>
      </c>
      <c r="AL63" s="132">
        <f t="shared" si="78"/>
        <v>0</v>
      </c>
      <c r="AM63" s="132">
        <f t="shared" si="78"/>
        <v>0</v>
      </c>
      <c r="AN63" s="132">
        <f t="shared" si="78"/>
        <v>0</v>
      </c>
      <c r="AO63" s="132">
        <f t="shared" si="78"/>
        <v>0</v>
      </c>
      <c r="AP63" s="132">
        <f t="shared" si="78"/>
        <v>0</v>
      </c>
    </row>
    <row r="64" spans="1:42" x14ac:dyDescent="0.25">
      <c r="A64" s="17" t="s">
        <v>9</v>
      </c>
      <c r="B64" s="145" t="e">
        <f ca="1">B61/B57</f>
        <v>#VALUE!</v>
      </c>
      <c r="C64" s="49">
        <f>IFERROR(C61/C57,"-")</f>
        <v>33.152642857142858</v>
      </c>
      <c r="D64" s="38"/>
      <c r="E64" s="48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6"/>
      <c r="T64" s="6"/>
      <c r="U64" s="6"/>
      <c r="V64" s="6"/>
      <c r="W64" s="6"/>
      <c r="X64" s="132"/>
      <c r="Y64" s="132"/>
      <c r="Z64" s="132">
        <f t="shared" ref="Z64:AE64" si="79">IFERROR(Z61/Z57,0)</f>
        <v>30.084499999999998</v>
      </c>
      <c r="AA64" s="132">
        <f t="shared" si="79"/>
        <v>33.260736263736263</v>
      </c>
      <c r="AB64" s="132">
        <f t="shared" si="79"/>
        <v>35.865399999999994</v>
      </c>
      <c r="AC64" s="132">
        <f t="shared" si="79"/>
        <v>29.307151785714279</v>
      </c>
      <c r="AD64" s="132">
        <f t="shared" si="79"/>
        <v>38.010340425531915</v>
      </c>
      <c r="AE64" s="6">
        <f t="shared" si="79"/>
        <v>27.541107142857143</v>
      </c>
      <c r="AF64" s="6">
        <f t="shared" ref="AF64:AP64" si="80">IFERROR(AF61/AF57,0)</f>
        <v>26.816774774774778</v>
      </c>
      <c r="AG64" s="6">
        <f t="shared" si="80"/>
        <v>47.252537313432839</v>
      </c>
      <c r="AH64" s="6">
        <f t="shared" si="80"/>
        <v>34.537272727272729</v>
      </c>
      <c r="AI64" s="6">
        <f t="shared" si="80"/>
        <v>37.078080808080813</v>
      </c>
      <c r="AJ64" s="132">
        <f t="shared" si="80"/>
        <v>17.462592592592589</v>
      </c>
      <c r="AK64" s="132">
        <f t="shared" si="80"/>
        <v>47.825387755102042</v>
      </c>
      <c r="AL64" s="132">
        <f t="shared" si="80"/>
        <v>0</v>
      </c>
      <c r="AM64" s="132">
        <f t="shared" si="80"/>
        <v>0</v>
      </c>
      <c r="AN64" s="132">
        <f t="shared" si="80"/>
        <v>0</v>
      </c>
      <c r="AO64" s="132">
        <f t="shared" si="80"/>
        <v>0</v>
      </c>
      <c r="AP64" s="132">
        <f t="shared" si="80"/>
        <v>0</v>
      </c>
    </row>
    <row r="67" spans="1:42" s="1" customFormat="1" x14ac:dyDescent="0.25">
      <c r="A67" s="1" t="s">
        <v>208</v>
      </c>
      <c r="B67" s="1" t="str">
        <f t="shared" ref="B67:E67" si="81">B15</f>
        <v>YTD Target '17</v>
      </c>
      <c r="C67" s="1" t="str">
        <f t="shared" si="81"/>
        <v>YTD'17</v>
      </c>
      <c r="D67" s="1" t="str">
        <f t="shared" si="81"/>
        <v>YTD'16</v>
      </c>
      <c r="E67" s="1" t="str">
        <f t="shared" si="81"/>
        <v>YoY Growth</v>
      </c>
      <c r="G67" s="1">
        <v>42020</v>
      </c>
      <c r="H67" s="1">
        <v>42051</v>
      </c>
      <c r="I67" s="1">
        <v>42079</v>
      </c>
      <c r="J67" s="1">
        <v>42110</v>
      </c>
      <c r="K67" s="1">
        <v>42140</v>
      </c>
      <c r="L67" s="1">
        <v>42171</v>
      </c>
      <c r="M67" s="1">
        <v>42201</v>
      </c>
      <c r="N67" s="1">
        <v>42232</v>
      </c>
      <c r="O67" s="1">
        <v>42263</v>
      </c>
      <c r="P67" s="1">
        <v>42293</v>
      </c>
      <c r="Q67" s="1">
        <v>42324</v>
      </c>
      <c r="R67" s="1">
        <v>42354</v>
      </c>
      <c r="S67" s="1">
        <v>42385</v>
      </c>
      <c r="T67" s="1">
        <v>42416</v>
      </c>
      <c r="U67" s="1">
        <v>42445</v>
      </c>
      <c r="V67" s="1">
        <v>42476</v>
      </c>
      <c r="W67" s="1">
        <v>42506</v>
      </c>
      <c r="X67" s="128">
        <v>42537</v>
      </c>
      <c r="Y67" s="1">
        <v>42567</v>
      </c>
      <c r="Z67" s="1">
        <v>42598</v>
      </c>
      <c r="AA67" s="1">
        <v>42629</v>
      </c>
      <c r="AB67" s="1">
        <v>42659</v>
      </c>
      <c r="AC67" s="1">
        <v>42690</v>
      </c>
      <c r="AD67" s="128">
        <v>42720</v>
      </c>
      <c r="AE67" s="1">
        <f t="shared" ref="AE67:AP67" si="82">AE2</f>
        <v>42751</v>
      </c>
      <c r="AF67" s="1">
        <f t="shared" si="82"/>
        <v>42782</v>
      </c>
      <c r="AG67" s="1">
        <f t="shared" si="82"/>
        <v>42810</v>
      </c>
      <c r="AH67" s="1">
        <f t="shared" si="82"/>
        <v>42841</v>
      </c>
      <c r="AI67" s="1">
        <f t="shared" si="82"/>
        <v>42871</v>
      </c>
      <c r="AJ67" s="128">
        <f t="shared" si="82"/>
        <v>42902</v>
      </c>
      <c r="AK67" s="1">
        <f t="shared" si="82"/>
        <v>42932</v>
      </c>
      <c r="AL67" s="1">
        <f t="shared" si="82"/>
        <v>42963</v>
      </c>
      <c r="AM67" s="1">
        <f t="shared" si="82"/>
        <v>42994</v>
      </c>
      <c r="AN67" s="1">
        <f t="shared" si="82"/>
        <v>43024</v>
      </c>
      <c r="AO67" s="1">
        <f t="shared" si="82"/>
        <v>43055</v>
      </c>
      <c r="AP67" s="128">
        <f t="shared" si="82"/>
        <v>43085</v>
      </c>
    </row>
    <row r="68" spans="1:42" x14ac:dyDescent="0.25">
      <c r="A68" s="17" t="s">
        <v>1</v>
      </c>
      <c r="B68" s="150">
        <f>INDEX('[5]2017 - 2022 Plan'!$Z$72:$AK$72,1,$A$1)</f>
        <v>21</v>
      </c>
      <c r="C68" s="11">
        <f>INDEX($AE68:$AP68,$A$1)</f>
        <v>37</v>
      </c>
      <c r="D68" s="11"/>
      <c r="E68" s="1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50"/>
      <c r="AA68" s="50"/>
      <c r="AB68" s="50"/>
      <c r="AC68" s="50"/>
      <c r="AD68" s="50"/>
      <c r="AE68" s="6">
        <f>Data!AN132</f>
        <v>0</v>
      </c>
      <c r="AF68" s="6">
        <f>Data!AO132</f>
        <v>0</v>
      </c>
      <c r="AG68" s="3">
        <f>Data!AP132</f>
        <v>36</v>
      </c>
      <c r="AH68" s="3">
        <f>Data!AQ132</f>
        <v>36</v>
      </c>
      <c r="AI68" s="3">
        <f>Data!AR132</f>
        <v>36</v>
      </c>
      <c r="AJ68" s="132">
        <f>Data!AS132</f>
        <v>37</v>
      </c>
      <c r="AK68" s="132">
        <f>Data!AT132</f>
        <v>38</v>
      </c>
      <c r="AL68" s="132">
        <f>Data!AU132</f>
        <v>0</v>
      </c>
      <c r="AM68" s="132">
        <f>Data!AV132</f>
        <v>0</v>
      </c>
      <c r="AN68" s="132">
        <f>Data!AW132</f>
        <v>0</v>
      </c>
      <c r="AO68" s="132">
        <f>Data!AX132</f>
        <v>0</v>
      </c>
      <c r="AP68" s="132">
        <f>Data!AY132</f>
        <v>0</v>
      </c>
    </row>
    <row r="69" spans="1:42" x14ac:dyDescent="0.25">
      <c r="A69" s="17" t="s">
        <v>0</v>
      </c>
      <c r="B69" s="137">
        <f>INDEX('[5]2017 - 2022 Plan'!$Z$73:$AK$73,1,$A$1)</f>
        <v>21</v>
      </c>
      <c r="C69" s="11">
        <f>INDEX($AE69:$AP69,$A$1)</f>
        <v>41</v>
      </c>
      <c r="D69" s="11"/>
      <c r="E69" s="1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6">
        <f>Data!AN$78</f>
        <v>0</v>
      </c>
      <c r="AF69" s="6">
        <f>Data!AO$78</f>
        <v>0</v>
      </c>
      <c r="AG69" s="3">
        <f>Data!AP$78</f>
        <v>15</v>
      </c>
      <c r="AH69" s="3">
        <f>Data!AQ$78</f>
        <v>28</v>
      </c>
      <c r="AI69" s="3">
        <f>Data!AR$78</f>
        <v>39</v>
      </c>
      <c r="AJ69" s="132">
        <f>Data!AS$78</f>
        <v>41</v>
      </c>
      <c r="AK69" s="132">
        <f>Data!AT$78</f>
        <v>38</v>
      </c>
      <c r="AL69" s="132">
        <f>Data!AU$78</f>
        <v>0</v>
      </c>
      <c r="AM69" s="132">
        <f>Data!AV$78</f>
        <v>0</v>
      </c>
      <c r="AN69" s="132">
        <f>Data!AW$78</f>
        <v>0</v>
      </c>
      <c r="AO69" s="132">
        <f>Data!AX$78</f>
        <v>0</v>
      </c>
      <c r="AP69" s="132">
        <f>Data!AY$78</f>
        <v>0</v>
      </c>
    </row>
    <row r="70" spans="1:42" x14ac:dyDescent="0.25">
      <c r="A70" s="17" t="s">
        <v>2</v>
      </c>
      <c r="B70" s="137" t="e">
        <f ca="1">SUM('[5]2017 - 2022 Plan'!$Z$75:OFFSET('[5]2017 - 2022 Plan'!$Z$75, ,$A$1-1))</f>
        <v>#VALUE!</v>
      </c>
      <c r="C70" s="11">
        <f>SUM($AE70:INDEX($AE70:$AP70,$A$1))</f>
        <v>68</v>
      </c>
      <c r="D70" s="11"/>
      <c r="E70" s="1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50"/>
      <c r="AA70" s="50"/>
      <c r="AB70" s="50"/>
      <c r="AC70" s="50"/>
      <c r="AD70" s="50"/>
      <c r="AE70" s="6">
        <f>Data!AN87</f>
        <v>0</v>
      </c>
      <c r="AF70" s="6">
        <f>Data!AO87</f>
        <v>0</v>
      </c>
      <c r="AG70" s="3">
        <f>Data!AP87</f>
        <v>10</v>
      </c>
      <c r="AH70" s="3">
        <f>Data!AQ87</f>
        <v>16</v>
      </c>
      <c r="AI70" s="3">
        <f>Data!AR87</f>
        <v>20</v>
      </c>
      <c r="AJ70" s="132">
        <f>Data!AS87</f>
        <v>22</v>
      </c>
      <c r="AK70" s="132">
        <f>Data!AT87</f>
        <v>15</v>
      </c>
      <c r="AL70" s="132">
        <f>Data!AU87</f>
        <v>0</v>
      </c>
      <c r="AM70" s="132">
        <f>Data!AV87</f>
        <v>0</v>
      </c>
      <c r="AN70" s="132">
        <f>Data!AW87</f>
        <v>0</v>
      </c>
      <c r="AO70" s="132">
        <f>Data!AX87</f>
        <v>0</v>
      </c>
      <c r="AP70" s="132">
        <f>Data!AY87</f>
        <v>0</v>
      </c>
    </row>
    <row r="71" spans="1:42" x14ac:dyDescent="0.25">
      <c r="A71" s="17" t="s">
        <v>3</v>
      </c>
      <c r="B71" s="151" t="e">
        <f ca="1">B70/SUM('[5]2017 - 2022 Plan'!Z73:OFFSET('[5]2017 - 2022 Plan'!Z73, ,$A$1-1))</f>
        <v>#VALUE!</v>
      </c>
      <c r="C71" s="48">
        <f>IFERROR(C70/SUM($AE69:INDEX($AE69:$AP69,$A$1)),"-")</f>
        <v>0.55284552845528456</v>
      </c>
      <c r="D71" s="14"/>
      <c r="E71" s="48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23">
        <f>IFERROR(AE70/AE69,0)</f>
        <v>0</v>
      </c>
      <c r="AF71" s="23">
        <f>IFERROR(AF70/AF69,0)</f>
        <v>0</v>
      </c>
      <c r="AG71" s="23">
        <f t="shared" ref="AG71:AP71" si="83">IFERROR(AG70/AG69,0)</f>
        <v>0.66666666666666663</v>
      </c>
      <c r="AH71" s="23">
        <f t="shared" si="83"/>
        <v>0.5714285714285714</v>
      </c>
      <c r="AI71" s="23">
        <f t="shared" si="83"/>
        <v>0.51282051282051277</v>
      </c>
      <c r="AJ71" s="23">
        <f t="shared" si="83"/>
        <v>0.53658536585365857</v>
      </c>
      <c r="AK71" s="23">
        <f t="shared" si="83"/>
        <v>0.39473684210526316</v>
      </c>
      <c r="AL71" s="23">
        <f t="shared" si="83"/>
        <v>0</v>
      </c>
      <c r="AM71" s="23">
        <f t="shared" si="83"/>
        <v>0</v>
      </c>
      <c r="AN71" s="23">
        <f t="shared" si="83"/>
        <v>0</v>
      </c>
      <c r="AO71" s="23">
        <f t="shared" si="83"/>
        <v>0</v>
      </c>
      <c r="AP71" s="23">
        <f t="shared" si="83"/>
        <v>0</v>
      </c>
    </row>
    <row r="72" spans="1:42" x14ac:dyDescent="0.25">
      <c r="A72" s="17" t="s">
        <v>4</v>
      </c>
      <c r="B72" s="137" t="e">
        <f>SUM('[5]2017 - 2022 Plan'!Z78:INDEX('[5]2017 - 2022 Plan'!Z78:AK78,$A$1))</f>
        <v>#REF!</v>
      </c>
      <c r="C72" s="11">
        <f>SUM($AE72:INDEX($AE72:$AP72,$A$1))</f>
        <v>244</v>
      </c>
      <c r="D72" s="11"/>
      <c r="E72" s="1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6">
        <f>Data!AN51</f>
        <v>0</v>
      </c>
      <c r="AF72" s="6">
        <f>Data!AO51</f>
        <v>0</v>
      </c>
      <c r="AG72" s="6">
        <f>Data!AP51</f>
        <v>43</v>
      </c>
      <c r="AH72" s="6">
        <f>Data!AQ51</f>
        <v>58</v>
      </c>
      <c r="AI72" s="6">
        <f>Data!AR51</f>
        <v>53</v>
      </c>
      <c r="AJ72" s="132">
        <f>Data!AS51</f>
        <v>90</v>
      </c>
      <c r="AK72" s="132">
        <f>Data!AT51</f>
        <v>36</v>
      </c>
      <c r="AL72" s="132">
        <f>Data!AU51</f>
        <v>0</v>
      </c>
      <c r="AM72" s="132">
        <f>Data!AV51</f>
        <v>0</v>
      </c>
      <c r="AN72" s="132">
        <f>Data!AW51</f>
        <v>0</v>
      </c>
      <c r="AO72" s="132">
        <f>Data!AX51</f>
        <v>0</v>
      </c>
      <c r="AP72" s="132">
        <f>Data!AY51</f>
        <v>0</v>
      </c>
    </row>
    <row r="73" spans="1:42" x14ac:dyDescent="0.25">
      <c r="A73" s="17" t="s">
        <v>5</v>
      </c>
      <c r="B73" s="144" t="e">
        <f ca="1">B72/B70</f>
        <v>#REF!</v>
      </c>
      <c r="C73" s="49">
        <f>IFERROR(C72/C70,"-")</f>
        <v>3.5882352941176472</v>
      </c>
      <c r="D73" s="38"/>
      <c r="E73" s="48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39">
        <f>IFERROR(AE72/AE70,0)</f>
        <v>0</v>
      </c>
      <c r="AF73" s="39">
        <f t="shared" ref="AF73:AP73" si="84">IFERROR(AF72/AF70,0)</f>
        <v>0</v>
      </c>
      <c r="AG73" s="39">
        <f t="shared" si="84"/>
        <v>4.3</v>
      </c>
      <c r="AH73" s="39">
        <f t="shared" si="84"/>
        <v>3.625</v>
      </c>
      <c r="AI73" s="39">
        <f t="shared" si="84"/>
        <v>2.65</v>
      </c>
      <c r="AJ73" s="136">
        <f t="shared" si="84"/>
        <v>4.0909090909090908</v>
      </c>
      <c r="AK73" s="136">
        <f t="shared" si="84"/>
        <v>2.4</v>
      </c>
      <c r="AL73" s="136">
        <f t="shared" si="84"/>
        <v>0</v>
      </c>
      <c r="AM73" s="136">
        <f t="shared" si="84"/>
        <v>0</v>
      </c>
      <c r="AN73" s="136">
        <f t="shared" si="84"/>
        <v>0</v>
      </c>
      <c r="AO73" s="136">
        <f t="shared" si="84"/>
        <v>0</v>
      </c>
      <c r="AP73" s="136">
        <f t="shared" si="84"/>
        <v>0</v>
      </c>
    </row>
    <row r="74" spans="1:42" x14ac:dyDescent="0.25">
      <c r="A74" s="17" t="s">
        <v>6</v>
      </c>
      <c r="B74" s="137" t="e">
        <f>SUM('[5]2017 - 2022 Plan'!Z79:INDEX('[5]2017 - 2022 Plan'!Z79:AK79,$A$1))</f>
        <v>#REF!</v>
      </c>
      <c r="C74" s="11">
        <f>SUM($AE74:INDEX($AE74:$AP74,$A$1))</f>
        <v>3843.4399999999996</v>
      </c>
      <c r="D74" s="11"/>
      <c r="E74" s="14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6">
        <f>Data!AN22</f>
        <v>0</v>
      </c>
      <c r="AF74" s="6">
        <f>Data!AO22</f>
        <v>0</v>
      </c>
      <c r="AG74" s="6">
        <f>Data!AP22</f>
        <v>727.29</v>
      </c>
      <c r="AH74" s="6">
        <f>Data!AQ22</f>
        <v>844.96999999999991</v>
      </c>
      <c r="AI74" s="6">
        <f>Data!AR22</f>
        <v>901.76</v>
      </c>
      <c r="AJ74" s="132">
        <f>Data!AS22</f>
        <v>1369.42</v>
      </c>
      <c r="AK74" s="132">
        <f>Data!AT22</f>
        <v>609.53</v>
      </c>
      <c r="AL74" s="132">
        <f>Data!AU22</f>
        <v>0</v>
      </c>
      <c r="AM74" s="132">
        <f>Data!AV22</f>
        <v>0</v>
      </c>
      <c r="AN74" s="132">
        <f>Data!AW22</f>
        <v>0</v>
      </c>
      <c r="AO74" s="132">
        <f>Data!AX22</f>
        <v>0</v>
      </c>
      <c r="AP74" s="132">
        <f>Data!AY22</f>
        <v>0</v>
      </c>
    </row>
    <row r="75" spans="1:42" x14ac:dyDescent="0.25">
      <c r="A75" s="17" t="s">
        <v>7</v>
      </c>
      <c r="B75" s="144" t="e">
        <f>B74/B72</f>
        <v>#REF!</v>
      </c>
      <c r="C75" s="38">
        <f>C74/C72</f>
        <v>15.751803278688524</v>
      </c>
      <c r="D75" s="38"/>
      <c r="E75" s="1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6">
        <f>IFERROR(AE74/AE72,0)</f>
        <v>0</v>
      </c>
      <c r="AF75" s="6">
        <f t="shared" ref="AF75:AP75" si="85">IFERROR(AF74/AF72,0)</f>
        <v>0</v>
      </c>
      <c r="AG75" s="6">
        <f t="shared" si="85"/>
        <v>16.913720930232557</v>
      </c>
      <c r="AH75" s="6">
        <f t="shared" si="85"/>
        <v>14.568448275862067</v>
      </c>
      <c r="AI75" s="6">
        <f t="shared" si="85"/>
        <v>17.014339622641508</v>
      </c>
      <c r="AJ75" s="132">
        <f t="shared" si="85"/>
        <v>15.215777777777779</v>
      </c>
      <c r="AK75" s="132">
        <f t="shared" si="85"/>
        <v>16.93138888888889</v>
      </c>
      <c r="AL75" s="132">
        <f t="shared" si="85"/>
        <v>0</v>
      </c>
      <c r="AM75" s="132">
        <f t="shared" si="85"/>
        <v>0</v>
      </c>
      <c r="AN75" s="132">
        <f t="shared" si="85"/>
        <v>0</v>
      </c>
      <c r="AO75" s="132">
        <f t="shared" si="85"/>
        <v>0</v>
      </c>
      <c r="AP75" s="132">
        <f t="shared" si="85"/>
        <v>0</v>
      </c>
    </row>
    <row r="76" spans="1:42" x14ac:dyDescent="0.25">
      <c r="A76" s="17" t="s">
        <v>8</v>
      </c>
      <c r="B76" s="145" t="e">
        <f>B74/B69</f>
        <v>#REF!</v>
      </c>
      <c r="C76" s="49">
        <f>IFERROR(C74/SUM($AE69:INDEX($AE69:$AP69,$A$1)),"-")</f>
        <v>31.247479674796743</v>
      </c>
      <c r="D76" s="38"/>
      <c r="E76" s="48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6">
        <f>IFERROR(AE74/AE69,0)</f>
        <v>0</v>
      </c>
      <c r="AF76" s="6">
        <f t="shared" ref="AF76:AP76" si="86">IFERROR(AF74/AF69,0)</f>
        <v>0</v>
      </c>
      <c r="AG76" s="6">
        <f t="shared" si="86"/>
        <v>48.485999999999997</v>
      </c>
      <c r="AH76" s="6">
        <f t="shared" si="86"/>
        <v>30.177499999999998</v>
      </c>
      <c r="AI76" s="6">
        <f t="shared" si="86"/>
        <v>23.122051282051281</v>
      </c>
      <c r="AJ76" s="132">
        <f t="shared" si="86"/>
        <v>33.400487804878054</v>
      </c>
      <c r="AK76" s="132">
        <f t="shared" si="86"/>
        <v>16.040263157894735</v>
      </c>
      <c r="AL76" s="132">
        <f t="shared" si="86"/>
        <v>0</v>
      </c>
      <c r="AM76" s="132">
        <f t="shared" si="86"/>
        <v>0</v>
      </c>
      <c r="AN76" s="132">
        <f t="shared" si="86"/>
        <v>0</v>
      </c>
      <c r="AO76" s="132">
        <f t="shared" si="86"/>
        <v>0</v>
      </c>
      <c r="AP76" s="132">
        <f t="shared" si="86"/>
        <v>0</v>
      </c>
    </row>
    <row r="77" spans="1:42" x14ac:dyDescent="0.25">
      <c r="A77" s="17" t="s">
        <v>9</v>
      </c>
      <c r="B77" s="145" t="e">
        <f ca="1">B74/B70</f>
        <v>#REF!</v>
      </c>
      <c r="C77" s="49">
        <f>IFERROR(C74/C70,"-")</f>
        <v>56.52117647058823</v>
      </c>
      <c r="D77" s="38"/>
      <c r="E77" s="48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6">
        <f>IFERROR(AE74/AE70,0)</f>
        <v>0</v>
      </c>
      <c r="AF77" s="6">
        <f t="shared" ref="AF77:AP77" si="87">IFERROR(AF74/AF70,0)</f>
        <v>0</v>
      </c>
      <c r="AG77" s="6">
        <f t="shared" si="87"/>
        <v>72.728999999999999</v>
      </c>
      <c r="AH77" s="6">
        <f t="shared" si="87"/>
        <v>52.810624999999995</v>
      </c>
      <c r="AI77" s="6">
        <f t="shared" si="87"/>
        <v>45.088000000000001</v>
      </c>
      <c r="AJ77" s="132">
        <f t="shared" si="87"/>
        <v>62.24636363636364</v>
      </c>
      <c r="AK77" s="132">
        <f t="shared" si="87"/>
        <v>40.635333333333328</v>
      </c>
      <c r="AL77" s="132">
        <f t="shared" si="87"/>
        <v>0</v>
      </c>
      <c r="AM77" s="132">
        <f t="shared" si="87"/>
        <v>0</v>
      </c>
      <c r="AN77" s="132">
        <f t="shared" si="87"/>
        <v>0</v>
      </c>
      <c r="AO77" s="132">
        <f t="shared" si="87"/>
        <v>0</v>
      </c>
      <c r="AP77" s="132">
        <f t="shared" si="87"/>
        <v>0</v>
      </c>
    </row>
    <row r="80" spans="1:42" s="1" customFormat="1" x14ac:dyDescent="0.25">
      <c r="A80" s="1" t="s">
        <v>201</v>
      </c>
      <c r="B80" s="1" t="str">
        <f t="shared" ref="B80:E80" si="88">B28</f>
        <v>YTD Target '17</v>
      </c>
      <c r="C80" s="1" t="str">
        <f t="shared" si="88"/>
        <v>YTD'17</v>
      </c>
      <c r="D80" s="1" t="str">
        <f t="shared" si="88"/>
        <v>YTD'16</v>
      </c>
      <c r="E80" s="1" t="str">
        <f t="shared" si="88"/>
        <v>YoY Growth</v>
      </c>
      <c r="G80" s="1">
        <v>42020</v>
      </c>
      <c r="H80" s="1">
        <v>42051</v>
      </c>
      <c r="I80" s="1">
        <v>42079</v>
      </c>
      <c r="J80" s="1">
        <v>42110</v>
      </c>
      <c r="K80" s="1">
        <v>42140</v>
      </c>
      <c r="L80" s="1">
        <v>42171</v>
      </c>
      <c r="M80" s="1">
        <v>42201</v>
      </c>
      <c r="N80" s="1">
        <v>42232</v>
      </c>
      <c r="O80" s="1">
        <v>42263</v>
      </c>
      <c r="P80" s="1">
        <v>42293</v>
      </c>
      <c r="Q80" s="1">
        <v>42324</v>
      </c>
      <c r="R80" s="1">
        <v>42354</v>
      </c>
      <c r="S80" s="1">
        <v>42385</v>
      </c>
      <c r="T80" s="1">
        <v>42416</v>
      </c>
      <c r="U80" s="1">
        <v>42445</v>
      </c>
      <c r="V80" s="1">
        <v>42476</v>
      </c>
      <c r="W80" s="1">
        <v>42506</v>
      </c>
      <c r="X80" s="128">
        <v>42537</v>
      </c>
      <c r="Y80" s="1">
        <v>42567</v>
      </c>
      <c r="Z80" s="1">
        <v>42598</v>
      </c>
      <c r="AA80" s="1">
        <v>42629</v>
      </c>
      <c r="AB80" s="1">
        <v>42659</v>
      </c>
      <c r="AC80" s="1">
        <v>42690</v>
      </c>
      <c r="AD80" s="128">
        <v>42720</v>
      </c>
      <c r="AE80" s="1">
        <f t="shared" ref="AE80:AP80" si="89">AE15</f>
        <v>42751</v>
      </c>
      <c r="AF80" s="1">
        <f t="shared" si="89"/>
        <v>42782</v>
      </c>
      <c r="AG80" s="1">
        <f t="shared" si="89"/>
        <v>42810</v>
      </c>
      <c r="AH80" s="1">
        <f t="shared" si="89"/>
        <v>42841</v>
      </c>
      <c r="AI80" s="1">
        <f t="shared" si="89"/>
        <v>42871</v>
      </c>
      <c r="AJ80" s="128">
        <f t="shared" si="89"/>
        <v>42902</v>
      </c>
      <c r="AK80" s="1">
        <f t="shared" si="89"/>
        <v>42932</v>
      </c>
      <c r="AL80" s="1">
        <f t="shared" si="89"/>
        <v>42963</v>
      </c>
      <c r="AM80" s="1">
        <f t="shared" si="89"/>
        <v>42994</v>
      </c>
      <c r="AN80" s="1">
        <f t="shared" si="89"/>
        <v>43024</v>
      </c>
      <c r="AO80" s="1">
        <f t="shared" si="89"/>
        <v>43055</v>
      </c>
      <c r="AP80" s="128">
        <f t="shared" si="89"/>
        <v>43085</v>
      </c>
    </row>
    <row r="81" spans="1:42" x14ac:dyDescent="0.25">
      <c r="A81" s="17" t="s">
        <v>1</v>
      </c>
      <c r="B81" s="150"/>
      <c r="C81" s="11">
        <f>INDEX($AE81:$AP81,$A$1)</f>
        <v>22</v>
      </c>
      <c r="D81" s="11"/>
      <c r="E81" s="1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50"/>
      <c r="AA81" s="50"/>
      <c r="AB81" s="50"/>
      <c r="AC81" s="50"/>
      <c r="AD81" s="50"/>
      <c r="AE81">
        <f>Data!AN133</f>
        <v>1</v>
      </c>
      <c r="AF81" s="3">
        <f>Data!AO133</f>
        <v>27</v>
      </c>
      <c r="AG81" s="3">
        <f>Data!AP133</f>
        <v>27</v>
      </c>
      <c r="AH81" s="3">
        <f>Data!AQ133</f>
        <v>27</v>
      </c>
      <c r="AI81" s="3">
        <f>Data!AR133</f>
        <v>27</v>
      </c>
      <c r="AJ81" s="132">
        <f>Data!AS133</f>
        <v>22</v>
      </c>
      <c r="AK81" s="132">
        <f>Data!AT133</f>
        <v>22</v>
      </c>
      <c r="AL81" s="132">
        <f>Data!AU133</f>
        <v>0</v>
      </c>
      <c r="AM81" s="132">
        <f>Data!AV133</f>
        <v>0</v>
      </c>
      <c r="AN81" s="132">
        <f>Data!AW133</f>
        <v>0</v>
      </c>
      <c r="AO81" s="132">
        <f>Data!AX133</f>
        <v>0</v>
      </c>
      <c r="AP81" s="132">
        <f>Data!AY133</f>
        <v>0</v>
      </c>
    </row>
    <row r="82" spans="1:42" x14ac:dyDescent="0.25">
      <c r="A82" s="17" t="s">
        <v>0</v>
      </c>
      <c r="B82" s="137">
        <f>INDEX('[5]2017 - 2022 Plan'!$Z$99:$AK$99,1,$A$1)</f>
        <v>25</v>
      </c>
      <c r="C82" s="11">
        <f>INDEX($AE82:$AP82,$A$1)</f>
        <v>26</v>
      </c>
      <c r="D82" s="11"/>
      <c r="E82" s="1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>
        <f>Data!AN$79</f>
        <v>12</v>
      </c>
      <c r="AF82" s="3">
        <f>Data!AO$79</f>
        <v>13</v>
      </c>
      <c r="AG82" s="3">
        <f>Data!AP$79</f>
        <v>16</v>
      </c>
      <c r="AH82" s="3">
        <f>Data!AQ$79</f>
        <v>13</v>
      </c>
      <c r="AI82" s="3">
        <f>Data!AR$79</f>
        <v>30</v>
      </c>
      <c r="AJ82" s="132">
        <f>Data!AS$79</f>
        <v>26</v>
      </c>
      <c r="AK82" s="132">
        <f>Data!AT$79</f>
        <v>23</v>
      </c>
      <c r="AL82" s="132">
        <f>Data!AU$79</f>
        <v>0</v>
      </c>
      <c r="AM82" s="132">
        <f>Data!AV$79</f>
        <v>0</v>
      </c>
      <c r="AN82" s="132">
        <f>Data!AW$79</f>
        <v>0</v>
      </c>
      <c r="AO82" s="132">
        <f>Data!AX$79</f>
        <v>0</v>
      </c>
      <c r="AP82" s="132">
        <f>Data!AY$79</f>
        <v>0</v>
      </c>
    </row>
    <row r="83" spans="1:42" x14ac:dyDescent="0.25">
      <c r="A83" s="17" t="s">
        <v>2</v>
      </c>
      <c r="B83" s="137" t="e">
        <f ca="1">SUM('[5]2017 - 2022 Plan'!$Z$99:OFFSET('[5]2017 - 2022 Plan'!$Z$99, ,$A$1-1))</f>
        <v>#VALUE!</v>
      </c>
      <c r="C83" s="11">
        <f>SUM($AE83:INDEX($AE83:$AP83,$A$1))</f>
        <v>26</v>
      </c>
      <c r="D83" s="11"/>
      <c r="E83" s="1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50"/>
      <c r="AA83" s="50"/>
      <c r="AB83" s="50"/>
      <c r="AC83" s="50"/>
      <c r="AD83" s="50"/>
      <c r="AE83">
        <f>Data!AN88</f>
        <v>1</v>
      </c>
      <c r="AF83" s="3">
        <f>Data!AO88</f>
        <v>4</v>
      </c>
      <c r="AG83" s="3">
        <f>Data!AP88</f>
        <v>5</v>
      </c>
      <c r="AH83" s="3">
        <f>Data!AQ88</f>
        <v>5</v>
      </c>
      <c r="AI83" s="3">
        <f>Data!AR88</f>
        <v>6</v>
      </c>
      <c r="AJ83" s="132">
        <f>Data!AS88</f>
        <v>5</v>
      </c>
      <c r="AK83" s="132">
        <f>Data!AT88</f>
        <v>4</v>
      </c>
      <c r="AL83" s="132">
        <f>Data!AU88</f>
        <v>0</v>
      </c>
      <c r="AM83" s="132">
        <f>Data!AV88</f>
        <v>0</v>
      </c>
      <c r="AN83" s="132">
        <f>Data!AW88</f>
        <v>0</v>
      </c>
      <c r="AO83" s="132">
        <f>Data!AX88</f>
        <v>0</v>
      </c>
      <c r="AP83" s="132">
        <f>Data!AY88</f>
        <v>0</v>
      </c>
    </row>
    <row r="84" spans="1:42" x14ac:dyDescent="0.25">
      <c r="A84" s="17" t="s">
        <v>3</v>
      </c>
      <c r="B84" s="151" t="e">
        <f ca="1">B83/SUM('[5]2017 - 2022 Plan'!Z99:OFFSET('[5]2017 - 2022 Plan'!Z99, ,$A$1-1))</f>
        <v>#VALUE!</v>
      </c>
      <c r="C84" s="48">
        <f>IFERROR(C83/SUM($AE82:INDEX($AE82:$AP82,$A$1)),"-")</f>
        <v>0.23636363636363636</v>
      </c>
      <c r="D84" s="14"/>
      <c r="E84" s="48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23">
        <f>AE83/AE82</f>
        <v>8.3333333333333329E-2</v>
      </c>
      <c r="AF84" s="23">
        <f>IFERROR(AF83/AF82,0)</f>
        <v>0.30769230769230771</v>
      </c>
      <c r="AG84" s="23">
        <f t="shared" ref="AG84" si="90">IFERROR(AG83/AG82,0)</f>
        <v>0.3125</v>
      </c>
      <c r="AH84" s="23">
        <f t="shared" ref="AH84" si="91">IFERROR(AH83/AH82,0)</f>
        <v>0.38461538461538464</v>
      </c>
      <c r="AI84" s="23">
        <f>IFERROR(AI83/AI82,0)</f>
        <v>0.2</v>
      </c>
      <c r="AJ84" s="23">
        <f t="shared" ref="AJ84" si="92">IFERROR(AJ83/AJ82,0)</f>
        <v>0.19230769230769232</v>
      </c>
      <c r="AK84" s="23">
        <f t="shared" ref="AK84" si="93">IFERROR(AK83/AK82,0)</f>
        <v>0.17391304347826086</v>
      </c>
      <c r="AL84" s="23">
        <f t="shared" ref="AL84" si="94">IFERROR(AL83/AL82,0)</f>
        <v>0</v>
      </c>
      <c r="AM84" s="23">
        <f t="shared" ref="AM84" si="95">IFERROR(AM83/AM82,0)</f>
        <v>0</v>
      </c>
      <c r="AN84" s="23">
        <f t="shared" ref="AN84" si="96">IFERROR(AN83/AN82,0)</f>
        <v>0</v>
      </c>
      <c r="AO84" s="23">
        <f t="shared" ref="AO84" si="97">IFERROR(AO83/AO82,0)</f>
        <v>0</v>
      </c>
      <c r="AP84" s="23">
        <f t="shared" ref="AP84" si="98">IFERROR(AP83/AP82,0)</f>
        <v>0</v>
      </c>
    </row>
    <row r="85" spans="1:42" x14ac:dyDescent="0.25">
      <c r="A85" s="17" t="s">
        <v>4</v>
      </c>
      <c r="B85" s="137" t="e">
        <f>SUM('[5]2017 - 2022 Plan'!Z104:INDEX('[5]2017 - 2022 Plan'!Z104:AK104,,$A$1))</f>
        <v>#REF!</v>
      </c>
      <c r="C85" s="11">
        <f>SUM($AE85:INDEX($AE85:$AP85,$A$1))</f>
        <v>63</v>
      </c>
      <c r="D85" s="11"/>
      <c r="E85" s="1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>
        <f>Data!AN52</f>
        <v>1</v>
      </c>
      <c r="AF85" s="6">
        <f>Data!AO52</f>
        <v>9</v>
      </c>
      <c r="AG85" s="6">
        <f>Data!AP52</f>
        <v>13</v>
      </c>
      <c r="AH85" s="6">
        <f>Data!AQ52</f>
        <v>14</v>
      </c>
      <c r="AI85" s="6">
        <f>Data!AR52</f>
        <v>21</v>
      </c>
      <c r="AJ85" s="132">
        <f>Data!AS52</f>
        <v>5</v>
      </c>
      <c r="AK85" s="132">
        <f>Data!AT52</f>
        <v>8</v>
      </c>
      <c r="AL85" s="132">
        <f>Data!AU52</f>
        <v>0</v>
      </c>
      <c r="AM85" s="132">
        <f>Data!AV52</f>
        <v>0</v>
      </c>
      <c r="AN85" s="132">
        <f>Data!AW52</f>
        <v>0</v>
      </c>
      <c r="AO85" s="132">
        <f>Data!AX52</f>
        <v>0</v>
      </c>
      <c r="AP85" s="132">
        <f>Data!AY52</f>
        <v>0</v>
      </c>
    </row>
    <row r="86" spans="1:42" x14ac:dyDescent="0.25">
      <c r="A86" s="17" t="s">
        <v>5</v>
      </c>
      <c r="B86" s="144" t="e">
        <f ca="1">B85/B83</f>
        <v>#REF!</v>
      </c>
      <c r="C86" s="49">
        <f>IFERROR(C85/C83,"-")</f>
        <v>2.4230769230769229</v>
      </c>
      <c r="D86" s="38"/>
      <c r="E86" s="48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39">
        <f>IFERROR(AE85/AE83,0)</f>
        <v>1</v>
      </c>
      <c r="AF86" s="39">
        <f t="shared" ref="AF86:AP86" si="99">IFERROR(AF85/AF83,0)</f>
        <v>2.25</v>
      </c>
      <c r="AG86" s="39">
        <f t="shared" si="99"/>
        <v>2.6</v>
      </c>
      <c r="AH86" s="39">
        <f t="shared" si="99"/>
        <v>2.8</v>
      </c>
      <c r="AI86" s="39">
        <f>IFERROR(AI85/AI83,0)</f>
        <v>3.5</v>
      </c>
      <c r="AJ86" s="136">
        <f t="shared" si="99"/>
        <v>1</v>
      </c>
      <c r="AK86" s="136">
        <f t="shared" si="99"/>
        <v>2</v>
      </c>
      <c r="AL86" s="136">
        <f t="shared" si="99"/>
        <v>0</v>
      </c>
      <c r="AM86" s="136">
        <f t="shared" si="99"/>
        <v>0</v>
      </c>
      <c r="AN86" s="136">
        <f t="shared" si="99"/>
        <v>0</v>
      </c>
      <c r="AO86" s="136">
        <f t="shared" si="99"/>
        <v>0</v>
      </c>
      <c r="AP86" s="136">
        <f t="shared" si="99"/>
        <v>0</v>
      </c>
    </row>
    <row r="87" spans="1:42" x14ac:dyDescent="0.25">
      <c r="A87" s="17" t="s">
        <v>6</v>
      </c>
      <c r="B87" s="137">
        <f>SUM(Data!AN12:INDEX(Data!$AN12:'Data'!$AY12,$A$1))</f>
        <v>3923.4285714285711</v>
      </c>
      <c r="C87" s="11">
        <f>SUM($AE87:INDEX($AE87:$AP87,$A$1))</f>
        <v>1326.7610000000002</v>
      </c>
      <c r="D87" s="11"/>
      <c r="E87" s="14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11">
        <f>Data!AN23</f>
        <v>33.945999999999998</v>
      </c>
      <c r="AF87" s="6">
        <f>Data!AO23</f>
        <v>211.96499999999997</v>
      </c>
      <c r="AG87" s="6">
        <f>Data!AP23</f>
        <v>329.24</v>
      </c>
      <c r="AH87" s="6">
        <f>Data!AQ23</f>
        <v>319.60000000000002</v>
      </c>
      <c r="AI87" s="6">
        <f>Data!AR23</f>
        <v>340.87</v>
      </c>
      <c r="AJ87" s="132">
        <f>Data!AS23</f>
        <v>91.14</v>
      </c>
      <c r="AK87" s="132">
        <f>Data!AT23</f>
        <v>169.96299999999999</v>
      </c>
      <c r="AL87" s="132">
        <f>Data!AU23</f>
        <v>0</v>
      </c>
      <c r="AM87" s="132">
        <f>Data!AV23</f>
        <v>0</v>
      </c>
      <c r="AN87" s="132">
        <f>Data!AW23</f>
        <v>0</v>
      </c>
      <c r="AO87" s="132">
        <f>Data!AX23</f>
        <v>0</v>
      </c>
      <c r="AP87" s="132">
        <f>Data!AY23</f>
        <v>0</v>
      </c>
    </row>
    <row r="88" spans="1:42" x14ac:dyDescent="0.25">
      <c r="A88" s="17" t="s">
        <v>7</v>
      </c>
      <c r="B88" s="144" t="e">
        <f>B87/B85</f>
        <v>#REF!</v>
      </c>
      <c r="C88" s="38">
        <f>C87/C85</f>
        <v>21.059698412698417</v>
      </c>
      <c r="D88" s="38"/>
      <c r="E88" s="1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6">
        <f>IFERROR(AE87/AE85,0)</f>
        <v>33.945999999999998</v>
      </c>
      <c r="AF88" s="6">
        <f t="shared" ref="AF88:AP88" si="100">IFERROR(AF87/AF85,0)</f>
        <v>23.551666666666662</v>
      </c>
      <c r="AG88" s="6">
        <f t="shared" si="100"/>
        <v>25.326153846153847</v>
      </c>
      <c r="AH88" s="6">
        <f t="shared" si="100"/>
        <v>22.828571428571429</v>
      </c>
      <c r="AI88" s="6">
        <f t="shared" si="100"/>
        <v>16.231904761904762</v>
      </c>
      <c r="AJ88" s="132">
        <f t="shared" si="100"/>
        <v>18.228000000000002</v>
      </c>
      <c r="AK88" s="132">
        <f t="shared" si="100"/>
        <v>21.245374999999999</v>
      </c>
      <c r="AL88" s="132">
        <f t="shared" si="100"/>
        <v>0</v>
      </c>
      <c r="AM88" s="132">
        <f t="shared" si="100"/>
        <v>0</v>
      </c>
      <c r="AN88" s="132">
        <f t="shared" si="100"/>
        <v>0</v>
      </c>
      <c r="AO88" s="132">
        <f t="shared" si="100"/>
        <v>0</v>
      </c>
      <c r="AP88" s="132">
        <f t="shared" si="100"/>
        <v>0</v>
      </c>
    </row>
    <row r="89" spans="1:42" x14ac:dyDescent="0.25">
      <c r="A89" s="17" t="s">
        <v>8</v>
      </c>
      <c r="B89" s="145">
        <f>B87/B82</f>
        <v>156.93714285714285</v>
      </c>
      <c r="C89" s="49">
        <f>IFERROR(C87/SUM($AE82:INDEX($AE82:$AP82,$A$1)),"-")</f>
        <v>12.061463636363639</v>
      </c>
      <c r="D89" s="38"/>
      <c r="E89" s="48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6">
        <f>IFERROR(AE87/AE82,0)</f>
        <v>2.8288333333333333</v>
      </c>
      <c r="AF89" s="6">
        <f t="shared" ref="AF89:AP89" si="101">IFERROR(AF87/AF82,0)</f>
        <v>16.305</v>
      </c>
      <c r="AG89" s="6">
        <f t="shared" si="101"/>
        <v>20.577500000000001</v>
      </c>
      <c r="AH89" s="6">
        <f t="shared" si="101"/>
        <v>24.584615384615386</v>
      </c>
      <c r="AI89" s="6">
        <f t="shared" si="101"/>
        <v>11.362333333333334</v>
      </c>
      <c r="AJ89" s="132">
        <f t="shared" si="101"/>
        <v>3.5053846153846155</v>
      </c>
      <c r="AK89" s="132">
        <f t="shared" si="101"/>
        <v>7.3896956521739128</v>
      </c>
      <c r="AL89" s="132">
        <f t="shared" si="101"/>
        <v>0</v>
      </c>
      <c r="AM89" s="132">
        <f t="shared" si="101"/>
        <v>0</v>
      </c>
      <c r="AN89" s="132">
        <f t="shared" si="101"/>
        <v>0</v>
      </c>
      <c r="AO89" s="132">
        <f t="shared" si="101"/>
        <v>0</v>
      </c>
      <c r="AP89" s="132">
        <f t="shared" si="101"/>
        <v>0</v>
      </c>
    </row>
    <row r="90" spans="1:42" x14ac:dyDescent="0.25">
      <c r="A90" s="17" t="s">
        <v>9</v>
      </c>
      <c r="B90" s="145" t="e">
        <f ca="1">B87/B83</f>
        <v>#VALUE!</v>
      </c>
      <c r="C90" s="49">
        <f>IFERROR(C87/C83,"-")</f>
        <v>51.029269230769238</v>
      </c>
      <c r="D90" s="38"/>
      <c r="E90" s="48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6">
        <f>IFERROR(AE87/AE83,0)</f>
        <v>33.945999999999998</v>
      </c>
      <c r="AF90" s="6">
        <f t="shared" ref="AF90:AP90" si="102">IFERROR(AF87/AF83,0)</f>
        <v>52.991249999999994</v>
      </c>
      <c r="AG90" s="6">
        <f t="shared" si="102"/>
        <v>65.847999999999999</v>
      </c>
      <c r="AH90" s="6">
        <f t="shared" si="102"/>
        <v>63.92</v>
      </c>
      <c r="AI90" s="6">
        <f t="shared" si="102"/>
        <v>56.811666666666667</v>
      </c>
      <c r="AJ90" s="132">
        <f t="shared" si="102"/>
        <v>18.228000000000002</v>
      </c>
      <c r="AK90" s="132">
        <f t="shared" si="102"/>
        <v>42.490749999999998</v>
      </c>
      <c r="AL90" s="132">
        <f t="shared" si="102"/>
        <v>0</v>
      </c>
      <c r="AM90" s="132">
        <f t="shared" si="102"/>
        <v>0</v>
      </c>
      <c r="AN90" s="132">
        <f t="shared" si="102"/>
        <v>0</v>
      </c>
      <c r="AO90" s="132">
        <f t="shared" si="102"/>
        <v>0</v>
      </c>
      <c r="AP90" s="132">
        <f t="shared" si="102"/>
        <v>0</v>
      </c>
    </row>
    <row r="93" spans="1:42" s="1" customFormat="1" x14ac:dyDescent="0.25">
      <c r="A93" s="1" t="s">
        <v>213</v>
      </c>
      <c r="B93" s="1" t="s">
        <v>207</v>
      </c>
      <c r="C93" s="1" t="s">
        <v>206</v>
      </c>
      <c r="D93" s="1" t="s">
        <v>10</v>
      </c>
      <c r="E93" s="1" t="s">
        <v>12</v>
      </c>
      <c r="G93" s="1">
        <v>42020</v>
      </c>
      <c r="H93" s="1">
        <v>42051</v>
      </c>
      <c r="I93" s="1">
        <v>42079</v>
      </c>
      <c r="J93" s="1">
        <v>42110</v>
      </c>
      <c r="K93" s="1">
        <v>42140</v>
      </c>
      <c r="L93" s="1">
        <v>42171</v>
      </c>
      <c r="M93" s="1">
        <v>42201</v>
      </c>
      <c r="N93" s="1">
        <v>42232</v>
      </c>
      <c r="O93" s="1">
        <v>42263</v>
      </c>
      <c r="P93" s="1">
        <v>42293</v>
      </c>
      <c r="Q93" s="1">
        <v>42324</v>
      </c>
      <c r="R93" s="1">
        <v>42354</v>
      </c>
      <c r="S93" s="1">
        <v>42385</v>
      </c>
      <c r="T93" s="1">
        <v>42416</v>
      </c>
      <c r="U93" s="1">
        <v>42445</v>
      </c>
      <c r="V93" s="1">
        <v>42476</v>
      </c>
      <c r="W93" s="1">
        <v>42506</v>
      </c>
      <c r="X93" s="128">
        <v>42537</v>
      </c>
      <c r="Y93" s="1">
        <v>42567</v>
      </c>
      <c r="Z93" s="1">
        <v>42598</v>
      </c>
      <c r="AA93" s="1">
        <v>42629</v>
      </c>
      <c r="AB93" s="1">
        <v>42659</v>
      </c>
      <c r="AC93" s="1">
        <v>42690</v>
      </c>
      <c r="AD93" s="128">
        <v>42720</v>
      </c>
      <c r="AE93" s="1">
        <v>42751</v>
      </c>
      <c r="AF93" s="1">
        <v>42782</v>
      </c>
      <c r="AG93" s="1">
        <v>42810</v>
      </c>
      <c r="AH93" s="1">
        <v>42841</v>
      </c>
      <c r="AI93" s="1">
        <v>42871</v>
      </c>
      <c r="AJ93" s="128">
        <v>42902</v>
      </c>
      <c r="AK93" s="1">
        <v>42932</v>
      </c>
      <c r="AL93" s="1">
        <v>42963</v>
      </c>
      <c r="AM93" s="1">
        <v>42994</v>
      </c>
      <c r="AN93" s="1">
        <v>43024</v>
      </c>
      <c r="AO93" s="1">
        <v>43055</v>
      </c>
      <c r="AP93" s="128">
        <v>43085</v>
      </c>
    </row>
    <row r="94" spans="1:42" x14ac:dyDescent="0.25">
      <c r="A94" s="17" t="s">
        <v>1</v>
      </c>
      <c r="B94" s="150"/>
      <c r="C94" s="11">
        <v>22</v>
      </c>
      <c r="D94" s="11"/>
      <c r="E94" s="1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50"/>
      <c r="AA94" s="50"/>
      <c r="AB94" s="50"/>
      <c r="AC94" s="50"/>
      <c r="AD94" s="50"/>
      <c r="AF94" s="3"/>
      <c r="AG94" s="3"/>
      <c r="AH94" s="3"/>
      <c r="AI94" s="3">
        <f>Data!AR128</f>
        <v>20</v>
      </c>
      <c r="AJ94" s="3">
        <f>Data!AS128</f>
        <v>23</v>
      </c>
      <c r="AK94" s="3">
        <f>Data!AT128</f>
        <v>23</v>
      </c>
      <c r="AL94" s="132">
        <v>0</v>
      </c>
      <c r="AM94" s="132">
        <v>0</v>
      </c>
      <c r="AN94" s="132">
        <v>0</v>
      </c>
      <c r="AO94" s="132">
        <v>0</v>
      </c>
      <c r="AP94" s="132">
        <v>0</v>
      </c>
    </row>
    <row r="95" spans="1:42" x14ac:dyDescent="0.25">
      <c r="A95" s="17" t="s">
        <v>0</v>
      </c>
      <c r="B95" s="137">
        <v>25</v>
      </c>
      <c r="C95" s="11">
        <v>26</v>
      </c>
      <c r="D95" s="11"/>
      <c r="E95" s="1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F95" s="3"/>
      <c r="AG95" s="3"/>
      <c r="AH95" s="3"/>
      <c r="AI95" s="3">
        <f>Data!AR$74</f>
        <v>17</v>
      </c>
      <c r="AJ95" s="3">
        <f>Data!AS$74</f>
        <v>20</v>
      </c>
      <c r="AK95" s="3">
        <f>Data!AT$74</f>
        <v>10</v>
      </c>
      <c r="AL95" s="132">
        <v>0</v>
      </c>
      <c r="AM95" s="132">
        <v>0</v>
      </c>
      <c r="AN95" s="132">
        <v>0</v>
      </c>
      <c r="AO95" s="132">
        <v>0</v>
      </c>
      <c r="AP95" s="132">
        <v>0</v>
      </c>
    </row>
    <row r="96" spans="1:42" x14ac:dyDescent="0.25">
      <c r="A96" s="17" t="s">
        <v>2</v>
      </c>
      <c r="B96" s="137" t="e">
        <v>#VALUE!</v>
      </c>
      <c r="C96" s="11">
        <v>26</v>
      </c>
      <c r="D96" s="11"/>
      <c r="E96" s="1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50"/>
      <c r="AA96" s="50"/>
      <c r="AB96" s="50"/>
      <c r="AC96" s="50"/>
      <c r="AD96" s="50"/>
      <c r="AF96" s="3"/>
      <c r="AG96" s="3"/>
      <c r="AH96" s="3"/>
      <c r="AI96" s="3">
        <f>Data!AR$83</f>
        <v>3</v>
      </c>
      <c r="AJ96" s="3">
        <f>Data!AS$83</f>
        <v>2</v>
      </c>
      <c r="AK96" s="3">
        <f>Data!AT$83</f>
        <v>4</v>
      </c>
      <c r="AL96" s="132">
        <v>0</v>
      </c>
      <c r="AM96" s="132">
        <v>0</v>
      </c>
      <c r="AN96" s="132">
        <v>0</v>
      </c>
      <c r="AO96" s="132">
        <v>0</v>
      </c>
      <c r="AP96" s="132">
        <v>0</v>
      </c>
    </row>
    <row r="97" spans="1:42" x14ac:dyDescent="0.25">
      <c r="A97" s="17" t="s">
        <v>3</v>
      </c>
      <c r="B97" s="151" t="e">
        <v>#VALUE!</v>
      </c>
      <c r="C97" s="48">
        <v>0.23636363636363636</v>
      </c>
      <c r="D97" s="14"/>
      <c r="E97" s="48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23"/>
      <c r="AF97" s="23"/>
      <c r="AG97" s="23"/>
      <c r="AH97" s="23"/>
      <c r="AI97" s="23">
        <f>IFERROR(AI96/AI95,0)</f>
        <v>0.17647058823529413</v>
      </c>
      <c r="AJ97" s="23">
        <f t="shared" ref="AJ97:AK97" si="103">IFERROR(AJ96/AJ95,0)</f>
        <v>0.1</v>
      </c>
      <c r="AK97" s="23">
        <f t="shared" si="103"/>
        <v>0.4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</row>
    <row r="98" spans="1:42" x14ac:dyDescent="0.25">
      <c r="A98" s="17" t="s">
        <v>4</v>
      </c>
      <c r="B98" s="137" t="e">
        <v>#REF!</v>
      </c>
      <c r="C98" s="11">
        <v>63</v>
      </c>
      <c r="D98" s="11"/>
      <c r="E98" s="1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F98" s="6"/>
      <c r="AG98" s="6"/>
      <c r="AH98" s="6"/>
      <c r="AI98" s="6">
        <f>Data!AR$47</f>
        <v>4</v>
      </c>
      <c r="AJ98" s="6">
        <f>Data!AS$47</f>
        <v>4</v>
      </c>
      <c r="AK98" s="6">
        <f>Data!AT$47</f>
        <v>6</v>
      </c>
      <c r="AL98" s="132">
        <v>0</v>
      </c>
      <c r="AM98" s="132">
        <v>0</v>
      </c>
      <c r="AN98" s="132">
        <v>0</v>
      </c>
      <c r="AO98" s="132">
        <v>0</v>
      </c>
      <c r="AP98" s="132">
        <v>0</v>
      </c>
    </row>
    <row r="99" spans="1:42" x14ac:dyDescent="0.25">
      <c r="A99" s="17" t="s">
        <v>5</v>
      </c>
      <c r="B99" s="144" t="e">
        <v>#REF!</v>
      </c>
      <c r="C99" s="49">
        <v>2.4230769230769229</v>
      </c>
      <c r="D99" s="38"/>
      <c r="E99" s="48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39"/>
      <c r="AF99" s="39"/>
      <c r="AG99" s="39"/>
      <c r="AH99" s="39"/>
      <c r="AI99" s="39">
        <f>IFERROR(AI98/AI96,0)</f>
        <v>1.3333333333333333</v>
      </c>
      <c r="AJ99" s="39">
        <f t="shared" ref="AJ99:AK99" si="104">IFERROR(AJ98/AJ96,0)</f>
        <v>2</v>
      </c>
      <c r="AK99" s="39">
        <f t="shared" si="104"/>
        <v>1.5</v>
      </c>
      <c r="AL99" s="136">
        <v>0</v>
      </c>
      <c r="AM99" s="136">
        <v>0</v>
      </c>
      <c r="AN99" s="136">
        <v>0</v>
      </c>
      <c r="AO99" s="136">
        <v>0</v>
      </c>
      <c r="AP99" s="136">
        <v>0</v>
      </c>
    </row>
    <row r="100" spans="1:42" x14ac:dyDescent="0.25">
      <c r="A100" s="17" t="s">
        <v>6</v>
      </c>
      <c r="B100" s="137">
        <v>3923.4285714285711</v>
      </c>
      <c r="C100" s="11">
        <v>1326.7610000000002</v>
      </c>
      <c r="D100" s="11"/>
      <c r="E100" s="14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11"/>
      <c r="AF100" s="6"/>
      <c r="AG100" s="6"/>
      <c r="AH100" s="6"/>
      <c r="AI100" s="6">
        <f>Data!AR$18</f>
        <v>75.900000000000006</v>
      </c>
      <c r="AJ100" s="6">
        <f>Data!AS$18</f>
        <v>117.19</v>
      </c>
      <c r="AK100" s="6">
        <f>Data!AT$18</f>
        <v>162.5</v>
      </c>
      <c r="AL100" s="132">
        <v>0</v>
      </c>
      <c r="AM100" s="132">
        <v>0</v>
      </c>
      <c r="AN100" s="132">
        <v>0</v>
      </c>
      <c r="AO100" s="132">
        <v>0</v>
      </c>
      <c r="AP100" s="132">
        <v>0</v>
      </c>
    </row>
    <row r="101" spans="1:42" x14ac:dyDescent="0.25">
      <c r="A101" s="17" t="s">
        <v>7</v>
      </c>
      <c r="B101" s="144" t="e">
        <v>#REF!</v>
      </c>
      <c r="C101" s="38">
        <v>21.059698412698417</v>
      </c>
      <c r="D101" s="38"/>
      <c r="E101" s="1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6"/>
      <c r="AF101" s="6"/>
      <c r="AG101" s="6"/>
      <c r="AH101" s="6"/>
      <c r="AI101" s="6">
        <f>IFERROR(AI100/AI98,0)</f>
        <v>18.975000000000001</v>
      </c>
      <c r="AJ101" s="6">
        <f t="shared" ref="AJ101:AK101" si="105">IFERROR(AJ100/AJ98,0)</f>
        <v>29.297499999999999</v>
      </c>
      <c r="AK101" s="6">
        <f>IFERROR(AK100/AK98,0)</f>
        <v>27.083333333333332</v>
      </c>
      <c r="AL101" s="132">
        <v>0</v>
      </c>
      <c r="AM101" s="132">
        <v>0</v>
      </c>
      <c r="AN101" s="132">
        <v>0</v>
      </c>
      <c r="AO101" s="132">
        <v>0</v>
      </c>
      <c r="AP101" s="132">
        <v>0</v>
      </c>
    </row>
    <row r="102" spans="1:42" x14ac:dyDescent="0.25">
      <c r="A102" s="17" t="s">
        <v>8</v>
      </c>
      <c r="B102" s="145">
        <v>156.93714285714285</v>
      </c>
      <c r="C102" s="49">
        <v>12.061463636363639</v>
      </c>
      <c r="D102" s="38"/>
      <c r="E102" s="48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6"/>
      <c r="AF102" s="6"/>
      <c r="AG102" s="6"/>
      <c r="AH102" s="6"/>
      <c r="AI102" s="6">
        <f t="shared" ref="AI102:AK102" si="106">IFERROR(AI100/AI95,0)</f>
        <v>4.4647058823529413</v>
      </c>
      <c r="AJ102" s="6">
        <f t="shared" si="106"/>
        <v>5.8594999999999997</v>
      </c>
      <c r="AK102" s="6">
        <f t="shared" si="106"/>
        <v>16.25</v>
      </c>
      <c r="AL102" s="132">
        <v>0</v>
      </c>
      <c r="AM102" s="132">
        <v>0</v>
      </c>
      <c r="AN102" s="132">
        <v>0</v>
      </c>
      <c r="AO102" s="132">
        <v>0</v>
      </c>
      <c r="AP102" s="132">
        <v>0</v>
      </c>
    </row>
    <row r="103" spans="1:42" x14ac:dyDescent="0.25">
      <c r="A103" s="17" t="s">
        <v>9</v>
      </c>
      <c r="B103" s="145" t="e">
        <v>#VALUE!</v>
      </c>
      <c r="C103" s="49">
        <v>51.029269230769238</v>
      </c>
      <c r="D103" s="38"/>
      <c r="E103" s="48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6"/>
      <c r="AF103" s="6"/>
      <c r="AG103" s="6"/>
      <c r="AH103" s="6"/>
      <c r="AI103" s="6">
        <f t="shared" ref="AI103:AK103" si="107">IFERROR(AI100/AI96,0)</f>
        <v>25.3</v>
      </c>
      <c r="AJ103" s="6">
        <f t="shared" si="107"/>
        <v>58.594999999999999</v>
      </c>
      <c r="AK103" s="6">
        <f t="shared" si="107"/>
        <v>40.625</v>
      </c>
      <c r="AL103" s="132">
        <v>0</v>
      </c>
      <c r="AM103" s="132">
        <v>0</v>
      </c>
      <c r="AN103" s="132">
        <v>0</v>
      </c>
      <c r="AO103" s="132">
        <v>0</v>
      </c>
      <c r="AP103" s="132">
        <v>0</v>
      </c>
    </row>
  </sheetData>
  <conditionalFormatting sqref="S42:AD51 S3:AD12 S16:AD25 S29:AD38">
    <cfRule type="expression" dxfId="293" priority="191">
      <formula>IF($A$1=MONTH(S$2),TRUE,FALSE)</formula>
    </cfRule>
  </conditionalFormatting>
  <conditionalFormatting sqref="Y2">
    <cfRule type="expression" dxfId="292" priority="190">
      <formula>IF($A$1=MONTH(Y$2),TRUE,FALSE)</formula>
    </cfRule>
  </conditionalFormatting>
  <conditionalFormatting sqref="Y15">
    <cfRule type="expression" dxfId="291" priority="189">
      <formula>IF($A$1=MONTH(Y$2),TRUE,FALSE)</formula>
    </cfRule>
  </conditionalFormatting>
  <conditionalFormatting sqref="Y28">
    <cfRule type="expression" dxfId="290" priority="188">
      <formula>IF($A$1=MONTH(Y$2),TRUE,FALSE)</formula>
    </cfRule>
  </conditionalFormatting>
  <conditionalFormatting sqref="Y41">
    <cfRule type="expression" dxfId="289" priority="187">
      <formula>IF($A$1=MONTH(Y$2),TRUE,FALSE)</formula>
    </cfRule>
  </conditionalFormatting>
  <conditionalFormatting sqref="S55:Z56 S60:Z64 S57:Y59">
    <cfRule type="expression" dxfId="288" priority="186">
      <formula>IF($A$1=MONTH(S$2),TRUE,FALSE)</formula>
    </cfRule>
  </conditionalFormatting>
  <conditionalFormatting sqref="Y54">
    <cfRule type="expression" dxfId="287" priority="185">
      <formula>IF($A$1=MONTH(Y$2),TRUE,FALSE)</formula>
    </cfRule>
  </conditionalFormatting>
  <conditionalFormatting sqref="Z57:Z59">
    <cfRule type="expression" dxfId="286" priority="184">
      <formula>IF($A$1=MONTH(Z$2),TRUE,FALSE)</formula>
    </cfRule>
  </conditionalFormatting>
  <conditionalFormatting sqref="AA55:AA56 AA60:AA64">
    <cfRule type="expression" dxfId="285" priority="183">
      <formula>IF($A$1=MONTH(AA$2),TRUE,FALSE)</formula>
    </cfRule>
  </conditionalFormatting>
  <conditionalFormatting sqref="AA57:AA59">
    <cfRule type="expression" dxfId="284" priority="182">
      <formula>IF($A$1=MONTH(AA$2),TRUE,FALSE)</formula>
    </cfRule>
  </conditionalFormatting>
  <conditionalFormatting sqref="AB55:AB56 AB60:AB64">
    <cfRule type="expression" dxfId="283" priority="181">
      <formula>IF($A$1=MONTH(AB$2),TRUE,FALSE)</formula>
    </cfRule>
  </conditionalFormatting>
  <conditionalFormatting sqref="AB57:AB59">
    <cfRule type="expression" dxfId="282" priority="180">
      <formula>IF($A$1=MONTH(AB$2),TRUE,FALSE)</formula>
    </cfRule>
  </conditionalFormatting>
  <conditionalFormatting sqref="AC55:AC56 AC60:AC64">
    <cfRule type="expression" dxfId="281" priority="179">
      <formula>IF($A$1=MONTH(AC$2),TRUE,FALSE)</formula>
    </cfRule>
  </conditionalFormatting>
  <conditionalFormatting sqref="AC57:AC59">
    <cfRule type="expression" dxfId="280" priority="178">
      <formula>IF($A$1=MONTH(AC$2),TRUE,FALSE)</formula>
    </cfRule>
  </conditionalFormatting>
  <conditionalFormatting sqref="AD55:AD56 AD60:AD64">
    <cfRule type="expression" dxfId="279" priority="177">
      <formula>IF($A$1=MONTH(AD$2),TRUE,FALSE)</formula>
    </cfRule>
  </conditionalFormatting>
  <conditionalFormatting sqref="AD57:AD59">
    <cfRule type="expression" dxfId="278" priority="176">
      <formula>IF($A$1=MONTH(AD$2),TRUE,FALSE)</formula>
    </cfRule>
  </conditionalFormatting>
  <conditionalFormatting sqref="AE42:AP47 AE29:AP38 AE16:AG25 AE3:AG12 AE49:AP51 AE48:AG48 AI48:AP48 AJ16:AP25 AI3:AP4 AJ5:AP6 AI5 AJ8:AP8 AI7:AP7 AJ10:AP12 AI9:AP9">
    <cfRule type="expression" dxfId="277" priority="175">
      <formula>IF($A$1=MONTH(AE$2),TRUE,FALSE)</formula>
    </cfRule>
  </conditionalFormatting>
  <conditionalFormatting sqref="AK2">
    <cfRule type="expression" dxfId="276" priority="174">
      <formula>IF($A$1=MONTH(AK$2),TRUE,FALSE)</formula>
    </cfRule>
  </conditionalFormatting>
  <conditionalFormatting sqref="AK15">
    <cfRule type="expression" dxfId="275" priority="173">
      <formula>IF($A$1=MONTH(AK$2),TRUE,FALSE)</formula>
    </cfRule>
  </conditionalFormatting>
  <conditionalFormatting sqref="AK28">
    <cfRule type="expression" dxfId="274" priority="172">
      <formula>IF($A$1=MONTH(AK$2),TRUE,FALSE)</formula>
    </cfRule>
  </conditionalFormatting>
  <conditionalFormatting sqref="AK41">
    <cfRule type="expression" dxfId="273" priority="171">
      <formula>IF($A$1=MONTH(AK$2),TRUE,FALSE)</formula>
    </cfRule>
  </conditionalFormatting>
  <conditionalFormatting sqref="AE60:AL60 AE58:AP58 AE55:AE57 AE59 AE62:AL64 AE61">
    <cfRule type="expression" dxfId="272" priority="170">
      <formula>IF($A$1=MONTH(AE$2),TRUE,FALSE)</formula>
    </cfRule>
  </conditionalFormatting>
  <conditionalFormatting sqref="AK54">
    <cfRule type="expression" dxfId="271" priority="169">
      <formula>IF($A$1=MONTH(AK$2),TRUE,FALSE)</formula>
    </cfRule>
  </conditionalFormatting>
  <conditionalFormatting sqref="AL58">
    <cfRule type="expression" dxfId="270" priority="168">
      <formula>IF($A$1=MONTH(AL$2),TRUE,FALSE)</formula>
    </cfRule>
  </conditionalFormatting>
  <conditionalFormatting sqref="AM60 AM62:AM64">
    <cfRule type="expression" dxfId="269" priority="167">
      <formula>IF($A$1=MONTH(AM$2),TRUE,FALSE)</formula>
    </cfRule>
  </conditionalFormatting>
  <conditionalFormatting sqref="AM58">
    <cfRule type="expression" dxfId="268" priority="166">
      <formula>IF($A$1=MONTH(AM$2),TRUE,FALSE)</formula>
    </cfRule>
  </conditionalFormatting>
  <conditionalFormatting sqref="AN60 AN62:AN64">
    <cfRule type="expression" dxfId="267" priority="165">
      <formula>IF($A$1=MONTH(AN$2),TRUE,FALSE)</formula>
    </cfRule>
  </conditionalFormatting>
  <conditionalFormatting sqref="AN58">
    <cfRule type="expression" dxfId="266" priority="164">
      <formula>IF($A$1=MONTH(AN$2),TRUE,FALSE)</formula>
    </cfRule>
  </conditionalFormatting>
  <conditionalFormatting sqref="AO60 AO62:AO64">
    <cfRule type="expression" dxfId="265" priority="163">
      <formula>IF($A$1=MONTH(AO$2),TRUE,FALSE)</formula>
    </cfRule>
  </conditionalFormatting>
  <conditionalFormatting sqref="AO58">
    <cfRule type="expression" dxfId="264" priority="162">
      <formula>IF($A$1=MONTH(AO$2),TRUE,FALSE)</formula>
    </cfRule>
  </conditionalFormatting>
  <conditionalFormatting sqref="AP60 AP62:AP64">
    <cfRule type="expression" dxfId="263" priority="161">
      <formula>IF($A$1=MONTH(AP$2),TRUE,FALSE)</formula>
    </cfRule>
  </conditionalFormatting>
  <conditionalFormatting sqref="AP58">
    <cfRule type="expression" dxfId="262" priority="160">
      <formula>IF($A$1=MONTH(AP$2),TRUE,FALSE)</formula>
    </cfRule>
  </conditionalFormatting>
  <conditionalFormatting sqref="AF55:AL57">
    <cfRule type="expression" dxfId="261" priority="159">
      <formula>IF($A$1=MONTH(AF$2),TRUE,FALSE)</formula>
    </cfRule>
  </conditionalFormatting>
  <conditionalFormatting sqref="AM55:AM57">
    <cfRule type="expression" dxfId="260" priority="158">
      <formula>IF($A$1=MONTH(AM$2),TRUE,FALSE)</formula>
    </cfRule>
  </conditionalFormatting>
  <conditionalFormatting sqref="AN55:AN57">
    <cfRule type="expression" dxfId="259" priority="157">
      <formula>IF($A$1=MONTH(AN$2),TRUE,FALSE)</formula>
    </cfRule>
  </conditionalFormatting>
  <conditionalFormatting sqref="AO55:AO57">
    <cfRule type="expression" dxfId="258" priority="156">
      <formula>IF($A$1=MONTH(AO$2),TRUE,FALSE)</formula>
    </cfRule>
  </conditionalFormatting>
  <conditionalFormatting sqref="AP55:AP57">
    <cfRule type="expression" dxfId="257" priority="155">
      <formula>IF($A$1=MONTH(AP$2),TRUE,FALSE)</formula>
    </cfRule>
  </conditionalFormatting>
  <conditionalFormatting sqref="AF59:AL59">
    <cfRule type="expression" dxfId="256" priority="154">
      <formula>IF($A$1=MONTH(AF$2),TRUE,FALSE)</formula>
    </cfRule>
  </conditionalFormatting>
  <conditionalFormatting sqref="AM59">
    <cfRule type="expression" dxfId="255" priority="153">
      <formula>IF($A$1=MONTH(AM$2),TRUE,FALSE)</formula>
    </cfRule>
  </conditionalFormatting>
  <conditionalFormatting sqref="AN59">
    <cfRule type="expression" dxfId="254" priority="152">
      <formula>IF($A$1=MONTH(AN$2),TRUE,FALSE)</formula>
    </cfRule>
  </conditionalFormatting>
  <conditionalFormatting sqref="AO59">
    <cfRule type="expression" dxfId="253" priority="151">
      <formula>IF($A$1=MONTH(AO$2),TRUE,FALSE)</formula>
    </cfRule>
  </conditionalFormatting>
  <conditionalFormatting sqref="AP59">
    <cfRule type="expression" dxfId="252" priority="150">
      <formula>IF($A$1=MONTH(AP$2),TRUE,FALSE)</formula>
    </cfRule>
  </conditionalFormatting>
  <conditionalFormatting sqref="AF61:AL61">
    <cfRule type="expression" dxfId="251" priority="149">
      <formula>IF($A$1=MONTH(AF$2),TRUE,FALSE)</formula>
    </cfRule>
  </conditionalFormatting>
  <conditionalFormatting sqref="AM61">
    <cfRule type="expression" dxfId="250" priority="148">
      <formula>IF($A$1=MONTH(AM$2),TRUE,FALSE)</formula>
    </cfRule>
  </conditionalFormatting>
  <conditionalFormatting sqref="AN61">
    <cfRule type="expression" dxfId="249" priority="147">
      <formula>IF($A$1=MONTH(AN$2),TRUE,FALSE)</formula>
    </cfRule>
  </conditionalFormatting>
  <conditionalFormatting sqref="AO61">
    <cfRule type="expression" dxfId="248" priority="146">
      <formula>IF($A$1=MONTH(AO$2),TRUE,FALSE)</formula>
    </cfRule>
  </conditionalFormatting>
  <conditionalFormatting sqref="AP61">
    <cfRule type="expression" dxfId="247" priority="145">
      <formula>IF($A$1=MONTH(AP$2),TRUE,FALSE)</formula>
    </cfRule>
  </conditionalFormatting>
  <conditionalFormatting sqref="AP84">
    <cfRule type="expression" dxfId="246" priority="102">
      <formula>IF($A$1=MONTH(AP$2),TRUE,FALSE)</formula>
    </cfRule>
  </conditionalFormatting>
  <conditionalFormatting sqref="S81:Z82 S86:Z90 S83:Y85">
    <cfRule type="expression" dxfId="245" priority="144">
      <formula>IF($A$1=MONTH(S$2),TRUE,FALSE)</formula>
    </cfRule>
  </conditionalFormatting>
  <conditionalFormatting sqref="Y80">
    <cfRule type="expression" dxfId="244" priority="143">
      <formula>IF($A$1=MONTH(Y$2),TRUE,FALSE)</formula>
    </cfRule>
  </conditionalFormatting>
  <conditionalFormatting sqref="Z83:Z85">
    <cfRule type="expression" dxfId="243" priority="142">
      <formula>IF($A$1=MONTH(Z$2),TRUE,FALSE)</formula>
    </cfRule>
  </conditionalFormatting>
  <conditionalFormatting sqref="AA81:AA82 AA86:AA90">
    <cfRule type="expression" dxfId="242" priority="141">
      <formula>IF($A$1=MONTH(AA$2),TRUE,FALSE)</formula>
    </cfRule>
  </conditionalFormatting>
  <conditionalFormatting sqref="AA83:AA85">
    <cfRule type="expression" dxfId="241" priority="140">
      <formula>IF($A$1=MONTH(AA$2),TRUE,FALSE)</formula>
    </cfRule>
  </conditionalFormatting>
  <conditionalFormatting sqref="AB81:AB82 AB86:AB90">
    <cfRule type="expression" dxfId="240" priority="139">
      <formula>IF($A$1=MONTH(AB$2),TRUE,FALSE)</formula>
    </cfRule>
  </conditionalFormatting>
  <conditionalFormatting sqref="AB83:AB85">
    <cfRule type="expression" dxfId="239" priority="138">
      <formula>IF($A$1=MONTH(AB$2),TRUE,FALSE)</formula>
    </cfRule>
  </conditionalFormatting>
  <conditionalFormatting sqref="AC81:AC82 AC86:AC90">
    <cfRule type="expression" dxfId="238" priority="137">
      <formula>IF($A$1=MONTH(AC$2),TRUE,FALSE)</formula>
    </cfRule>
  </conditionalFormatting>
  <conditionalFormatting sqref="AC83:AC85">
    <cfRule type="expression" dxfId="237" priority="136">
      <formula>IF($A$1=MONTH(AC$2),TRUE,FALSE)</formula>
    </cfRule>
  </conditionalFormatting>
  <conditionalFormatting sqref="AD81:AD82 AD86:AD90">
    <cfRule type="expression" dxfId="236" priority="135">
      <formula>IF($A$1=MONTH(AD$2),TRUE,FALSE)</formula>
    </cfRule>
  </conditionalFormatting>
  <conditionalFormatting sqref="AD83:AD85">
    <cfRule type="expression" dxfId="235" priority="134">
      <formula>IF($A$1=MONTH(AD$2),TRUE,FALSE)</formula>
    </cfRule>
  </conditionalFormatting>
  <conditionalFormatting sqref="AE86:AL86 AE81:AE85 AE88:AL90 AE87">
    <cfRule type="expression" dxfId="234" priority="133">
      <formula>IF($A$1=MONTH(AE$2),TRUE,FALSE)</formula>
    </cfRule>
  </conditionalFormatting>
  <conditionalFormatting sqref="AK80">
    <cfRule type="expression" dxfId="233" priority="132">
      <formula>IF($A$1=MONTH(AK$2),TRUE,FALSE)</formula>
    </cfRule>
  </conditionalFormatting>
  <conditionalFormatting sqref="AM86 AM88:AM90">
    <cfRule type="expression" dxfId="232" priority="130">
      <formula>IF($A$1=MONTH(AM$2),TRUE,FALSE)</formula>
    </cfRule>
  </conditionalFormatting>
  <conditionalFormatting sqref="AN86 AN88:AN90">
    <cfRule type="expression" dxfId="231" priority="128">
      <formula>IF($A$1=MONTH(AN$2),TRUE,FALSE)</formula>
    </cfRule>
  </conditionalFormatting>
  <conditionalFormatting sqref="AM81:AM83">
    <cfRule type="expression" dxfId="230" priority="121">
      <formula>IF($A$1=MONTH(AM$2),TRUE,FALSE)</formula>
    </cfRule>
  </conditionalFormatting>
  <conditionalFormatting sqref="AO86 AO88:AO90">
    <cfRule type="expression" dxfId="229" priority="126">
      <formula>IF($A$1=MONTH(AO$2),TRUE,FALSE)</formula>
    </cfRule>
  </conditionalFormatting>
  <conditionalFormatting sqref="AO81:AO83">
    <cfRule type="expression" dxfId="228" priority="119">
      <formula>IF($A$1=MONTH(AO$2),TRUE,FALSE)</formula>
    </cfRule>
  </conditionalFormatting>
  <conditionalFormatting sqref="AP86 AP88:AP90">
    <cfRule type="expression" dxfId="227" priority="124">
      <formula>IF($A$1=MONTH(AP$2),TRUE,FALSE)</formula>
    </cfRule>
  </conditionalFormatting>
  <conditionalFormatting sqref="AF85:AL85">
    <cfRule type="expression" dxfId="226" priority="117">
      <formula>IF($A$1=MONTH(AF$2),TRUE,FALSE)</formula>
    </cfRule>
  </conditionalFormatting>
  <conditionalFormatting sqref="AF81:AL83">
    <cfRule type="expression" dxfId="225" priority="122">
      <formula>IF($A$1=MONTH(AF$2),TRUE,FALSE)</formula>
    </cfRule>
  </conditionalFormatting>
  <conditionalFormatting sqref="AN81:AN83">
    <cfRule type="expression" dxfId="224" priority="120">
      <formula>IF($A$1=MONTH(AN$2),TRUE,FALSE)</formula>
    </cfRule>
  </conditionalFormatting>
  <conditionalFormatting sqref="AP81:AP83">
    <cfRule type="expression" dxfId="223" priority="118">
      <formula>IF($A$1=MONTH(AP$2),TRUE,FALSE)</formula>
    </cfRule>
  </conditionalFormatting>
  <conditionalFormatting sqref="AM85">
    <cfRule type="expression" dxfId="222" priority="116">
      <formula>IF($A$1=MONTH(AM$2),TRUE,FALSE)</formula>
    </cfRule>
  </conditionalFormatting>
  <conditionalFormatting sqref="AN85">
    <cfRule type="expression" dxfId="221" priority="115">
      <formula>IF($A$1=MONTH(AN$2),TRUE,FALSE)</formula>
    </cfRule>
  </conditionalFormatting>
  <conditionalFormatting sqref="AO85">
    <cfRule type="expression" dxfId="220" priority="114">
      <formula>IF($A$1=MONTH(AO$2),TRUE,FALSE)</formula>
    </cfRule>
  </conditionalFormatting>
  <conditionalFormatting sqref="AP85">
    <cfRule type="expression" dxfId="219" priority="113">
      <formula>IF($A$1=MONTH(AP$2),TRUE,FALSE)</formula>
    </cfRule>
  </conditionalFormatting>
  <conditionalFormatting sqref="AF87:AL87">
    <cfRule type="expression" dxfId="218" priority="112">
      <formula>IF($A$1=MONTH(AF$2),TRUE,FALSE)</formula>
    </cfRule>
  </conditionalFormatting>
  <conditionalFormatting sqref="AM87">
    <cfRule type="expression" dxfId="217" priority="111">
      <formula>IF($A$1=MONTH(AM$2),TRUE,FALSE)</formula>
    </cfRule>
  </conditionalFormatting>
  <conditionalFormatting sqref="AN87">
    <cfRule type="expression" dxfId="216" priority="110">
      <formula>IF($A$1=MONTH(AN$2),TRUE,FALSE)</formula>
    </cfRule>
  </conditionalFormatting>
  <conditionalFormatting sqref="AO87">
    <cfRule type="expression" dxfId="215" priority="109">
      <formula>IF($A$1=MONTH(AO$2),TRUE,FALSE)</formula>
    </cfRule>
  </conditionalFormatting>
  <conditionalFormatting sqref="AP87">
    <cfRule type="expression" dxfId="214" priority="108">
      <formula>IF($A$1=MONTH(AP$2),TRUE,FALSE)</formula>
    </cfRule>
  </conditionalFormatting>
  <conditionalFormatting sqref="AF84:AP84">
    <cfRule type="expression" dxfId="213" priority="107">
      <formula>IF($A$1=MONTH(AF$2),TRUE,FALSE)</formula>
    </cfRule>
  </conditionalFormatting>
  <conditionalFormatting sqref="AL84">
    <cfRule type="expression" dxfId="212" priority="106">
      <formula>IF($A$1=MONTH(AL$2),TRUE,FALSE)</formula>
    </cfRule>
  </conditionalFormatting>
  <conditionalFormatting sqref="AM84">
    <cfRule type="expression" dxfId="211" priority="105">
      <formula>IF($A$1=MONTH(AM$2),TRUE,FALSE)</formula>
    </cfRule>
  </conditionalFormatting>
  <conditionalFormatting sqref="AN84">
    <cfRule type="expression" dxfId="210" priority="104">
      <formula>IF($A$1=MONTH(AN$2),TRUE,FALSE)</formula>
    </cfRule>
  </conditionalFormatting>
  <conditionalFormatting sqref="AO84">
    <cfRule type="expression" dxfId="209" priority="103">
      <formula>IF($A$1=MONTH(AO$2),TRUE,FALSE)</formula>
    </cfRule>
  </conditionalFormatting>
  <conditionalFormatting sqref="AP71">
    <cfRule type="expression" dxfId="208" priority="64">
      <formula>IF($A$1=MONTH(AP$2),TRUE,FALSE)</formula>
    </cfRule>
  </conditionalFormatting>
  <conditionalFormatting sqref="S68:Z69 S73:Z77 S70:Y72">
    <cfRule type="expression" dxfId="207" priority="101">
      <formula>IF($A$1=MONTH(S$2),TRUE,FALSE)</formula>
    </cfRule>
  </conditionalFormatting>
  <conditionalFormatting sqref="Y67">
    <cfRule type="expression" dxfId="206" priority="100">
      <formula>IF($A$1=MONTH(Y$2),TRUE,FALSE)</formula>
    </cfRule>
  </conditionalFormatting>
  <conditionalFormatting sqref="Z70:Z72">
    <cfRule type="expression" dxfId="205" priority="99">
      <formula>IF($A$1=MONTH(Z$2),TRUE,FALSE)</formula>
    </cfRule>
  </conditionalFormatting>
  <conditionalFormatting sqref="AA68:AA69 AA73:AA77">
    <cfRule type="expression" dxfId="204" priority="98">
      <formula>IF($A$1=MONTH(AA$2),TRUE,FALSE)</formula>
    </cfRule>
  </conditionalFormatting>
  <conditionalFormatting sqref="AA70:AA72">
    <cfRule type="expression" dxfId="203" priority="97">
      <formula>IF($A$1=MONTH(AA$2),TRUE,FALSE)</formula>
    </cfRule>
  </conditionalFormatting>
  <conditionalFormatting sqref="AB68:AB69 AB73:AB77">
    <cfRule type="expression" dxfId="202" priority="96">
      <formula>IF($A$1=MONTH(AB$2),TRUE,FALSE)</formula>
    </cfRule>
  </conditionalFormatting>
  <conditionalFormatting sqref="AB70:AB72">
    <cfRule type="expression" dxfId="201" priority="95">
      <formula>IF($A$1=MONTH(AB$2),TRUE,FALSE)</formula>
    </cfRule>
  </conditionalFormatting>
  <conditionalFormatting sqref="AC68:AC69 AC73:AC77">
    <cfRule type="expression" dxfId="200" priority="94">
      <formula>IF($A$1=MONTH(AC$2),TRUE,FALSE)</formula>
    </cfRule>
  </conditionalFormatting>
  <conditionalFormatting sqref="AC70:AC72">
    <cfRule type="expression" dxfId="199" priority="93">
      <formula>IF($A$1=MONTH(AC$2),TRUE,FALSE)</formula>
    </cfRule>
  </conditionalFormatting>
  <conditionalFormatting sqref="AD68:AD69 AD73:AD77">
    <cfRule type="expression" dxfId="198" priority="92">
      <formula>IF($A$1=MONTH(AD$2),TRUE,FALSE)</formula>
    </cfRule>
  </conditionalFormatting>
  <conditionalFormatting sqref="AD70:AD72">
    <cfRule type="expression" dxfId="197" priority="91">
      <formula>IF($A$1=MONTH(AD$2),TRUE,FALSE)</formula>
    </cfRule>
  </conditionalFormatting>
  <conditionalFormatting sqref="AH73:AL73 AH75:AL77">
    <cfRule type="expression" dxfId="196" priority="90">
      <formula>IF($A$1=MONTH(AH$2),TRUE,FALSE)</formula>
    </cfRule>
  </conditionalFormatting>
  <conditionalFormatting sqref="AK67">
    <cfRule type="expression" dxfId="195" priority="89">
      <formula>IF($A$1=MONTH(AK$2),TRUE,FALSE)</formula>
    </cfRule>
  </conditionalFormatting>
  <conditionalFormatting sqref="AM73 AM75:AM77">
    <cfRule type="expression" dxfId="194" priority="88">
      <formula>IF($A$1=MONTH(AM$2),TRUE,FALSE)</formula>
    </cfRule>
  </conditionalFormatting>
  <conditionalFormatting sqref="AN73 AN75:AN77">
    <cfRule type="expression" dxfId="193" priority="87">
      <formula>IF($A$1=MONTH(AN$2),TRUE,FALSE)</formula>
    </cfRule>
  </conditionalFormatting>
  <conditionalFormatting sqref="AM68:AM70">
    <cfRule type="expression" dxfId="192" priority="83">
      <formula>IF($A$1=MONTH(AM$2),TRUE,FALSE)</formula>
    </cfRule>
  </conditionalFormatting>
  <conditionalFormatting sqref="AO73 AO75:AO77">
    <cfRule type="expression" dxfId="191" priority="86">
      <formula>IF($A$1=MONTH(AO$2),TRUE,FALSE)</formula>
    </cfRule>
  </conditionalFormatting>
  <conditionalFormatting sqref="AO68:AO70">
    <cfRule type="expression" dxfId="190" priority="81">
      <formula>IF($A$1=MONTH(AO$2),TRUE,FALSE)</formula>
    </cfRule>
  </conditionalFormatting>
  <conditionalFormatting sqref="AP73 AP75:AP77">
    <cfRule type="expression" dxfId="189" priority="85">
      <formula>IF($A$1=MONTH(AP$2),TRUE,FALSE)</formula>
    </cfRule>
  </conditionalFormatting>
  <conditionalFormatting sqref="AH72:AL72">
    <cfRule type="expression" dxfId="188" priority="79">
      <formula>IF($A$1=MONTH(AH$2),TRUE,FALSE)</formula>
    </cfRule>
  </conditionalFormatting>
  <conditionalFormatting sqref="AH68:AL70">
    <cfRule type="expression" dxfId="187" priority="84">
      <formula>IF($A$1=MONTH(AH$2),TRUE,FALSE)</formula>
    </cfRule>
  </conditionalFormatting>
  <conditionalFormatting sqref="AN68:AN70">
    <cfRule type="expression" dxfId="186" priority="82">
      <formula>IF($A$1=MONTH(AN$2),TRUE,FALSE)</formula>
    </cfRule>
  </conditionalFormatting>
  <conditionalFormatting sqref="AP68:AP70">
    <cfRule type="expression" dxfId="185" priority="80">
      <formula>IF($A$1=MONTH(AP$2),TRUE,FALSE)</formula>
    </cfRule>
  </conditionalFormatting>
  <conditionalFormatting sqref="AM72">
    <cfRule type="expression" dxfId="184" priority="78">
      <formula>IF($A$1=MONTH(AM$2),TRUE,FALSE)</formula>
    </cfRule>
  </conditionalFormatting>
  <conditionalFormatting sqref="AN72">
    <cfRule type="expression" dxfId="183" priority="77">
      <formula>IF($A$1=MONTH(AN$2),TRUE,FALSE)</formula>
    </cfRule>
  </conditionalFormatting>
  <conditionalFormatting sqref="AO72">
    <cfRule type="expression" dxfId="182" priority="76">
      <formula>IF($A$1=MONTH(AO$2),TRUE,FALSE)</formula>
    </cfRule>
  </conditionalFormatting>
  <conditionalFormatting sqref="AP72">
    <cfRule type="expression" dxfId="181" priority="75">
      <formula>IF($A$1=MONTH(AP$2),TRUE,FALSE)</formula>
    </cfRule>
  </conditionalFormatting>
  <conditionalFormatting sqref="AH74:AL74">
    <cfRule type="expression" dxfId="180" priority="74">
      <formula>IF($A$1=MONTH(AH$2),TRUE,FALSE)</formula>
    </cfRule>
  </conditionalFormatting>
  <conditionalFormatting sqref="AM74">
    <cfRule type="expression" dxfId="179" priority="73">
      <formula>IF($A$1=MONTH(AM$2),TRUE,FALSE)</formula>
    </cfRule>
  </conditionalFormatting>
  <conditionalFormatting sqref="AN74">
    <cfRule type="expression" dxfId="178" priority="72">
      <formula>IF($A$1=MONTH(AN$2),TRUE,FALSE)</formula>
    </cfRule>
  </conditionalFormatting>
  <conditionalFormatting sqref="AO74">
    <cfRule type="expression" dxfId="177" priority="71">
      <formula>IF($A$1=MONTH(AO$2),TRUE,FALSE)</formula>
    </cfRule>
  </conditionalFormatting>
  <conditionalFormatting sqref="AP74">
    <cfRule type="expression" dxfId="176" priority="70">
      <formula>IF($A$1=MONTH(AP$2),TRUE,FALSE)</formula>
    </cfRule>
  </conditionalFormatting>
  <conditionalFormatting sqref="AH71:AP71">
    <cfRule type="expression" dxfId="175" priority="69">
      <formula>IF($A$1=MONTH(AH$2),TRUE,FALSE)</formula>
    </cfRule>
  </conditionalFormatting>
  <conditionalFormatting sqref="AL71">
    <cfRule type="expression" dxfId="174" priority="68">
      <formula>IF($A$1=MONTH(AL$2),TRUE,FALSE)</formula>
    </cfRule>
  </conditionalFormatting>
  <conditionalFormatting sqref="AM71">
    <cfRule type="expression" dxfId="173" priority="67">
      <formula>IF($A$1=MONTH(AM$2),TRUE,FALSE)</formula>
    </cfRule>
  </conditionalFormatting>
  <conditionalFormatting sqref="AN71">
    <cfRule type="expression" dxfId="172" priority="66">
      <formula>IF($A$1=MONTH(AN$2),TRUE,FALSE)</formula>
    </cfRule>
  </conditionalFormatting>
  <conditionalFormatting sqref="AO71">
    <cfRule type="expression" dxfId="171" priority="65">
      <formula>IF($A$1=MONTH(AO$2),TRUE,FALSE)</formula>
    </cfRule>
  </conditionalFormatting>
  <conditionalFormatting sqref="AE70">
    <cfRule type="expression" dxfId="170" priority="52">
      <formula>IF($A$1=MONTH(AE$2),TRUE,FALSE)</formula>
    </cfRule>
  </conditionalFormatting>
  <conditionalFormatting sqref="AE72">
    <cfRule type="expression" dxfId="169" priority="51">
      <formula>IF($A$1=MONTH(AE$2),TRUE,FALSE)</formula>
    </cfRule>
  </conditionalFormatting>
  <conditionalFormatting sqref="AE74">
    <cfRule type="expression" dxfId="168" priority="50">
      <formula>IF($A$1=MONTH(AE$2),TRUE,FALSE)</formula>
    </cfRule>
  </conditionalFormatting>
  <conditionalFormatting sqref="AE71">
    <cfRule type="expression" dxfId="167" priority="49">
      <formula>IF($A$1=MONTH(AE$2),TRUE,FALSE)</formula>
    </cfRule>
  </conditionalFormatting>
  <conditionalFormatting sqref="AF73:AG73 AF71:AG71 AF75:AG77">
    <cfRule type="expression" dxfId="166" priority="59">
      <formula>IF($A$1=MONTH(AF$2),TRUE,FALSE)</formula>
    </cfRule>
  </conditionalFormatting>
  <conditionalFormatting sqref="AF68:AG70">
    <cfRule type="expression" dxfId="165" priority="58">
      <formula>IF($A$1=MONTH(AF$2),TRUE,FALSE)</formula>
    </cfRule>
  </conditionalFormatting>
  <conditionalFormatting sqref="AF72:AG72">
    <cfRule type="expression" dxfId="164" priority="57">
      <formula>IF($A$1=MONTH(AF$2),TRUE,FALSE)</formula>
    </cfRule>
  </conditionalFormatting>
  <conditionalFormatting sqref="AF74:AG74">
    <cfRule type="expression" dxfId="163" priority="56">
      <formula>IF($A$1=MONTH(AF$2),TRUE,FALSE)</formula>
    </cfRule>
  </conditionalFormatting>
  <conditionalFormatting sqref="AE68">
    <cfRule type="expression" dxfId="162" priority="55">
      <formula>IF($A$1=MONTH(AE$2),TRUE,FALSE)</formula>
    </cfRule>
  </conditionalFormatting>
  <conditionalFormatting sqref="AE69">
    <cfRule type="expression" dxfId="161" priority="54">
      <formula>IF($A$1=MONTH(AE$2),TRUE,FALSE)</formula>
    </cfRule>
  </conditionalFormatting>
  <conditionalFormatting sqref="AE73 AE75:AE77">
    <cfRule type="expression" dxfId="160" priority="53">
      <formula>IF($A$1=MONTH(AE$2),TRUE,FALSE)</formula>
    </cfRule>
  </conditionalFormatting>
  <conditionalFormatting sqref="AH48">
    <cfRule type="expression" dxfId="159" priority="48">
      <formula>IF($A$1=MONTH(AH$2),TRUE,FALSE)</formula>
    </cfRule>
  </conditionalFormatting>
  <conditionalFormatting sqref="AH16:AH25 AH3:AH12">
    <cfRule type="expression" dxfId="158" priority="47">
      <formula>IF($A$1=MONTH(AH$2),TRUE,FALSE)</formula>
    </cfRule>
  </conditionalFormatting>
  <conditionalFormatting sqref="AI6 AI8 AI10:AI12">
    <cfRule type="expression" dxfId="157" priority="45">
      <formula>IF($A$1=MONTH(AI$2),TRUE,FALSE)</formula>
    </cfRule>
  </conditionalFormatting>
  <conditionalFormatting sqref="AI16:AI25">
    <cfRule type="expression" dxfId="156" priority="44">
      <formula>IF($A$1=MONTH(AI$2),TRUE,FALSE)</formula>
    </cfRule>
  </conditionalFormatting>
  <conditionalFormatting sqref="AP97">
    <cfRule type="expression" dxfId="70" priority="6">
      <formula>IF($A$1=MONTH(AP$2),TRUE,FALSE)</formula>
    </cfRule>
  </conditionalFormatting>
  <conditionalFormatting sqref="S94:Z95 S99:Z103 S96:Y98">
    <cfRule type="expression" dxfId="69" priority="43">
      <formula>IF($A$1=MONTH(S$2),TRUE,FALSE)</formula>
    </cfRule>
  </conditionalFormatting>
  <conditionalFormatting sqref="Y93">
    <cfRule type="expression" dxfId="68" priority="42">
      <formula>IF($A$1=MONTH(Y$2),TRUE,FALSE)</formula>
    </cfRule>
  </conditionalFormatting>
  <conditionalFormatting sqref="Z96:Z98">
    <cfRule type="expression" dxfId="67" priority="41">
      <formula>IF($A$1=MONTH(Z$2),TRUE,FALSE)</formula>
    </cfRule>
  </conditionalFormatting>
  <conditionalFormatting sqref="AA94:AA95 AA99:AA103">
    <cfRule type="expression" dxfId="66" priority="40">
      <formula>IF($A$1=MONTH(AA$2),TRUE,FALSE)</formula>
    </cfRule>
  </conditionalFormatting>
  <conditionalFormatting sqref="AA96:AA98">
    <cfRule type="expression" dxfId="65" priority="39">
      <formula>IF($A$1=MONTH(AA$2),TRUE,FALSE)</formula>
    </cfRule>
  </conditionalFormatting>
  <conditionalFormatting sqref="AB94:AB95 AB99:AB103">
    <cfRule type="expression" dxfId="64" priority="38">
      <formula>IF($A$1=MONTH(AB$2),TRUE,FALSE)</formula>
    </cfRule>
  </conditionalFormatting>
  <conditionalFormatting sqref="AB96:AB98">
    <cfRule type="expression" dxfId="63" priority="37">
      <formula>IF($A$1=MONTH(AB$2),TRUE,FALSE)</formula>
    </cfRule>
  </conditionalFormatting>
  <conditionalFormatting sqref="AC94:AC95 AC99:AC103">
    <cfRule type="expression" dxfId="62" priority="36">
      <formula>IF($A$1=MONTH(AC$2),TRUE,FALSE)</formula>
    </cfRule>
  </conditionalFormatting>
  <conditionalFormatting sqref="AC96:AC98">
    <cfRule type="expression" dxfId="61" priority="35">
      <formula>IF($A$1=MONTH(AC$2),TRUE,FALSE)</formula>
    </cfRule>
  </conditionalFormatting>
  <conditionalFormatting sqref="AD94:AD95 AD99:AD103">
    <cfRule type="expression" dxfId="60" priority="34">
      <formula>IF($A$1=MONTH(AD$2),TRUE,FALSE)</formula>
    </cfRule>
  </conditionalFormatting>
  <conditionalFormatting sqref="AD96:AD98">
    <cfRule type="expression" dxfId="59" priority="33">
      <formula>IF($A$1=MONTH(AD$2),TRUE,FALSE)</formula>
    </cfRule>
  </conditionalFormatting>
  <conditionalFormatting sqref="AE99:AH99 AE94:AE98 AE100 AL99 AE101:AH103 AL101:AL103">
    <cfRule type="expression" dxfId="58" priority="32">
      <formula>IF($A$1=MONTH(AE$2),TRUE,FALSE)</formula>
    </cfRule>
  </conditionalFormatting>
  <conditionalFormatting sqref="AK93">
    <cfRule type="expression" dxfId="57" priority="31">
      <formula>IF($A$1=MONTH(AK$2),TRUE,FALSE)</formula>
    </cfRule>
  </conditionalFormatting>
  <conditionalFormatting sqref="AM99 AM101:AM103">
    <cfRule type="expression" dxfId="56" priority="30">
      <formula>IF($A$1=MONTH(AM$2),TRUE,FALSE)</formula>
    </cfRule>
  </conditionalFormatting>
  <conditionalFormatting sqref="AN99 AN101:AN103">
    <cfRule type="expression" dxfId="55" priority="29">
      <formula>IF($A$1=MONTH(AN$2),TRUE,FALSE)</formula>
    </cfRule>
  </conditionalFormatting>
  <conditionalFormatting sqref="AM94:AM96">
    <cfRule type="expression" dxfId="54" priority="25">
      <formula>IF($A$1=MONTH(AM$2),TRUE,FALSE)</formula>
    </cfRule>
  </conditionalFormatting>
  <conditionalFormatting sqref="AO99 AO101:AO103">
    <cfRule type="expression" dxfId="53" priority="28">
      <formula>IF($A$1=MONTH(AO$2),TRUE,FALSE)</formula>
    </cfRule>
  </conditionalFormatting>
  <conditionalFormatting sqref="AO94:AO96">
    <cfRule type="expression" dxfId="52" priority="23">
      <formula>IF($A$1=MONTH(AO$2),TRUE,FALSE)</formula>
    </cfRule>
  </conditionalFormatting>
  <conditionalFormatting sqref="AP99 AP101:AP103">
    <cfRule type="expression" dxfId="51" priority="27">
      <formula>IF($A$1=MONTH(AP$2),TRUE,FALSE)</formula>
    </cfRule>
  </conditionalFormatting>
  <conditionalFormatting sqref="AF98:AL98">
    <cfRule type="expression" dxfId="50" priority="21">
      <formula>IF($A$1=MONTH(AF$2),TRUE,FALSE)</formula>
    </cfRule>
  </conditionalFormatting>
  <conditionalFormatting sqref="AF94:AL96">
    <cfRule type="expression" dxfId="49" priority="26">
      <formula>IF($A$1=MONTH(AF$2),TRUE,FALSE)</formula>
    </cfRule>
  </conditionalFormatting>
  <conditionalFormatting sqref="AN94:AN96">
    <cfRule type="expression" dxfId="48" priority="24">
      <formula>IF($A$1=MONTH(AN$2),TRUE,FALSE)</formula>
    </cfRule>
  </conditionalFormatting>
  <conditionalFormatting sqref="AP94:AP96">
    <cfRule type="expression" dxfId="47" priority="22">
      <formula>IF($A$1=MONTH(AP$2),TRUE,FALSE)</formula>
    </cfRule>
  </conditionalFormatting>
  <conditionalFormatting sqref="AM98">
    <cfRule type="expression" dxfId="46" priority="20">
      <formula>IF($A$1=MONTH(AM$2),TRUE,FALSE)</formula>
    </cfRule>
  </conditionalFormatting>
  <conditionalFormatting sqref="AN98">
    <cfRule type="expression" dxfId="45" priority="19">
      <formula>IF($A$1=MONTH(AN$2),TRUE,FALSE)</formula>
    </cfRule>
  </conditionalFormatting>
  <conditionalFormatting sqref="AO98">
    <cfRule type="expression" dxfId="44" priority="18">
      <formula>IF($A$1=MONTH(AO$2),TRUE,FALSE)</formula>
    </cfRule>
  </conditionalFormatting>
  <conditionalFormatting sqref="AP98">
    <cfRule type="expression" dxfId="43" priority="17">
      <formula>IF($A$1=MONTH(AP$2),TRUE,FALSE)</formula>
    </cfRule>
  </conditionalFormatting>
  <conditionalFormatting sqref="AF100:AL100">
    <cfRule type="expression" dxfId="42" priority="16">
      <formula>IF($A$1=MONTH(AF$2),TRUE,FALSE)</formula>
    </cfRule>
  </conditionalFormatting>
  <conditionalFormatting sqref="AM100">
    <cfRule type="expression" dxfId="41" priority="15">
      <formula>IF($A$1=MONTH(AM$2),TRUE,FALSE)</formula>
    </cfRule>
  </conditionalFormatting>
  <conditionalFormatting sqref="AN100">
    <cfRule type="expression" dxfId="40" priority="14">
      <formula>IF($A$1=MONTH(AN$2),TRUE,FALSE)</formula>
    </cfRule>
  </conditionalFormatting>
  <conditionalFormatting sqref="AO100">
    <cfRule type="expression" dxfId="39" priority="13">
      <formula>IF($A$1=MONTH(AO$2),TRUE,FALSE)</formula>
    </cfRule>
  </conditionalFormatting>
  <conditionalFormatting sqref="AP100">
    <cfRule type="expression" dxfId="38" priority="12">
      <formula>IF($A$1=MONTH(AP$2),TRUE,FALSE)</formula>
    </cfRule>
  </conditionalFormatting>
  <conditionalFormatting sqref="AF97:AH97 AL97:AP97">
    <cfRule type="expression" dxfId="37" priority="11">
      <formula>IF($A$1=MONTH(AF$2),TRUE,FALSE)</formula>
    </cfRule>
  </conditionalFormatting>
  <conditionalFormatting sqref="AL97">
    <cfRule type="expression" dxfId="36" priority="10">
      <formula>IF($A$1=MONTH(AL$2),TRUE,FALSE)</formula>
    </cfRule>
  </conditionalFormatting>
  <conditionalFormatting sqref="AM97">
    <cfRule type="expression" dxfId="35" priority="9">
      <formula>IF($A$1=MONTH(AM$2),TRUE,FALSE)</formula>
    </cfRule>
  </conditionalFormatting>
  <conditionalFormatting sqref="AN97">
    <cfRule type="expression" dxfId="34" priority="8">
      <formula>IF($A$1=MONTH(AN$2),TRUE,FALSE)</formula>
    </cfRule>
  </conditionalFormatting>
  <conditionalFormatting sqref="AO97">
    <cfRule type="expression" dxfId="33" priority="7">
      <formula>IF($A$1=MONTH(AO$2),TRUE,FALSE)</formula>
    </cfRule>
  </conditionalFormatting>
  <conditionalFormatting sqref="AI97:AK97">
    <cfRule type="expression" dxfId="17" priority="5">
      <formula>IF($A$1=MONTH(AI$2),TRUE,FALSE)</formula>
    </cfRule>
  </conditionalFormatting>
  <conditionalFormatting sqref="AI99:AK99">
    <cfRule type="expression" dxfId="16" priority="4">
      <formula>IF($A$1=MONTH(AI$2),TRUE,FALSE)</formula>
    </cfRule>
  </conditionalFormatting>
  <conditionalFormatting sqref="AI101:AK101">
    <cfRule type="expression" dxfId="15" priority="3">
      <formula>IF($A$1=MONTH(AI$2),TRUE,FALSE)</formula>
    </cfRule>
  </conditionalFormatting>
  <conditionalFormatting sqref="AI102:AK102">
    <cfRule type="expression" dxfId="14" priority="2">
      <formula>IF($A$1=MONTH(AI$2),TRUE,FALSE)</formula>
    </cfRule>
  </conditionalFormatting>
  <conditionalFormatting sqref="AI103:AK103">
    <cfRule type="expression" dxfId="13" priority="1">
      <formula>IF($A$1=MONTH(AI$2),TRUE,FALSE)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Drop Down 1">
              <controlPr defaultSize="0" autoLine="0" autoPict="0">
                <anchor moveWithCells="1">
                  <from>
                    <xdr:col>0</xdr:col>
                    <xdr:colOff>133350</xdr:colOff>
                    <xdr:row>0</xdr:row>
                    <xdr:rowOff>19050</xdr:rowOff>
                  </from>
                  <to>
                    <xdr:col>0</xdr:col>
                    <xdr:colOff>847725</xdr:colOff>
                    <xdr:row>0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2:BD239"/>
  <sheetViews>
    <sheetView topLeftCell="A2" zoomScale="85" zoomScaleNormal="85" workbookViewId="0">
      <pane xSplit="10" ySplit="2" topLeftCell="X14" activePane="bottomRight" state="frozen"/>
      <selection activeCell="A2" sqref="A2"/>
      <selection pane="topRight" activeCell="K2" sqref="K2"/>
      <selection pane="bottomLeft" activeCell="A4" sqref="A4"/>
      <selection pane="bottomRight" activeCell="AR18" sqref="AR18"/>
    </sheetView>
  </sheetViews>
  <sheetFormatPr defaultRowHeight="15" outlineLevelRow="1" outlineLevelCol="1" x14ac:dyDescent="0.25"/>
  <cols>
    <col min="1" max="1" width="17.7109375" customWidth="1"/>
    <col min="2" max="12" width="9.140625" hidden="1" customWidth="1" outlineLevel="1"/>
    <col min="13" max="13" width="9.140625" collapsed="1"/>
    <col min="15" max="17" width="9.140625" customWidth="1" outlineLevel="1"/>
    <col min="18" max="19" width="9.140625" customWidth="1"/>
    <col min="20" max="20" width="10.140625" customWidth="1"/>
    <col min="21" max="24" width="9.140625" customWidth="1" outlineLevel="1"/>
    <col min="26" max="26" width="12.7109375" customWidth="1"/>
    <col min="31" max="31" width="12.42578125" hidden="1" customWidth="1"/>
    <col min="32" max="35" width="0" hidden="1" customWidth="1"/>
    <col min="36" max="36" width="11.5703125" hidden="1" customWidth="1"/>
    <col min="37" max="39" width="0" hidden="1" customWidth="1"/>
    <col min="41" max="43" width="9.140625" customWidth="1" outlineLevel="1"/>
    <col min="44" max="45" width="9.140625" customWidth="1"/>
    <col min="46" max="50" width="9.140625" customWidth="1" outlineLevel="1"/>
    <col min="52" max="52" width="10.28515625" bestFit="1" customWidth="1"/>
  </cols>
  <sheetData>
    <row r="2" spans="1:56" x14ac:dyDescent="0.25">
      <c r="N2" s="149">
        <v>1</v>
      </c>
      <c r="O2" s="149">
        <v>2</v>
      </c>
      <c r="P2" s="149">
        <v>3</v>
      </c>
      <c r="Q2" s="149">
        <v>4</v>
      </c>
      <c r="R2" s="149">
        <v>5</v>
      </c>
      <c r="S2" s="149">
        <v>6</v>
      </c>
      <c r="T2" s="149">
        <v>7</v>
      </c>
      <c r="U2" s="149">
        <v>8</v>
      </c>
      <c r="V2" s="149">
        <v>9</v>
      </c>
      <c r="W2" s="149">
        <v>10</v>
      </c>
      <c r="X2" s="149">
        <v>11</v>
      </c>
      <c r="Y2" s="149">
        <v>12</v>
      </c>
      <c r="AN2" s="193">
        <v>1</v>
      </c>
      <c r="AO2" s="193">
        <v>2</v>
      </c>
      <c r="AP2" s="193">
        <v>3</v>
      </c>
      <c r="AQ2" s="193">
        <v>4</v>
      </c>
      <c r="AR2" s="193">
        <v>5</v>
      </c>
      <c r="AS2" s="193">
        <v>6</v>
      </c>
      <c r="AT2" s="193">
        <v>7</v>
      </c>
      <c r="AU2" s="193">
        <v>8</v>
      </c>
      <c r="AV2" s="193">
        <v>9</v>
      </c>
      <c r="AW2" s="193">
        <v>10</v>
      </c>
      <c r="AX2" s="193">
        <v>11</v>
      </c>
      <c r="AY2" s="193">
        <v>12</v>
      </c>
    </row>
    <row r="3" spans="1:56" x14ac:dyDescent="0.25">
      <c r="A3" s="51">
        <v>7</v>
      </c>
      <c r="N3" s="149" t="s">
        <v>127</v>
      </c>
      <c r="O3" s="149" t="s">
        <v>22</v>
      </c>
      <c r="P3" s="149" t="s">
        <v>23</v>
      </c>
      <c r="Q3" s="149" t="s">
        <v>24</v>
      </c>
      <c r="R3" s="149" t="s">
        <v>25</v>
      </c>
      <c r="S3" s="149" t="s">
        <v>26</v>
      </c>
      <c r="T3" s="149" t="s">
        <v>27</v>
      </c>
      <c r="U3" s="149" t="s">
        <v>28</v>
      </c>
      <c r="V3" s="149" t="s">
        <v>29</v>
      </c>
      <c r="W3" s="149" t="s">
        <v>30</v>
      </c>
      <c r="X3" s="149" t="s">
        <v>31</v>
      </c>
      <c r="Y3" s="149" t="s">
        <v>32</v>
      </c>
      <c r="AN3" s="193" t="s">
        <v>127</v>
      </c>
      <c r="AO3" s="193" t="s">
        <v>22</v>
      </c>
      <c r="AP3" s="193" t="s">
        <v>23</v>
      </c>
      <c r="AQ3" s="193" t="s">
        <v>24</v>
      </c>
      <c r="AR3" s="193" t="s">
        <v>25</v>
      </c>
      <c r="AS3" s="193" t="s">
        <v>26</v>
      </c>
      <c r="AT3" s="193" t="s">
        <v>27</v>
      </c>
      <c r="AU3" s="193" t="s">
        <v>28</v>
      </c>
      <c r="AV3" s="193" t="s">
        <v>29</v>
      </c>
      <c r="AW3" s="193" t="s">
        <v>30</v>
      </c>
      <c r="AX3" s="193" t="s">
        <v>31</v>
      </c>
      <c r="AY3" s="193" t="s">
        <v>32</v>
      </c>
    </row>
    <row r="4" spans="1:56" x14ac:dyDescent="0.25">
      <c r="A4" s="10" t="s">
        <v>68</v>
      </c>
      <c r="N4" s="149" t="s">
        <v>91</v>
      </c>
      <c r="O4" s="149" t="s">
        <v>92</v>
      </c>
      <c r="P4" s="149" t="s">
        <v>93</v>
      </c>
      <c r="Q4" s="149" t="s">
        <v>94</v>
      </c>
      <c r="R4" s="149" t="s">
        <v>95</v>
      </c>
      <c r="S4" s="149" t="s">
        <v>96</v>
      </c>
      <c r="T4" s="149" t="s">
        <v>111</v>
      </c>
      <c r="U4" s="149" t="s">
        <v>135</v>
      </c>
      <c r="V4" s="149" t="s">
        <v>136</v>
      </c>
      <c r="W4" s="149" t="s">
        <v>137</v>
      </c>
      <c r="X4" s="149" t="s">
        <v>138</v>
      </c>
      <c r="Y4" s="149" t="s">
        <v>139</v>
      </c>
      <c r="AJ4" s="183" t="s">
        <v>39</v>
      </c>
      <c r="AK4" s="183"/>
      <c r="AL4" s="183" t="s">
        <v>166</v>
      </c>
      <c r="AM4" s="183"/>
      <c r="AN4" s="193" t="s">
        <v>189</v>
      </c>
      <c r="AO4" s="193" t="s">
        <v>190</v>
      </c>
      <c r="AP4" s="193" t="s">
        <v>191</v>
      </c>
      <c r="AQ4" s="193" t="s">
        <v>192</v>
      </c>
      <c r="AR4" s="193" t="s">
        <v>193</v>
      </c>
      <c r="AS4" s="193" t="s">
        <v>194</v>
      </c>
      <c r="AT4" s="193" t="s">
        <v>195</v>
      </c>
      <c r="AU4" s="193" t="s">
        <v>196</v>
      </c>
      <c r="AV4" s="193" t="s">
        <v>197</v>
      </c>
      <c r="AW4" s="193" t="s">
        <v>198</v>
      </c>
      <c r="AX4" s="193" t="s">
        <v>199</v>
      </c>
      <c r="AY4" s="193" t="s">
        <v>200</v>
      </c>
    </row>
    <row r="5" spans="1:56" s="9" customFormat="1" outlineLevel="1" x14ac:dyDescent="0.25">
      <c r="A5" s="9" t="s">
        <v>6</v>
      </c>
      <c r="B5" s="18">
        <v>1501</v>
      </c>
      <c r="C5" s="18">
        <v>1502</v>
      </c>
      <c r="D5" s="18">
        <v>1503</v>
      </c>
      <c r="E5" s="18">
        <v>1504</v>
      </c>
      <c r="F5" s="18">
        <v>1505</v>
      </c>
      <c r="G5" s="18">
        <v>1506</v>
      </c>
      <c r="H5" s="18">
        <v>1507</v>
      </c>
      <c r="I5" s="18">
        <v>1508</v>
      </c>
      <c r="J5" s="18">
        <v>1509</v>
      </c>
      <c r="K5" s="18">
        <v>1510</v>
      </c>
      <c r="L5" s="18">
        <v>1511</v>
      </c>
      <c r="M5" s="18">
        <v>1512</v>
      </c>
      <c r="N5" s="18">
        <v>1601</v>
      </c>
      <c r="O5" s="18">
        <v>1602</v>
      </c>
      <c r="P5" s="18">
        <v>1603</v>
      </c>
      <c r="Q5" s="18">
        <v>1604</v>
      </c>
      <c r="R5" s="18">
        <v>1605</v>
      </c>
      <c r="S5" s="18">
        <v>1606</v>
      </c>
      <c r="T5" s="18">
        <v>1607</v>
      </c>
      <c r="U5" s="18">
        <v>1608</v>
      </c>
      <c r="V5" s="18">
        <v>1609</v>
      </c>
      <c r="W5" s="18">
        <v>1610</v>
      </c>
      <c r="X5" s="18">
        <v>1611</v>
      </c>
      <c r="Y5" s="18">
        <v>1612</v>
      </c>
      <c r="Z5" s="19" t="s">
        <v>52</v>
      </c>
      <c r="AA5" s="19" t="s">
        <v>56</v>
      </c>
      <c r="AB5" s="19" t="s">
        <v>57</v>
      </c>
      <c r="AC5" s="19" t="s">
        <v>58</v>
      </c>
      <c r="AD5" s="19" t="s">
        <v>59</v>
      </c>
      <c r="AE5" s="20" t="s">
        <v>53</v>
      </c>
      <c r="AF5" s="20" t="s">
        <v>60</v>
      </c>
      <c r="AG5" s="20" t="s">
        <v>61</v>
      </c>
      <c r="AH5" s="20" t="s">
        <v>62</v>
      </c>
      <c r="AI5" s="20" t="s">
        <v>63</v>
      </c>
      <c r="AJ5" s="9" t="s">
        <v>12</v>
      </c>
      <c r="AK5" s="9" t="s">
        <v>115</v>
      </c>
      <c r="AL5" s="9" t="s">
        <v>167</v>
      </c>
      <c r="AM5" s="9" t="s">
        <v>168</v>
      </c>
      <c r="AN5" s="18">
        <v>1701</v>
      </c>
      <c r="AO5" s="18">
        <v>1702</v>
      </c>
      <c r="AP5" s="18">
        <v>1703</v>
      </c>
      <c r="AQ5" s="18">
        <v>1704</v>
      </c>
      <c r="AR5" s="18">
        <v>1705</v>
      </c>
      <c r="AS5" s="18">
        <v>1706</v>
      </c>
      <c r="AT5" s="18">
        <v>1707</v>
      </c>
      <c r="AU5" s="18">
        <v>1708</v>
      </c>
      <c r="AV5" s="18">
        <v>1709</v>
      </c>
      <c r="AW5" s="18">
        <v>1710</v>
      </c>
      <c r="AX5" s="18">
        <v>1711</v>
      </c>
      <c r="AY5" s="18">
        <v>1712</v>
      </c>
      <c r="AZ5" s="19" t="s">
        <v>184</v>
      </c>
      <c r="BA5" s="19" t="s">
        <v>185</v>
      </c>
      <c r="BB5" s="19" t="s">
        <v>186</v>
      </c>
      <c r="BC5" s="19" t="s">
        <v>187</v>
      </c>
      <c r="BD5" s="19" t="s">
        <v>188</v>
      </c>
    </row>
    <row r="6" spans="1:56" outlineLevel="1" x14ac:dyDescent="0.25">
      <c r="A6" s="17" t="s">
        <v>47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186">
        <f>'[6]Summary_by Month'!F25</f>
        <v>5711.9999999999991</v>
      </c>
      <c r="O6" s="186">
        <f>'[6]Summary_by Month'!G25</f>
        <v>7395.1950000000006</v>
      </c>
      <c r="P6" s="186">
        <f>'[6]Summary_by Month'!H25</f>
        <v>11791.2</v>
      </c>
      <c r="Q6" s="186">
        <f>'[6]Summary_by Month'!I25</f>
        <v>9710.4</v>
      </c>
      <c r="R6" s="186">
        <f>'[6]Summary_by Month'!J25</f>
        <v>11271</v>
      </c>
      <c r="S6" s="186">
        <f>'[6]Summary_by Month'!K25</f>
        <v>14198.4</v>
      </c>
      <c r="T6" s="187">
        <f>'[6]Summary_by Month'!L25</f>
        <v>10709.999999999998</v>
      </c>
      <c r="U6" s="187">
        <f>'[6]Summary_by Month'!M25</f>
        <v>13770</v>
      </c>
      <c r="V6" s="187">
        <f>'[6]Summary_by Month'!N25</f>
        <v>16560.72</v>
      </c>
      <c r="W6" s="187">
        <f>'[6]Summary_by Month'!O25</f>
        <v>12602.304000000004</v>
      </c>
      <c r="X6" s="187">
        <f>'[6]Summary_by Month'!P25</f>
        <v>15797.760000000006</v>
      </c>
      <c r="Y6" s="187">
        <f>'[6]Summary_by Month'!Q25</f>
        <v>19590.8</v>
      </c>
      <c r="Z6" s="11">
        <f>SUM($N6:INDEX(N6:Y6,$A$3))</f>
        <v>70788.194999999992</v>
      </c>
      <c r="AA6" s="11">
        <f>SUM(N6:P6)</f>
        <v>24898.395</v>
      </c>
      <c r="AB6" s="11">
        <f>SUM(Q6:S6)</f>
        <v>35179.800000000003</v>
      </c>
      <c r="AC6" s="11">
        <f>SUM(T6:V6)</f>
        <v>41040.720000000001</v>
      </c>
      <c r="AD6" s="11">
        <f>SUM(W6:Y6)</f>
        <v>47990.864000000009</v>
      </c>
      <c r="AE6" s="11">
        <f>SUM(B6:M6)</f>
        <v>0</v>
      </c>
      <c r="AF6" s="11">
        <f>SUM(B6:D6)</f>
        <v>0</v>
      </c>
      <c r="AG6" s="11">
        <f>SUM(E6:G6)</f>
        <v>0</v>
      </c>
      <c r="AH6" s="11">
        <f>SUM(H6:J6)</f>
        <v>0</v>
      </c>
      <c r="AI6" s="11">
        <f>SUM(K6:M6)</f>
        <v>0</v>
      </c>
      <c r="AN6" s="186">
        <f>'[5]2017 - 2022 Plan'!Z27</f>
        <v>11402.1</v>
      </c>
      <c r="AO6" s="186">
        <f>'[5]2017 - 2022 Plan'!AA27</f>
        <v>6051.4560000000001</v>
      </c>
      <c r="AP6" s="186">
        <f>'[5]2017 - 2022 Plan'!AB27</f>
        <v>16830</v>
      </c>
      <c r="AQ6" s="186">
        <f>'[5]2017 - 2022 Plan'!AC27</f>
        <v>16514.8</v>
      </c>
      <c r="AR6" s="186">
        <f>'[5]2017 - 2022 Plan'!AD27</f>
        <v>19045.949999999997</v>
      </c>
      <c r="AS6" s="186">
        <f>'[5]2017 - 2022 Plan'!AE27</f>
        <v>21478.942800000001</v>
      </c>
      <c r="AT6" s="187">
        <f>'[7]2017 - 2022 Plan'!$AF$27</f>
        <v>20795.967777060003</v>
      </c>
      <c r="AU6" s="187">
        <f>'[5]2017 - 2022 Plan'!AG27</f>
        <v>0</v>
      </c>
      <c r="AV6" s="187">
        <f>'[5]2017 - 2022 Plan'!AH27</f>
        <v>0</v>
      </c>
      <c r="AW6" s="187">
        <f>'[5]2017 - 2022 Plan'!AI27</f>
        <v>0</v>
      </c>
      <c r="AX6" s="187">
        <f>'[5]2017 - 2022 Plan'!AJ27</f>
        <v>0</v>
      </c>
      <c r="AY6" s="187">
        <f>'[5]2017 - 2022 Plan'!AK27</f>
        <v>0</v>
      </c>
      <c r="AZ6" s="21">
        <f>SUM($AN6:INDEX(AN6:AY6,$A$3))</f>
        <v>112119.21657706</v>
      </c>
      <c r="BA6" s="21">
        <f>SUM(AN6:AP6)</f>
        <v>34283.555999999997</v>
      </c>
      <c r="BB6" s="21">
        <f>SUM(AQ6:AS6)</f>
        <v>57039.692800000004</v>
      </c>
      <c r="BC6" s="21">
        <f>SUM(AT6:AV6)</f>
        <v>20795.967777060003</v>
      </c>
      <c r="BD6" s="21">
        <f>SUM(AW6:AY6)</f>
        <v>0</v>
      </c>
    </row>
    <row r="7" spans="1:56" outlineLevel="1" x14ac:dyDescent="0.25">
      <c r="A7" s="17" t="s">
        <v>48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186">
        <f>'[6]Summary_by Month'!F26</f>
        <v>2185.92</v>
      </c>
      <c r="O7" s="186">
        <f>'[6]Summary_by Month'!G26</f>
        <v>2433.6000000000004</v>
      </c>
      <c r="P7" s="186">
        <f>'[6]Summary_by Month'!H26</f>
        <v>2979.2</v>
      </c>
      <c r="Q7" s="186">
        <f>'[6]Summary_by Month'!I26</f>
        <v>2188.7999999999997</v>
      </c>
      <c r="R7" s="186">
        <f>'[6]Summary_by Month'!J26</f>
        <v>2728.7040000000002</v>
      </c>
      <c r="S7" s="186">
        <f>'[6]Summary_by Month'!K26</f>
        <v>3515.2128000000002</v>
      </c>
      <c r="T7" s="187">
        <f>'[6]Summary_by Month'!L26</f>
        <v>2947.0003200000006</v>
      </c>
      <c r="U7" s="187">
        <f>'[6]Summary_by Month'!M26</f>
        <v>3370.4100000000003</v>
      </c>
      <c r="V7" s="187">
        <f>'[6]Summary_by Month'!N26</f>
        <v>4752</v>
      </c>
      <c r="W7" s="187">
        <f>'[6]Summary_by Month'!O26</f>
        <v>3240</v>
      </c>
      <c r="X7" s="187">
        <f>'[6]Summary_by Month'!P26</f>
        <v>3790.8</v>
      </c>
      <c r="Y7" s="187">
        <f>'[6]Summary_by Month'!Q26</f>
        <v>4665.6000000000004</v>
      </c>
      <c r="Z7" s="11">
        <f>SUM($N7:INDEX(N7:Y7,$A$3))</f>
        <v>18978.437119999999</v>
      </c>
      <c r="AA7" s="11">
        <f>SUM(N7:P7)</f>
        <v>7598.72</v>
      </c>
      <c r="AB7" s="11">
        <f>SUM(Q7:S7)</f>
        <v>8432.7168000000001</v>
      </c>
      <c r="AC7" s="21">
        <f>SUM(T7:V7)</f>
        <v>11069.410320000001</v>
      </c>
      <c r="AD7" s="21">
        <f>SUM(W7:Y7)</f>
        <v>11696.400000000001</v>
      </c>
      <c r="AE7" s="11">
        <f>SUM(B7:M7)</f>
        <v>0</v>
      </c>
      <c r="AF7" s="21">
        <f>SUM(B7:D7)</f>
        <v>0</v>
      </c>
      <c r="AG7" s="21">
        <f>SUM(E7:G7)</f>
        <v>0</v>
      </c>
      <c r="AH7" s="11">
        <f>SUM(H7:J7)</f>
        <v>0</v>
      </c>
      <c r="AI7" s="11">
        <f>SUM(K7:M7)</f>
        <v>0</v>
      </c>
      <c r="AN7" s="186"/>
      <c r="AO7" s="186"/>
      <c r="AP7" s="186"/>
      <c r="AQ7" s="186"/>
      <c r="AR7" s="186"/>
      <c r="AS7" s="186"/>
      <c r="AT7" s="187"/>
      <c r="AU7" s="187"/>
      <c r="AV7" s="187"/>
      <c r="AW7" s="187"/>
      <c r="AX7" s="187"/>
      <c r="AY7" s="187"/>
      <c r="AZ7" s="21">
        <f>SUM($AN7:INDEX(AN7:AY7,$A$3))</f>
        <v>0</v>
      </c>
      <c r="BA7" s="21">
        <f>SUM(AN7:AP7)</f>
        <v>0</v>
      </c>
      <c r="BB7" s="21">
        <f>SUM(AQ7:AS7)</f>
        <v>0</v>
      </c>
      <c r="BC7" s="21">
        <f>SUM(AT7:AV7)</f>
        <v>0</v>
      </c>
      <c r="BD7" s="21">
        <f>SUM(AW7:AY7)</f>
        <v>0</v>
      </c>
    </row>
    <row r="8" spans="1:56" outlineLevel="1" x14ac:dyDescent="0.25">
      <c r="A8" s="17" t="s">
        <v>116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186"/>
      <c r="O8" s="186"/>
      <c r="P8" s="186"/>
      <c r="Q8" s="186"/>
      <c r="R8" s="186">
        <f>'[2]2016-2018 Plan_Non-Credit Life'!M56</f>
        <v>2286.8999999999996</v>
      </c>
      <c r="S8" s="186">
        <f>'[2]2016-2018 Plan_Non-Credit Life'!N56</f>
        <v>2499.2550000000001</v>
      </c>
      <c r="T8" s="187">
        <f>'[2]2016-2018 Plan_Non-Credit Life'!O56</f>
        <v>2379.2907600000003</v>
      </c>
      <c r="U8" s="187">
        <f>'[2]2016-2018 Plan_Non-Credit Life'!P56</f>
        <v>2494.7999999999997</v>
      </c>
      <c r="V8" s="187">
        <f>'[2]2016-2018 Plan_Non-Credit Life'!Q56</f>
        <v>4143.1500000000005</v>
      </c>
      <c r="W8" s="187">
        <f>'[2]2016-2018 Plan_Non-Credit Life'!R56</f>
        <v>4036.8635832571208</v>
      </c>
      <c r="X8" s="187">
        <f>'[2]2016-2018 Plan_Non-Credit Life'!S56</f>
        <v>4226.2327624199761</v>
      </c>
      <c r="Y8" s="187">
        <f>'[2]2016-2018 Plan_Non-Credit Life'!T56</f>
        <v>4874.7968577224747</v>
      </c>
      <c r="Z8" s="11">
        <f>SUM($N8:INDEX(N8:Y8,$A$3))</f>
        <v>7165.4457600000005</v>
      </c>
      <c r="AA8" s="11">
        <f>SUM(N8:P8)</f>
        <v>0</v>
      </c>
      <c r="AB8" s="11">
        <f>SUM(Q8:S8)</f>
        <v>4786.1549999999997</v>
      </c>
      <c r="AC8" s="21">
        <f>SUM(T8:V8)</f>
        <v>9017.2407600000006</v>
      </c>
      <c r="AD8" s="21">
        <f>SUM(W8:Y8)</f>
        <v>13137.893203399572</v>
      </c>
      <c r="AE8" s="11">
        <f>SUM(B8:M8)</f>
        <v>0</v>
      </c>
      <c r="AF8" s="21">
        <f>SUM(B8:D8)</f>
        <v>0</v>
      </c>
      <c r="AG8" s="21">
        <f>SUM(E8:G8)</f>
        <v>0</v>
      </c>
      <c r="AH8" s="11">
        <f>SUM(H8:J8)</f>
        <v>0</v>
      </c>
      <c r="AI8" s="11">
        <f>SUM(K8:M8)</f>
        <v>0</v>
      </c>
      <c r="AN8" s="186">
        <f>'[5]2017 - 2022 Plan'!Z53</f>
        <v>3539.25</v>
      </c>
      <c r="AO8" s="186">
        <f>'[5]2017 - 2022 Plan'!AA53</f>
        <v>1361.25</v>
      </c>
      <c r="AP8" s="186">
        <f>'[5]2017 - 2022 Plan'!AB53</f>
        <v>3702.6</v>
      </c>
      <c r="AQ8" s="186">
        <f>'[5]2017 - 2022 Plan'!AC53</f>
        <v>3430.35</v>
      </c>
      <c r="AR8" s="186">
        <f>'[5]2017 - 2022 Plan'!AD53</f>
        <v>4070.1374999999998</v>
      </c>
      <c r="AS8" s="186">
        <f>'[5]2017 - 2022 Plan'!AE53</f>
        <v>5104.6875</v>
      </c>
      <c r="AT8" s="187">
        <f>'[5]2017 - 2022 Plan'!AF53</f>
        <v>4608.45</v>
      </c>
      <c r="AU8" s="187">
        <f>'[5]2017 - 2022 Plan'!AG53</f>
        <v>5768.4</v>
      </c>
      <c r="AV8" s="187">
        <f>'[5]2017 - 2022 Plan'!AH53</f>
        <v>6661.875</v>
      </c>
      <c r="AW8" s="187">
        <f>'[5]2017 - 2022 Plan'!AI53</f>
        <v>5336.1</v>
      </c>
      <c r="AX8" s="187">
        <f>'[5]2017 - 2022 Plan'!AJ53</f>
        <v>6679.1999999999989</v>
      </c>
      <c r="AY8" s="187">
        <f>'[5]2017 - 2022 Plan'!AK53</f>
        <v>7713.75</v>
      </c>
      <c r="AZ8" s="21">
        <f>SUM($AN8:INDEX(AN8:AY8,$A$3))</f>
        <v>25816.725000000002</v>
      </c>
      <c r="BA8" s="21">
        <f>SUM(AN8:AP8)</f>
        <v>8603.1</v>
      </c>
      <c r="BB8" s="21">
        <f>SUM(AQ8:AS8)</f>
        <v>12605.174999999999</v>
      </c>
      <c r="BC8" s="21">
        <f>SUM(AT8:AV8)</f>
        <v>17038.724999999999</v>
      </c>
      <c r="BD8" s="21">
        <f>SUM(AW8:AY8)</f>
        <v>19729.05</v>
      </c>
    </row>
    <row r="9" spans="1:56" outlineLevel="1" x14ac:dyDescent="0.25">
      <c r="A9" s="17" t="s">
        <v>128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86"/>
      <c r="O9" s="186"/>
      <c r="P9" s="186"/>
      <c r="Q9" s="186"/>
      <c r="R9" s="186"/>
      <c r="S9" s="186">
        <f>'[2]2016-2018 Plan_Non-Credit Life'!N67</f>
        <v>19</v>
      </c>
      <c r="T9" s="187">
        <f>'[2]2016-2018 Plan_Non-Credit Life'!O67</f>
        <v>19</v>
      </c>
      <c r="U9" s="187">
        <f>'[2]2016-2018 Plan_Non-Credit Life'!P67</f>
        <v>19</v>
      </c>
      <c r="V9" s="187">
        <f>'[2]2016-2018 Plan_Non-Credit Life'!Q67</f>
        <v>19</v>
      </c>
      <c r="W9" s="187">
        <f>'[2]2016-2018 Plan_Non-Credit Life'!R67</f>
        <v>19</v>
      </c>
      <c r="X9" s="187">
        <f>'[2]2016-2018 Plan_Non-Credit Life'!S67</f>
        <v>20</v>
      </c>
      <c r="Y9" s="187">
        <f>'[2]2016-2018 Plan_Non-Credit Life'!T67</f>
        <v>20</v>
      </c>
      <c r="Z9" s="11">
        <f>SUM($N9:INDEX(N9:Y9,$A$3))</f>
        <v>38</v>
      </c>
      <c r="AA9" s="11">
        <f t="shared" ref="AA9:AA11" si="0">SUM(N9:P9)</f>
        <v>0</v>
      </c>
      <c r="AB9" s="11">
        <f t="shared" ref="AB9:AB11" si="1">SUM(Q9:S9)</f>
        <v>19</v>
      </c>
      <c r="AC9" s="21">
        <f t="shared" ref="AC9:AC11" si="2">SUM(T9:V9)</f>
        <v>57</v>
      </c>
      <c r="AD9" s="21">
        <f t="shared" ref="AD9:AD11" si="3">SUM(W9:Y9)</f>
        <v>59</v>
      </c>
      <c r="AE9" s="11">
        <f t="shared" ref="AE9:AE11" si="4">SUM(B9:M9)</f>
        <v>0</v>
      </c>
      <c r="AF9" s="21">
        <f t="shared" ref="AF9:AF11" si="5">SUM(B9:D9)</f>
        <v>0</v>
      </c>
      <c r="AG9" s="21">
        <f t="shared" ref="AG9:AG11" si="6">SUM(E9:G9)</f>
        <v>0</v>
      </c>
      <c r="AH9" s="11">
        <f t="shared" ref="AH9:AH11" si="7">SUM(H9:J9)</f>
        <v>0</v>
      </c>
      <c r="AI9" s="11">
        <f t="shared" ref="AI9:AI11" si="8">SUM(K9:M9)</f>
        <v>0</v>
      </c>
      <c r="AN9" s="186">
        <f>'[5]2017 - 2022 Plan'!Z66</f>
        <v>0</v>
      </c>
      <c r="AO9" s="186">
        <f>'[5]2017 - 2022 Plan'!AA66</f>
        <v>0</v>
      </c>
      <c r="AP9" s="186">
        <f>'[5]2017 - 2022 Plan'!AB66</f>
        <v>0</v>
      </c>
      <c r="AQ9" s="186">
        <f>'[5]2017 - 2022 Plan'!AC66</f>
        <v>1126.125</v>
      </c>
      <c r="AR9" s="186">
        <f>'[5]2017 - 2022 Plan'!AD66</f>
        <v>2656.5</v>
      </c>
      <c r="AS9" s="186">
        <f>'[5]2017 - 2022 Plan'!AE66</f>
        <v>3093.75</v>
      </c>
      <c r="AT9" s="187">
        <f>'[5]2017 - 2022 Plan'!AF66</f>
        <v>2091.375</v>
      </c>
      <c r="AU9" s="187">
        <f>'[5]2017 - 2022 Plan'!AG66</f>
        <v>3453.45</v>
      </c>
      <c r="AV9" s="187">
        <f>'[5]2017 - 2022 Plan'!AH66</f>
        <v>3753.75</v>
      </c>
      <c r="AW9" s="187">
        <f>'[5]2017 - 2022 Plan'!AI66</f>
        <v>2091.375</v>
      </c>
      <c r="AX9" s="187">
        <f>'[5]2017 - 2022 Plan'!AJ66</f>
        <v>3453.45</v>
      </c>
      <c r="AY9" s="187">
        <f>'[5]2017 - 2022 Plan'!AK66</f>
        <v>4021.875</v>
      </c>
      <c r="AZ9" s="21">
        <f>SUM($AN9:INDEX(AN9:AY9,$A$3))</f>
        <v>8967.75</v>
      </c>
      <c r="BA9" s="21">
        <f t="shared" ref="BA9:BA11" si="9">SUM(AN9:AP9)</f>
        <v>0</v>
      </c>
      <c r="BB9" s="21">
        <f t="shared" ref="BB9:BB11" si="10">SUM(AQ9:AS9)</f>
        <v>6876.375</v>
      </c>
      <c r="BC9" s="21">
        <f t="shared" ref="BC9:BC11" si="11">SUM(AT9:AV9)</f>
        <v>9298.5750000000007</v>
      </c>
      <c r="BD9" s="21">
        <f t="shared" ref="BD9:BD11" si="12">SUM(AW9:AY9)</f>
        <v>9566.7000000000007</v>
      </c>
    </row>
    <row r="10" spans="1:56" outlineLevel="1" x14ac:dyDescent="0.25">
      <c r="A10" s="17" t="s">
        <v>208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186"/>
      <c r="O10" s="186"/>
      <c r="P10" s="186"/>
      <c r="Q10" s="186"/>
      <c r="R10" s="186"/>
      <c r="S10" s="186">
        <f>'[2]2016-2018 Plan_Non-Credit Life'!N68</f>
        <v>0</v>
      </c>
      <c r="T10" s="187">
        <f>'[2]2016-2018 Plan_Non-Credit Life'!O68</f>
        <v>0</v>
      </c>
      <c r="U10" s="187">
        <f>'[2]2016-2018 Plan_Non-Credit Life'!P68</f>
        <v>0</v>
      </c>
      <c r="V10" s="187">
        <f>'[2]2016-2018 Plan_Non-Credit Life'!Q68</f>
        <v>0</v>
      </c>
      <c r="W10" s="187">
        <f>'[2]2016-2018 Plan_Non-Credit Life'!R68</f>
        <v>0</v>
      </c>
      <c r="X10" s="187">
        <f>'[2]2016-2018 Plan_Non-Credit Life'!S68</f>
        <v>0</v>
      </c>
      <c r="Y10" s="187">
        <f>'[2]2016-2018 Plan_Non-Credit Life'!T68</f>
        <v>0</v>
      </c>
      <c r="Z10" s="11">
        <f>SUM($N10:INDEX(N10:Y10,$A$3))</f>
        <v>0</v>
      </c>
      <c r="AA10" s="11">
        <f t="shared" si="0"/>
        <v>0</v>
      </c>
      <c r="AB10" s="11">
        <f t="shared" si="1"/>
        <v>0</v>
      </c>
      <c r="AC10" s="21">
        <f t="shared" si="2"/>
        <v>0</v>
      </c>
      <c r="AD10" s="21">
        <f t="shared" si="3"/>
        <v>0</v>
      </c>
      <c r="AE10" s="11">
        <f t="shared" si="4"/>
        <v>0</v>
      </c>
      <c r="AF10" s="21">
        <f t="shared" si="5"/>
        <v>0</v>
      </c>
      <c r="AG10" s="21">
        <f t="shared" si="6"/>
        <v>0</v>
      </c>
      <c r="AH10" s="11">
        <f t="shared" si="7"/>
        <v>0</v>
      </c>
      <c r="AI10" s="11">
        <f t="shared" si="8"/>
        <v>0</v>
      </c>
      <c r="AN10" s="186">
        <f>'[5]2017 - 2022 Plan'!Z79</f>
        <v>0</v>
      </c>
      <c r="AO10" s="186">
        <f>'[5]2017 - 2022 Plan'!AA79</f>
        <v>0</v>
      </c>
      <c r="AP10" s="186">
        <f>'[5]2017 - 2022 Plan'!AB79</f>
        <v>491.40000000000003</v>
      </c>
      <c r="AQ10" s="186">
        <f>'[5]2017 - 2022 Plan'!AC79</f>
        <v>491.40000000000003</v>
      </c>
      <c r="AR10" s="186">
        <f>'[5]2017 - 2022 Plan'!AD79</f>
        <v>540.54000000000008</v>
      </c>
      <c r="AS10" s="186">
        <f>'[5]2017 - 2022 Plan'!AE79</f>
        <v>661.5</v>
      </c>
      <c r="AT10" s="187">
        <f>'[5]2017 - 2022 Plan'!AF79</f>
        <v>582.12000000000012</v>
      </c>
      <c r="AU10" s="187">
        <f>'[5]2017 - 2022 Plan'!AG79</f>
        <v>661.5</v>
      </c>
      <c r="AV10" s="187">
        <f>'[5]2017 - 2022 Plan'!AH79</f>
        <v>918.54000000000019</v>
      </c>
      <c r="AW10" s="187">
        <f>'[5]2017 - 2022 Plan'!AI79</f>
        <v>815.84999999999991</v>
      </c>
      <c r="AX10" s="187">
        <f>'[5]2017 - 2022 Plan'!AJ79</f>
        <v>932.40000000000009</v>
      </c>
      <c r="AY10" s="187">
        <f>'[5]2017 - 2022 Plan'!AK79</f>
        <v>1256.8500000000001</v>
      </c>
      <c r="AZ10" s="21">
        <f>SUM($AN10:INDEX(AN10:AY10,$A$3))</f>
        <v>2766.96</v>
      </c>
      <c r="BA10" s="21">
        <f t="shared" si="9"/>
        <v>491.40000000000003</v>
      </c>
      <c r="BB10" s="21">
        <f t="shared" si="10"/>
        <v>1693.44</v>
      </c>
      <c r="BC10" s="21">
        <f t="shared" si="11"/>
        <v>2162.1600000000003</v>
      </c>
      <c r="BD10" s="21">
        <f t="shared" si="12"/>
        <v>3005.1000000000004</v>
      </c>
    </row>
    <row r="11" spans="1:56" outlineLevel="1" x14ac:dyDescent="0.25">
      <c r="A11" s="17" t="s">
        <v>209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186"/>
      <c r="O11" s="186"/>
      <c r="P11" s="186"/>
      <c r="Q11" s="186"/>
      <c r="R11" s="186"/>
      <c r="S11" s="186">
        <f>'[2]2016-2018 Plan_Non-Credit Life'!N69</f>
        <v>98</v>
      </c>
      <c r="T11" s="187">
        <f>'[2]2016-2018 Plan_Non-Credit Life'!O69</f>
        <v>102.9</v>
      </c>
      <c r="U11" s="187">
        <f>'[2]2016-2018 Plan_Non-Credit Life'!P69</f>
        <v>108.045</v>
      </c>
      <c r="V11" s="187">
        <f>'[2]2016-2018 Plan_Non-Credit Life'!Q69</f>
        <v>113.44725000000001</v>
      </c>
      <c r="W11" s="187">
        <f>'[2]2016-2018 Plan_Non-Credit Life'!R69</f>
        <v>119.11961250000002</v>
      </c>
      <c r="X11" s="187">
        <f>'[2]2016-2018 Plan_Non-Credit Life'!S69</f>
        <v>125.07559312500004</v>
      </c>
      <c r="Y11" s="187">
        <f>'[2]2016-2018 Plan_Non-Credit Life'!T69</f>
        <v>131.32937278125004</v>
      </c>
      <c r="Z11" s="11">
        <f>SUM($N11:INDEX(N11:Y11,$A$3))</f>
        <v>200.9</v>
      </c>
      <c r="AA11" s="11">
        <f t="shared" si="0"/>
        <v>0</v>
      </c>
      <c r="AB11" s="11">
        <f t="shared" si="1"/>
        <v>98</v>
      </c>
      <c r="AC11" s="21">
        <f t="shared" si="2"/>
        <v>324.39224999999999</v>
      </c>
      <c r="AD11" s="21">
        <f t="shared" si="3"/>
        <v>375.5245784062501</v>
      </c>
      <c r="AE11" s="11">
        <f t="shared" si="4"/>
        <v>0</v>
      </c>
      <c r="AF11" s="21">
        <f t="shared" si="5"/>
        <v>0</v>
      </c>
      <c r="AG11" s="21">
        <f t="shared" si="6"/>
        <v>0</v>
      </c>
      <c r="AH11" s="11">
        <f t="shared" si="7"/>
        <v>0</v>
      </c>
      <c r="AI11" s="11">
        <f t="shared" si="8"/>
        <v>0</v>
      </c>
      <c r="AN11" s="186">
        <f>'[5]2017 - 2022 Plan'!Z92</f>
        <v>0</v>
      </c>
      <c r="AO11" s="186">
        <f>'[5]2017 - 2022 Plan'!AA92</f>
        <v>0</v>
      </c>
      <c r="AP11" s="186">
        <f>'[5]2017 - 2022 Plan'!AB92</f>
        <v>0</v>
      </c>
      <c r="AQ11" s="186">
        <f>'[5]2017 - 2022 Plan'!AC92</f>
        <v>0</v>
      </c>
      <c r="AR11" s="186">
        <f>'[5]2017 - 2022 Plan'!AD92</f>
        <v>0</v>
      </c>
      <c r="AS11" s="186">
        <f>'[5]2017 - 2022 Plan'!AE92</f>
        <v>0</v>
      </c>
      <c r="AT11" s="187">
        <f>'[5]2017 - 2022 Plan'!AF92</f>
        <v>12600</v>
      </c>
      <c r="AU11" s="187">
        <f>'[5]2017 - 2022 Plan'!AG92</f>
        <v>12960</v>
      </c>
      <c r="AV11" s="187">
        <f>'[5]2017 - 2022 Plan'!AH92</f>
        <v>13500</v>
      </c>
      <c r="AW11" s="187">
        <f>'[5]2017 - 2022 Plan'!AI92</f>
        <v>13500</v>
      </c>
      <c r="AX11" s="187">
        <f>'[5]2017 - 2022 Plan'!AJ92</f>
        <v>13500</v>
      </c>
      <c r="AY11" s="187">
        <f>'[5]2017 - 2022 Plan'!AK92</f>
        <v>13500</v>
      </c>
      <c r="AZ11" s="21">
        <f>SUM($AN11:INDEX(AN11:AY11,$A$3))</f>
        <v>12600</v>
      </c>
      <c r="BA11" s="21">
        <f t="shared" si="9"/>
        <v>0</v>
      </c>
      <c r="BB11" s="21">
        <f t="shared" si="10"/>
        <v>0</v>
      </c>
      <c r="BC11" s="21">
        <f t="shared" si="11"/>
        <v>39060</v>
      </c>
      <c r="BD11" s="21">
        <f t="shared" si="12"/>
        <v>40500</v>
      </c>
    </row>
    <row r="12" spans="1:56" outlineLevel="1" x14ac:dyDescent="0.25">
      <c r="A12" s="17" t="s">
        <v>201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186"/>
      <c r="O12" s="186"/>
      <c r="P12" s="186"/>
      <c r="Q12" s="186"/>
      <c r="R12" s="186"/>
      <c r="S12" s="186">
        <f>'[2]2016-2018 Plan_Non-Credit Life'!N70</f>
        <v>1862</v>
      </c>
      <c r="T12" s="187">
        <f>'[2]2016-2018 Plan_Non-Credit Life'!O70</f>
        <v>1955.1000000000001</v>
      </c>
      <c r="U12" s="187">
        <f>'[2]2016-2018 Plan_Non-Credit Life'!P70</f>
        <v>2052.855</v>
      </c>
      <c r="V12" s="187">
        <f>'[2]2016-2018 Plan_Non-Credit Life'!Q70</f>
        <v>2155.49775</v>
      </c>
      <c r="W12" s="187">
        <f>'[2]2016-2018 Plan_Non-Credit Life'!R70</f>
        <v>2263.2726375000002</v>
      </c>
      <c r="X12" s="187">
        <f>'[2]2016-2018 Plan_Non-Credit Life'!S70</f>
        <v>2501.5118625000009</v>
      </c>
      <c r="Y12" s="187">
        <f>'[2]2016-2018 Plan_Non-Credit Life'!T70</f>
        <v>2626.587455625001</v>
      </c>
      <c r="Z12" s="11">
        <f>SUM($N12:INDEX(N12:Y12,$A$3))</f>
        <v>3817.1000000000004</v>
      </c>
      <c r="AA12" s="11">
        <f>SUM(N12:P12)</f>
        <v>0</v>
      </c>
      <c r="AB12" s="11">
        <f>SUM(Q12:S12)</f>
        <v>1862</v>
      </c>
      <c r="AC12" s="21">
        <f>SUM(T12:V12)</f>
        <v>6163.4527500000004</v>
      </c>
      <c r="AD12" s="21">
        <f>SUM(W12:Y12)</f>
        <v>7391.3719556250026</v>
      </c>
      <c r="AE12" s="11">
        <f>SUM(B12:M12)</f>
        <v>0</v>
      </c>
      <c r="AF12" s="21">
        <f>SUM(B12:D12)</f>
        <v>0</v>
      </c>
      <c r="AG12" s="21">
        <f>SUM(E12:G12)</f>
        <v>0</v>
      </c>
      <c r="AH12" s="11">
        <f>SUM(H12:J12)</f>
        <v>0</v>
      </c>
      <c r="AI12" s="11">
        <f>SUM(K12:M12)</f>
        <v>0</v>
      </c>
      <c r="AN12" s="186">
        <f>'[5]2017 - 2022 Plan'!Z105</f>
        <v>228.57142857142856</v>
      </c>
      <c r="AO12" s="186">
        <f>'[5]2017 - 2022 Plan'!AA105</f>
        <v>228.57142857142856</v>
      </c>
      <c r="AP12" s="186">
        <f>'[5]2017 - 2022 Plan'!AB105</f>
        <v>514.28571428571422</v>
      </c>
      <c r="AQ12" s="186">
        <f>'[5]2017 - 2022 Plan'!AC105</f>
        <v>792</v>
      </c>
      <c r="AR12" s="186">
        <f>'[5]2017 - 2022 Plan'!AD105</f>
        <v>1034.9999999999998</v>
      </c>
      <c r="AS12" s="186">
        <f>'[5]2017 - 2022 Plan'!AE105</f>
        <v>1125</v>
      </c>
      <c r="AT12" s="187">
        <f>'[5]2017 - 2022 Plan'!AF105</f>
        <v>1458</v>
      </c>
      <c r="AU12" s="187">
        <f>'[5]2017 - 2022 Plan'!AG105</f>
        <v>1890</v>
      </c>
      <c r="AV12" s="187">
        <f>'[5]2017 - 2022 Plan'!AH105</f>
        <v>2514.2857142857142</v>
      </c>
      <c r="AW12" s="187">
        <f>'[5]2017 - 2022 Plan'!AI105</f>
        <v>2232</v>
      </c>
      <c r="AX12" s="187">
        <f>'[5]2017 - 2022 Plan'!AJ105</f>
        <v>2790</v>
      </c>
      <c r="AY12" s="187">
        <f>'[5]2017 - 2022 Plan'!AK105</f>
        <v>3348</v>
      </c>
      <c r="AZ12" s="21">
        <f>SUM($AN12:INDEX(AN12:AY12,$A$3))</f>
        <v>5381.4285714285706</v>
      </c>
      <c r="BA12" s="21">
        <f>SUM(AN12:AP12)</f>
        <v>971.42857142857133</v>
      </c>
      <c r="BB12" s="21">
        <f>SUM(AQ12:AS12)</f>
        <v>2952</v>
      </c>
      <c r="BC12" s="21">
        <f>SUM(AT12:AV12)</f>
        <v>5862.2857142857138</v>
      </c>
      <c r="BD12" s="21">
        <f>SUM(AW12:AY12)</f>
        <v>8370</v>
      </c>
    </row>
    <row r="13" spans="1:56" outlineLevel="1" x14ac:dyDescent="0.25">
      <c r="B13" s="22">
        <f t="shared" ref="B13:S13" si="13">SUM(B6:B12)</f>
        <v>0</v>
      </c>
      <c r="C13" s="22">
        <f t="shared" si="13"/>
        <v>0</v>
      </c>
      <c r="D13" s="22">
        <f t="shared" si="13"/>
        <v>0</v>
      </c>
      <c r="E13" s="22">
        <f t="shared" si="13"/>
        <v>0</v>
      </c>
      <c r="F13" s="22">
        <f t="shared" si="13"/>
        <v>0</v>
      </c>
      <c r="G13" s="22">
        <f t="shared" si="13"/>
        <v>0</v>
      </c>
      <c r="H13" s="22">
        <f t="shared" si="13"/>
        <v>0</v>
      </c>
      <c r="I13" s="22">
        <f t="shared" si="13"/>
        <v>0</v>
      </c>
      <c r="J13" s="22">
        <f t="shared" si="13"/>
        <v>0</v>
      </c>
      <c r="K13" s="22">
        <f t="shared" si="13"/>
        <v>0</v>
      </c>
      <c r="L13" s="22">
        <f t="shared" si="13"/>
        <v>0</v>
      </c>
      <c r="M13" s="22">
        <f t="shared" si="13"/>
        <v>0</v>
      </c>
      <c r="N13" s="13">
        <f t="shared" si="13"/>
        <v>7897.9199999999992</v>
      </c>
      <c r="O13" s="13">
        <f t="shared" si="13"/>
        <v>9828.7950000000019</v>
      </c>
      <c r="P13" s="13">
        <f t="shared" si="13"/>
        <v>14770.400000000001</v>
      </c>
      <c r="Q13" s="13">
        <f t="shared" si="13"/>
        <v>11899.199999999999</v>
      </c>
      <c r="R13" s="13">
        <f t="shared" si="13"/>
        <v>16286.603999999999</v>
      </c>
      <c r="S13" s="13">
        <f t="shared" si="13"/>
        <v>22191.8678</v>
      </c>
      <c r="T13" s="22">
        <f t="shared" ref="T13:AI13" si="14">SUM(T6:T12)</f>
        <v>18113.291079999999</v>
      </c>
      <c r="U13" s="22">
        <f t="shared" si="14"/>
        <v>21815.109999999997</v>
      </c>
      <c r="V13" s="22">
        <f t="shared" si="14"/>
        <v>27743.815000000002</v>
      </c>
      <c r="W13" s="22">
        <f t="shared" si="14"/>
        <v>22280.559833257124</v>
      </c>
      <c r="X13" s="22">
        <f t="shared" si="14"/>
        <v>26461.380218044978</v>
      </c>
      <c r="Y13" s="22">
        <f t="shared" si="14"/>
        <v>31909.113686128727</v>
      </c>
      <c r="Z13" s="13">
        <f t="shared" si="14"/>
        <v>100988.07788</v>
      </c>
      <c r="AA13" s="13">
        <f t="shared" si="14"/>
        <v>32497.115000000002</v>
      </c>
      <c r="AB13" s="13">
        <f t="shared" si="14"/>
        <v>50377.671800000004</v>
      </c>
      <c r="AC13" s="22">
        <f t="shared" si="14"/>
        <v>67672.216079999998</v>
      </c>
      <c r="AD13" s="22">
        <f t="shared" si="14"/>
        <v>80651.053737430833</v>
      </c>
      <c r="AE13" s="13">
        <f t="shared" si="14"/>
        <v>0</v>
      </c>
      <c r="AF13" s="22">
        <f t="shared" si="14"/>
        <v>0</v>
      </c>
      <c r="AG13" s="22">
        <f t="shared" si="14"/>
        <v>0</v>
      </c>
      <c r="AH13" s="13">
        <f t="shared" si="14"/>
        <v>0</v>
      </c>
      <c r="AI13" s="13">
        <f t="shared" si="14"/>
        <v>0</v>
      </c>
      <c r="AN13" s="13">
        <f t="shared" ref="AN13:BD13" si="15">SUM(AN6:AN12)</f>
        <v>15169.92142857143</v>
      </c>
      <c r="AO13" s="13">
        <f t="shared" si="15"/>
        <v>7641.2774285714286</v>
      </c>
      <c r="AP13" s="13">
        <f t="shared" si="15"/>
        <v>21538.285714285714</v>
      </c>
      <c r="AQ13" s="13">
        <f t="shared" si="15"/>
        <v>22354.674999999999</v>
      </c>
      <c r="AR13" s="13">
        <f t="shared" si="15"/>
        <v>27348.127499999999</v>
      </c>
      <c r="AS13" s="13">
        <f t="shared" si="15"/>
        <v>31463.880300000001</v>
      </c>
      <c r="AT13" s="22">
        <f t="shared" si="15"/>
        <v>42135.912777060003</v>
      </c>
      <c r="AU13" s="22">
        <f t="shared" si="15"/>
        <v>24733.35</v>
      </c>
      <c r="AV13" s="22">
        <f t="shared" si="15"/>
        <v>27348.450714285715</v>
      </c>
      <c r="AW13" s="22">
        <f t="shared" si="15"/>
        <v>23975.325000000001</v>
      </c>
      <c r="AX13" s="22">
        <f t="shared" si="15"/>
        <v>27355.049999999996</v>
      </c>
      <c r="AY13" s="22">
        <f t="shared" si="15"/>
        <v>29840.474999999999</v>
      </c>
      <c r="AZ13" s="21">
        <f t="shared" si="15"/>
        <v>167652.08014848857</v>
      </c>
      <c r="BA13" s="21">
        <f t="shared" si="15"/>
        <v>44349.484571428569</v>
      </c>
      <c r="BB13" s="21">
        <f t="shared" si="15"/>
        <v>81166.68280000001</v>
      </c>
      <c r="BC13" s="21">
        <f t="shared" si="15"/>
        <v>94217.713491345712</v>
      </c>
      <c r="BD13" s="21">
        <f t="shared" si="15"/>
        <v>81170.850000000006</v>
      </c>
    </row>
    <row r="14" spans="1:56" outlineLevel="1" x14ac:dyDescent="0.25">
      <c r="A14" s="184" t="s">
        <v>171</v>
      </c>
      <c r="N14" s="14">
        <f t="shared" ref="N14:Y14" si="16">+N24/N13</f>
        <v>0.96295518313682604</v>
      </c>
      <c r="O14" s="14">
        <f t="shared" si="16"/>
        <v>1.0212326129500116</v>
      </c>
      <c r="P14" s="14">
        <f t="shared" si="16"/>
        <v>1.0441751069706982</v>
      </c>
      <c r="Q14" s="14">
        <f t="shared" si="16"/>
        <v>1.0637952131235715</v>
      </c>
      <c r="R14" s="14">
        <f t="shared" si="16"/>
        <v>0.99238128464350206</v>
      </c>
      <c r="S14" s="14">
        <f t="shared" si="16"/>
        <v>0.73876945139336125</v>
      </c>
      <c r="T14" s="14">
        <f t="shared" si="16"/>
        <v>0.70981716923857885</v>
      </c>
      <c r="U14" s="14">
        <f t="shared" si="16"/>
        <v>0.92442527220811654</v>
      </c>
      <c r="V14" s="14">
        <f t="shared" si="16"/>
        <v>0.76537430054230027</v>
      </c>
      <c r="W14" s="14">
        <f t="shared" si="16"/>
        <v>0.97571471106172725</v>
      </c>
      <c r="X14" s="14">
        <f t="shared" si="16"/>
        <v>0.62178226775865431</v>
      </c>
      <c r="Y14" s="14">
        <f t="shared" si="16"/>
        <v>0.94280027003939759</v>
      </c>
      <c r="AN14" s="14">
        <f t="shared" ref="AN14:AY14" si="17">+AN24/AN13</f>
        <v>0.77713843512703007</v>
      </c>
      <c r="AO14" s="14">
        <f t="shared" si="17"/>
        <v>2.8480459194724772</v>
      </c>
      <c r="AP14" s="14">
        <f t="shared" si="17"/>
        <v>1.3990625994906085</v>
      </c>
      <c r="AQ14" s="14">
        <f t="shared" si="17"/>
        <v>1.0328975930090687</v>
      </c>
      <c r="AR14" s="14">
        <f t="shared" si="17"/>
        <v>0.73029131519150614</v>
      </c>
      <c r="AS14" s="14">
        <f t="shared" si="17"/>
        <v>0.52550638517398629</v>
      </c>
      <c r="AT14" s="14">
        <f t="shared" si="17"/>
        <v>0.44282593565075029</v>
      </c>
      <c r="AU14" s="14">
        <f t="shared" si="17"/>
        <v>0</v>
      </c>
      <c r="AV14" s="14">
        <f t="shared" si="17"/>
        <v>0</v>
      </c>
      <c r="AW14" s="14">
        <f t="shared" si="17"/>
        <v>0</v>
      </c>
      <c r="AX14" s="14">
        <f t="shared" si="17"/>
        <v>0</v>
      </c>
      <c r="AY14" s="14">
        <f t="shared" si="17"/>
        <v>0</v>
      </c>
      <c r="AZ14" s="21"/>
      <c r="BA14" s="21"/>
      <c r="BB14" s="21"/>
      <c r="BC14" s="21"/>
      <c r="BD14" s="21"/>
    </row>
    <row r="15" spans="1:56" outlineLevel="1" x14ac:dyDescent="0.25">
      <c r="A15" s="184" t="s">
        <v>172</v>
      </c>
      <c r="N15" s="14">
        <f>N24/N13</f>
        <v>0.96295518313682604</v>
      </c>
      <c r="O15" s="14">
        <f>SUM($N24:O24)/SUM($N13:O13)</f>
        <v>0.99526782034911787</v>
      </c>
      <c r="P15" s="14">
        <f>SUM($N24:P24)/SUM($N13:P13)</f>
        <v>1.01749687626117</v>
      </c>
      <c r="Q15" s="14">
        <f>SUM($N24:Q24)/SUM($N13:Q13)</f>
        <v>1.029905860430083</v>
      </c>
      <c r="R15" s="14">
        <f>SUM($N24:R24)/SUM($N13:R13)</f>
        <v>1.0198346918677397</v>
      </c>
      <c r="S15" s="14">
        <f>SUM($N24:S24)/SUM($N13:S13)</f>
        <v>0.94457220371395267</v>
      </c>
      <c r="T15" s="14">
        <f>SUM($N24:T24)/SUM($N13:T13)</f>
        <v>0.90246637933138973</v>
      </c>
      <c r="U15" s="14">
        <f>SUM($N24:U24)/SUM($N13:U13)</f>
        <v>0.90636721995168457</v>
      </c>
      <c r="V15" s="14">
        <f>SUM($N24:V24)/SUM($N13:V13)</f>
        <v>0.88038409576075105</v>
      </c>
      <c r="W15" s="14">
        <f>SUM($N24:W24)/SUM($N13:W13)</f>
        <v>0.89267391484289971</v>
      </c>
      <c r="X15" s="14">
        <f>SUM($N24:X24)/SUM($N13:X13)</f>
        <v>0.85670520144639362</v>
      </c>
      <c r="Y15" s="14">
        <f>SUM($N24:Y24)/SUM($N13:Y13)</f>
        <v>0.8685877292311972</v>
      </c>
      <c r="AN15" s="14">
        <f>AN24/AN13</f>
        <v>0.77713843512703007</v>
      </c>
      <c r="AO15" s="14">
        <f>SUM($N24:AO24)/SUM($N13:AO13)</f>
        <v>1.2103965283275671</v>
      </c>
      <c r="AP15" s="14">
        <f>SUM($N24:AP24)/SUM($N13:AP13)</f>
        <v>1.2170829172967363</v>
      </c>
      <c r="AQ15" s="14">
        <f>SUM($N24:AQ24)/SUM($N13:AQ13)</f>
        <v>1.2105482732904855</v>
      </c>
      <c r="AR15" s="14">
        <f>SUM($N24:AR24)/SUM($N13:AR13)</f>
        <v>1.1905704823423975</v>
      </c>
      <c r="AS15" s="14">
        <f>SUM($N24:AS24)/SUM($N13:AS13)</f>
        <v>1.1601952664096991</v>
      </c>
      <c r="AT15" s="14">
        <f>SUM($N24:AT24)/SUM($N13:AT13)</f>
        <v>1.1188470970533966</v>
      </c>
      <c r="AU15" s="14">
        <f>SUM($N24:AU24)/SUM($N13:AU13)</f>
        <v>1.0822316575473108</v>
      </c>
      <c r="AV15" s="14">
        <f>SUM($N24:AV24)/SUM($N13:AV13)</f>
        <v>1.0444374088804027</v>
      </c>
      <c r="AW15" s="14">
        <f>SUM($N24:AW24)/SUM($N13:AW13)</f>
        <v>1.01341159896319</v>
      </c>
      <c r="AX15" s="14">
        <f>SUM($N24:AX24)/SUM($N13:AX13)</f>
        <v>0.98018974438292616</v>
      </c>
      <c r="AY15" s="14">
        <f>SUM($N24:AY24)/SUM($N13:AY13)</f>
        <v>0.9463476728039133</v>
      </c>
    </row>
    <row r="17" spans="1:56" s="9" customFormat="1" x14ac:dyDescent="0.25">
      <c r="A17" s="9" t="s">
        <v>6</v>
      </c>
      <c r="B17" s="18">
        <v>1501</v>
      </c>
      <c r="C17" s="18">
        <v>1502</v>
      </c>
      <c r="D17" s="18">
        <v>1503</v>
      </c>
      <c r="E17" s="18">
        <v>1504</v>
      </c>
      <c r="F17" s="18">
        <v>1505</v>
      </c>
      <c r="G17" s="18">
        <v>1506</v>
      </c>
      <c r="H17" s="18">
        <v>1507</v>
      </c>
      <c r="I17" s="18">
        <v>1508</v>
      </c>
      <c r="J17" s="18">
        <v>1509</v>
      </c>
      <c r="K17" s="18">
        <v>1510</v>
      </c>
      <c r="L17" s="18">
        <v>1511</v>
      </c>
      <c r="M17" s="18">
        <v>1512</v>
      </c>
      <c r="N17" s="18">
        <v>1601</v>
      </c>
      <c r="O17" s="18">
        <v>1602</v>
      </c>
      <c r="P17" s="18">
        <v>1603</v>
      </c>
      <c r="Q17" s="18">
        <v>1604</v>
      </c>
      <c r="R17" s="18">
        <v>1605</v>
      </c>
      <c r="S17" s="18">
        <v>1606</v>
      </c>
      <c r="T17" s="18">
        <v>1607</v>
      </c>
      <c r="U17" s="18">
        <v>1608</v>
      </c>
      <c r="V17" s="18">
        <v>1609</v>
      </c>
      <c r="W17" s="18">
        <v>1610</v>
      </c>
      <c r="X17" s="18">
        <v>1611</v>
      </c>
      <c r="Y17" s="18">
        <v>1612</v>
      </c>
      <c r="Z17" s="19" t="s">
        <v>52</v>
      </c>
      <c r="AA17" s="19" t="s">
        <v>56</v>
      </c>
      <c r="AB17" s="19" t="s">
        <v>57</v>
      </c>
      <c r="AC17" s="19" t="s">
        <v>58</v>
      </c>
      <c r="AD17" s="19" t="s">
        <v>59</v>
      </c>
      <c r="AE17" s="20" t="s">
        <v>53</v>
      </c>
      <c r="AF17" s="20" t="s">
        <v>60</v>
      </c>
      <c r="AG17" s="20" t="s">
        <v>61</v>
      </c>
      <c r="AH17" s="20" t="s">
        <v>62</v>
      </c>
      <c r="AI17" s="20" t="s">
        <v>63</v>
      </c>
      <c r="AN17" s="18">
        <v>1701</v>
      </c>
      <c r="AO17" s="18">
        <v>1702</v>
      </c>
      <c r="AP17" s="18">
        <v>1703</v>
      </c>
      <c r="AQ17" s="18">
        <v>1704</v>
      </c>
      <c r="AR17" s="18">
        <v>1705</v>
      </c>
      <c r="AS17" s="18">
        <v>1706</v>
      </c>
      <c r="AT17" s="18">
        <v>1707</v>
      </c>
      <c r="AU17" s="18">
        <v>1708</v>
      </c>
      <c r="AV17" s="18">
        <v>1709</v>
      </c>
      <c r="AW17" s="18">
        <v>1710</v>
      </c>
      <c r="AX17" s="18">
        <v>1711</v>
      </c>
      <c r="AY17" s="18">
        <v>1712</v>
      </c>
      <c r="AZ17" s="19" t="s">
        <v>184</v>
      </c>
      <c r="BA17" s="19" t="s">
        <v>185</v>
      </c>
      <c r="BB17" s="19" t="s">
        <v>186</v>
      </c>
      <c r="BC17" s="19" t="s">
        <v>187</v>
      </c>
      <c r="BD17" s="19" t="s">
        <v>188</v>
      </c>
    </row>
    <row r="18" spans="1:56" x14ac:dyDescent="0.25">
      <c r="A18" s="17" t="s">
        <v>71</v>
      </c>
      <c r="B18" s="11">
        <v>1521.5339999999999</v>
      </c>
      <c r="C18" s="11">
        <v>828.87200000000018</v>
      </c>
      <c r="D18" s="11">
        <v>1914.7899999999993</v>
      </c>
      <c r="E18" s="11">
        <v>1859.7819999999999</v>
      </c>
      <c r="F18" s="11">
        <v>1073.4869999999999</v>
      </c>
      <c r="G18" s="11">
        <v>1861.5859999999989</v>
      </c>
      <c r="H18" s="11">
        <v>1736.5470000000003</v>
      </c>
      <c r="I18" s="11">
        <v>1318.239</v>
      </c>
      <c r="J18" s="11">
        <v>2298.2710000000002</v>
      </c>
      <c r="K18" s="11">
        <v>-164.37100000000001</v>
      </c>
      <c r="L18" s="11">
        <v>-10.186</v>
      </c>
      <c r="M18" s="11">
        <v>0</v>
      </c>
      <c r="N18" s="11">
        <v>-22.065000000000001</v>
      </c>
      <c r="O18" s="11">
        <v>0</v>
      </c>
      <c r="P18" s="11">
        <v>-17.437999999999999</v>
      </c>
      <c r="Q18" s="11">
        <v>0</v>
      </c>
      <c r="R18" s="11">
        <v>0</v>
      </c>
      <c r="S18" s="11">
        <v>-23.41</v>
      </c>
      <c r="T18" s="185"/>
      <c r="U18" s="185">
        <f>-11101000/10^6</f>
        <v>-11.101000000000001</v>
      </c>
      <c r="V18" s="21"/>
      <c r="W18" s="21"/>
      <c r="X18" s="21"/>
      <c r="Y18" s="21"/>
      <c r="Z18" s="11">
        <f>SUM($N18:INDEX($N18:$Y18,$A$3))</f>
        <v>-62.912999999999997</v>
      </c>
      <c r="AA18" s="11">
        <f>SUM(N18:P18)</f>
        <v>-39.503</v>
      </c>
      <c r="AB18" s="11">
        <f>SUM(Q18:S18)</f>
        <v>-23.41</v>
      </c>
      <c r="AC18" s="21">
        <f>SUM(T18:V18)</f>
        <v>-11.101000000000001</v>
      </c>
      <c r="AD18" s="21">
        <f>SUM(W18:Y18)</f>
        <v>0</v>
      </c>
      <c r="AE18" s="26">
        <f>SUM($B18:INDEX($B18:$M18,$A$3))</f>
        <v>10796.597999999998</v>
      </c>
      <c r="AF18" s="21">
        <f>SUM(B18:D18)</f>
        <v>4265.195999999999</v>
      </c>
      <c r="AG18" s="21">
        <f>SUM(E18:G18)</f>
        <v>4794.8549999999987</v>
      </c>
      <c r="AH18" s="11">
        <f>SUM(H18:J18)</f>
        <v>5353.0570000000007</v>
      </c>
      <c r="AI18" s="11">
        <f>SUM(K18:M18)</f>
        <v>-174.55700000000002</v>
      </c>
      <c r="AJ18" s="147"/>
      <c r="AN18" s="11"/>
      <c r="AO18" s="11"/>
      <c r="AP18" s="11"/>
      <c r="AQ18" s="11">
        <f>[8]APE!$N$347</f>
        <v>-17.22</v>
      </c>
      <c r="AR18" s="11">
        <f>[9]APE!$N$348</f>
        <v>75.900000000000006</v>
      </c>
      <c r="AS18" s="11">
        <f>[10]APE!$N$414</f>
        <v>117.19</v>
      </c>
      <c r="AT18" s="185">
        <f>[11]APE!$N$422</f>
        <v>162.5</v>
      </c>
      <c r="AU18" s="185"/>
      <c r="AV18" s="21"/>
      <c r="AW18" s="21"/>
      <c r="AX18" s="21"/>
      <c r="AY18" s="21"/>
      <c r="AZ18" s="21">
        <f>SUM($AN18:INDEX($AN18:$AY18,$A$3))</f>
        <v>338.37</v>
      </c>
      <c r="BA18" s="21">
        <f t="shared" ref="BA18:BA23" si="18">SUM(AN18:AP18)</f>
        <v>0</v>
      </c>
      <c r="BB18" s="21">
        <f t="shared" ref="BB18:BB23" si="19">SUM(AQ18:AS18)</f>
        <v>175.87</v>
      </c>
      <c r="BC18" s="21">
        <f t="shared" ref="BC18:BC23" si="20">SUM(AT18:AV18)</f>
        <v>162.5</v>
      </c>
      <c r="BD18" s="21">
        <f t="shared" ref="BD18:BD23" si="21">SUM(AW18:AY18)</f>
        <v>0</v>
      </c>
    </row>
    <row r="19" spans="1:56" x14ac:dyDescent="0.25">
      <c r="A19" s="17" t="s">
        <v>47</v>
      </c>
      <c r="B19" s="11">
        <v>3667.1289999999999</v>
      </c>
      <c r="C19" s="11">
        <v>2294.451</v>
      </c>
      <c r="D19" s="11">
        <v>7358.8670000000002</v>
      </c>
      <c r="E19" s="11">
        <v>6516.1009999999997</v>
      </c>
      <c r="F19" s="11">
        <v>6568.7520000000004</v>
      </c>
      <c r="G19" s="11">
        <v>8581.5100000000093</v>
      </c>
      <c r="H19" s="11">
        <v>8268.277</v>
      </c>
      <c r="I19" s="11">
        <v>6449.6949999999997</v>
      </c>
      <c r="J19" s="11">
        <v>8693.0870000000104</v>
      </c>
      <c r="K19" s="11">
        <v>12623.291999999999</v>
      </c>
      <c r="L19" s="11">
        <v>16668.133000000002</v>
      </c>
      <c r="M19" s="11">
        <v>16916.330999999998</v>
      </c>
      <c r="N19" s="11">
        <v>5683.9350000000004</v>
      </c>
      <c r="O19" s="11">
        <v>8966.5000000000091</v>
      </c>
      <c r="P19" s="11">
        <v>14179.177</v>
      </c>
      <c r="Q19" s="11">
        <v>11771.885</v>
      </c>
      <c r="R19" s="11">
        <v>15183.444</v>
      </c>
      <c r="S19" s="11">
        <v>16008.795</v>
      </c>
      <c r="T19" s="21">
        <f>12956300000/10^6</f>
        <v>12956.3</v>
      </c>
      <c r="U19" s="21">
        <f>16443667000/10^6</f>
        <v>16443.667000000001</v>
      </c>
      <c r="V19" s="21">
        <v>17583.61599999998</v>
      </c>
      <c r="W19" s="21">
        <f>[12]APE!$M$141</f>
        <v>16589.584999999999</v>
      </c>
      <c r="X19" s="21">
        <f>[13]APE!$M$141</f>
        <v>12806.273000000001</v>
      </c>
      <c r="Y19" s="21">
        <f>[14]APE!$M$141</f>
        <v>24589.598000000002</v>
      </c>
      <c r="Z19" s="11">
        <f>SUM($N19:INDEX($N19:$Y19,$A$3))</f>
        <v>84750.036000000007</v>
      </c>
      <c r="AA19" s="11">
        <f>SUM(N19:P19)</f>
        <v>28829.612000000008</v>
      </c>
      <c r="AB19" s="11">
        <f>SUM(Q19:S19)</f>
        <v>42964.123999999996</v>
      </c>
      <c r="AC19" s="21">
        <f>SUM(T19:V19)</f>
        <v>46983.582999999984</v>
      </c>
      <c r="AD19" s="21">
        <f>SUM(W19:Y19)</f>
        <v>53985.456000000006</v>
      </c>
      <c r="AE19" s="11">
        <f>SUM($B19:INDEX($B19:$M19,$A$3))</f>
        <v>43255.087000000014</v>
      </c>
      <c r="AF19" s="21">
        <f>SUM(B19:D19)</f>
        <v>13320.447</v>
      </c>
      <c r="AG19" s="21">
        <f>SUM(E19:G19)</f>
        <v>21666.363000000008</v>
      </c>
      <c r="AH19" s="11">
        <f>SUM(H19:J19)</f>
        <v>23411.059000000008</v>
      </c>
      <c r="AI19" s="11">
        <f>SUM(K19:M19)</f>
        <v>46207.756000000001</v>
      </c>
      <c r="AJ19" s="147">
        <f>Z19/AE19</f>
        <v>1.9593079537673794</v>
      </c>
      <c r="AN19" s="11">
        <f>[15]APE!$M$141</f>
        <v>9512.1810000000005</v>
      </c>
      <c r="AO19" s="21">
        <f>[16]APE!$M$204</f>
        <v>18574.081999999999</v>
      </c>
      <c r="AP19" s="11">
        <f>[17]APE!$N$262</f>
        <v>22745.040000000008</v>
      </c>
      <c r="AQ19" s="11">
        <f>[8]APE!$N$348</f>
        <v>17763.730000000003</v>
      </c>
      <c r="AR19" s="11">
        <f>[9]APE!$N$347</f>
        <v>14982.839999999998</v>
      </c>
      <c r="AS19" s="11">
        <f>[10]APE!$N$418</f>
        <v>13542.25</v>
      </c>
      <c r="AT19" s="21">
        <f>[11]APE!$N$426</f>
        <v>15373.438</v>
      </c>
      <c r="AU19" s="21"/>
      <c r="AV19" s="21"/>
      <c r="AW19" s="21"/>
      <c r="AX19" s="21"/>
      <c r="AY19" s="21"/>
      <c r="AZ19" s="21">
        <f>SUM($AN19:INDEX($AN19:$AY19,$A$3))</f>
        <v>112493.561</v>
      </c>
      <c r="BA19" s="21">
        <f t="shared" si="18"/>
        <v>50831.303000000007</v>
      </c>
      <c r="BB19" s="21">
        <f t="shared" si="19"/>
        <v>46288.82</v>
      </c>
      <c r="BC19" s="21">
        <f t="shared" si="20"/>
        <v>15373.438</v>
      </c>
      <c r="BD19" s="21">
        <f t="shared" si="21"/>
        <v>0</v>
      </c>
    </row>
    <row r="20" spans="1:56" x14ac:dyDescent="0.25">
      <c r="A20" s="17" t="s">
        <v>116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1"/>
      <c r="U20" s="21">
        <f>3008450000/10^6</f>
        <v>3008.45</v>
      </c>
      <c r="V20" s="21">
        <v>3026.7269999999999</v>
      </c>
      <c r="W20" s="21">
        <f>[12]APE!$M$140</f>
        <v>4662.5019999999995</v>
      </c>
      <c r="X20" s="21">
        <f>[13]APE!$M$140</f>
        <v>3282.4009999999994</v>
      </c>
      <c r="Y20" s="21">
        <f>[14]APE!$M$140</f>
        <v>5359.4579999999996</v>
      </c>
      <c r="Z20" s="11">
        <f>SUM($N20:INDEX($N20:$Y20,$A$3))</f>
        <v>0</v>
      </c>
      <c r="AA20" s="11">
        <f>SUM(N20:P20)</f>
        <v>0</v>
      </c>
      <c r="AB20" s="11">
        <f>SUM(Q20:S20)</f>
        <v>0</v>
      </c>
      <c r="AC20" s="21">
        <f>SUM(T20:V20)</f>
        <v>6035.1769999999997</v>
      </c>
      <c r="AD20" s="21">
        <f>SUM(W20:Y20)</f>
        <v>13304.360999999997</v>
      </c>
      <c r="AE20" s="11">
        <f>SUM($B20:INDEX($B20:$M20,$A$3))</f>
        <v>0</v>
      </c>
      <c r="AF20" s="21">
        <f>SUM(B20:D20)</f>
        <v>0</v>
      </c>
      <c r="AG20" s="21">
        <f>SUM(E20:G20)</f>
        <v>0</v>
      </c>
      <c r="AH20" s="11">
        <f>SUM(H20:J20)</f>
        <v>0</v>
      </c>
      <c r="AI20" s="11">
        <f>SUM(K20:M20)</f>
        <v>0</v>
      </c>
      <c r="AJ20" s="147"/>
      <c r="AN20" s="11">
        <f>[15]APE!$M$140</f>
        <v>2313.453</v>
      </c>
      <c r="AO20" s="21">
        <f>[16]APE!$M$202</f>
        <v>2976.6620000000003</v>
      </c>
      <c r="AP20" s="11">
        <f>[17]APE!$N$260</f>
        <v>6331.84</v>
      </c>
      <c r="AQ20" s="11">
        <f>[8]APE!$N$344</f>
        <v>4179.01</v>
      </c>
      <c r="AR20" s="11">
        <f>[9]APE!$N$344</f>
        <v>3670.7300000000005</v>
      </c>
      <c r="AS20" s="11">
        <f>[10]APE!$N$416</f>
        <v>1414.4699999999998</v>
      </c>
      <c r="AT20" s="21">
        <f>[11]APE!$N$424</f>
        <v>2343.444</v>
      </c>
      <c r="AU20" s="21"/>
      <c r="AV20" s="21"/>
      <c r="AW20" s="21"/>
      <c r="AX20" s="21"/>
      <c r="AY20" s="21"/>
      <c r="AZ20" s="21">
        <f>SUM($AN20:INDEX($AN20:$AY20,$A$3))</f>
        <v>23229.609</v>
      </c>
      <c r="BA20" s="21">
        <f t="shared" si="18"/>
        <v>11621.955</v>
      </c>
      <c r="BB20" s="21">
        <f t="shared" si="19"/>
        <v>9264.2100000000009</v>
      </c>
      <c r="BC20" s="21">
        <f t="shared" si="20"/>
        <v>2343.444</v>
      </c>
      <c r="BD20" s="21">
        <f t="shared" si="21"/>
        <v>0</v>
      </c>
    </row>
    <row r="21" spans="1:56" x14ac:dyDescent="0.25">
      <c r="A21" s="17" t="s">
        <v>48</v>
      </c>
      <c r="B21" s="11"/>
      <c r="C21" s="11"/>
      <c r="D21" s="11"/>
      <c r="E21" s="11"/>
      <c r="F21" s="11"/>
      <c r="G21" s="11"/>
      <c r="H21" s="11">
        <v>21.552</v>
      </c>
      <c r="I21" s="11">
        <v>537.10400000000004</v>
      </c>
      <c r="J21" s="11">
        <v>1088.2809999999999</v>
      </c>
      <c r="K21" s="11">
        <v>2330.3389999999999</v>
      </c>
      <c r="L21" s="11">
        <v>2487.4450000000002</v>
      </c>
      <c r="M21" s="11">
        <v>3821.3339999999998</v>
      </c>
      <c r="N21" s="11">
        <v>1943.473</v>
      </c>
      <c r="O21" s="11">
        <v>1070.9860000000001</v>
      </c>
      <c r="P21" s="11">
        <v>1261.145</v>
      </c>
      <c r="Q21" s="11">
        <v>886.42700000000002</v>
      </c>
      <c r="R21" s="11">
        <v>979.077</v>
      </c>
      <c r="S21" s="11">
        <v>409.28899999999999</v>
      </c>
      <c r="T21" s="125">
        <f>-99175000/10^6</f>
        <v>-99.174999999999997</v>
      </c>
      <c r="U21" s="125">
        <f>725423000/10^6</f>
        <v>725.423</v>
      </c>
      <c r="V21" s="21">
        <v>624.05999999999995</v>
      </c>
      <c r="W21" s="157">
        <f>[12]APE!$M$139</f>
        <v>487.38300000000004</v>
      </c>
      <c r="X21" s="21">
        <f>[13]APE!$M$139</f>
        <v>364.54300000000001</v>
      </c>
      <c r="Y21" s="21">
        <f>[14]APE!$M$139</f>
        <v>134.86500000000001</v>
      </c>
      <c r="Z21" s="11">
        <f>SUM($N21:INDEX($N21:$Y21,$A$3))</f>
        <v>6451.2219999999988</v>
      </c>
      <c r="AA21" s="11">
        <f>SUM(N21:P21)</f>
        <v>4275.6039999999994</v>
      </c>
      <c r="AB21" s="11">
        <f>SUM(Q21:S21)</f>
        <v>2274.7929999999997</v>
      </c>
      <c r="AC21" s="21">
        <f>SUM(T21:V21)</f>
        <v>1250.308</v>
      </c>
      <c r="AD21" s="21">
        <f>SUM(W21:Y21)</f>
        <v>986.79100000000005</v>
      </c>
      <c r="AE21" s="11">
        <f>SUM($B21:INDEX($B21:$M21,$A$3))</f>
        <v>21.552</v>
      </c>
      <c r="AF21" s="21">
        <f>SUM(B21:D21)</f>
        <v>0</v>
      </c>
      <c r="AG21" s="21">
        <f>SUM(E21:G21)</f>
        <v>0</v>
      </c>
      <c r="AH21" s="11">
        <f>SUM(H21:J21)</f>
        <v>1646.9369999999999</v>
      </c>
      <c r="AI21" s="11">
        <f>SUM(K21:M21)</f>
        <v>8639.1179999999986</v>
      </c>
      <c r="AJ21" s="147"/>
      <c r="AN21" s="11">
        <f>[15]APE!$M$139</f>
        <v>-70.450999999999993</v>
      </c>
      <c r="AO21" s="21"/>
      <c r="AP21" s="11"/>
      <c r="AQ21" s="11"/>
      <c r="AR21" s="11"/>
      <c r="AS21" s="11"/>
      <c r="AT21" s="125"/>
      <c r="AU21" s="125"/>
      <c r="AV21" s="21"/>
      <c r="AW21" s="157"/>
      <c r="AX21" s="21"/>
      <c r="AY21" s="21"/>
      <c r="AZ21" s="21">
        <f>SUM($AN21:INDEX($AN21:$AY21,$A$3))</f>
        <v>-70.450999999999993</v>
      </c>
      <c r="BA21" s="21">
        <f t="shared" si="18"/>
        <v>-70.450999999999993</v>
      </c>
      <c r="BB21" s="21">
        <f t="shared" si="19"/>
        <v>0</v>
      </c>
      <c r="BC21" s="21">
        <f t="shared" si="20"/>
        <v>0</v>
      </c>
      <c r="BD21" s="21">
        <f t="shared" si="21"/>
        <v>0</v>
      </c>
    </row>
    <row r="22" spans="1:56" x14ac:dyDescent="0.25">
      <c r="A22" s="17" t="s">
        <v>208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25"/>
      <c r="U22" s="125"/>
      <c r="V22" s="21"/>
      <c r="W22" s="157"/>
      <c r="X22" s="21"/>
      <c r="Y22" s="21"/>
      <c r="Z22" s="11"/>
      <c r="AA22" s="11"/>
      <c r="AB22" s="11"/>
      <c r="AC22" s="21"/>
      <c r="AD22" s="21"/>
      <c r="AE22" s="11"/>
      <c r="AF22" s="21"/>
      <c r="AG22" s="21"/>
      <c r="AH22" s="11"/>
      <c r="AI22" s="11"/>
      <c r="AJ22" s="147"/>
      <c r="AN22" s="11"/>
      <c r="AO22" s="21"/>
      <c r="AP22" s="11">
        <f>[17]APE!$N$261</f>
        <v>727.29</v>
      </c>
      <c r="AQ22" s="11">
        <f>[8]APE!$N$346</f>
        <v>844.96999999999991</v>
      </c>
      <c r="AR22" s="11">
        <f>[9]APE!$N$346</f>
        <v>901.76</v>
      </c>
      <c r="AS22" s="11">
        <f>[10]APE!$N$417</f>
        <v>1369.42</v>
      </c>
      <c r="AT22" s="125">
        <f>[11]APE!$N$425</f>
        <v>609.53</v>
      </c>
      <c r="AU22" s="125"/>
      <c r="AV22" s="21"/>
      <c r="AW22" s="157"/>
      <c r="AX22" s="21"/>
      <c r="AY22" s="21"/>
      <c r="AZ22" s="21">
        <f>SUM($AN22:INDEX($AN22:$AY22,$A$3))</f>
        <v>4452.9699999999993</v>
      </c>
      <c r="BA22" s="21">
        <f t="shared" si="18"/>
        <v>727.29</v>
      </c>
      <c r="BB22" s="21">
        <f t="shared" si="19"/>
        <v>3116.15</v>
      </c>
      <c r="BC22" s="21">
        <f t="shared" si="20"/>
        <v>609.53</v>
      </c>
      <c r="BD22" s="21">
        <f t="shared" si="21"/>
        <v>0</v>
      </c>
    </row>
    <row r="23" spans="1:56" x14ac:dyDescent="0.25">
      <c r="A23" s="17" t="s">
        <v>201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25"/>
      <c r="U23" s="125"/>
      <c r="V23" s="21"/>
      <c r="W23" s="157"/>
      <c r="X23" s="21"/>
      <c r="Y23" s="21"/>
      <c r="Z23" s="11"/>
      <c r="AA23" s="11"/>
      <c r="AB23" s="11"/>
      <c r="AC23" s="21"/>
      <c r="AD23" s="21"/>
      <c r="AE23" s="11">
        <f>SUM($B23:INDEX($B23:$M23,$A$3))</f>
        <v>0</v>
      </c>
      <c r="AF23" s="21">
        <f>SUM(B23:D23)</f>
        <v>0</v>
      </c>
      <c r="AG23" s="21">
        <f>SUM(E23:G23)</f>
        <v>0</v>
      </c>
      <c r="AH23" s="11">
        <f>SUM(H23:J23)</f>
        <v>0</v>
      </c>
      <c r="AI23" s="11">
        <f>SUM(K23:M23)</f>
        <v>0</v>
      </c>
      <c r="AJ23" s="147"/>
      <c r="AN23" s="11">
        <f>[15]APE!$M$142</f>
        <v>33.945999999999998</v>
      </c>
      <c r="AO23" s="21">
        <f>[16]APE!$M$205</f>
        <v>211.96499999999997</v>
      </c>
      <c r="AP23" s="11">
        <f>[17]APE!$N$263</f>
        <v>329.24</v>
      </c>
      <c r="AQ23" s="11">
        <f>[8]APE!$N$349</f>
        <v>319.60000000000002</v>
      </c>
      <c r="AR23" s="11">
        <f>[9]APE!$N$349</f>
        <v>340.87</v>
      </c>
      <c r="AS23" s="11">
        <f>[10]APE!$N$415</f>
        <v>91.14</v>
      </c>
      <c r="AT23" s="125">
        <f>[11]APE!$N$423</f>
        <v>169.96299999999999</v>
      </c>
      <c r="AU23" s="125"/>
      <c r="AV23" s="21"/>
      <c r="AW23" s="157"/>
      <c r="AX23" s="21"/>
      <c r="AY23" s="21"/>
      <c r="AZ23" s="21">
        <f>SUM($AN23:INDEX($AN23:$AY23,$A$3))</f>
        <v>1496.7240000000002</v>
      </c>
      <c r="BA23" s="21">
        <f t="shared" si="18"/>
        <v>575.15099999999995</v>
      </c>
      <c r="BB23" s="21">
        <f t="shared" si="19"/>
        <v>751.61</v>
      </c>
      <c r="BC23" s="21">
        <f t="shared" si="20"/>
        <v>169.96299999999999</v>
      </c>
      <c r="BD23" s="21">
        <f t="shared" si="21"/>
        <v>0</v>
      </c>
    </row>
    <row r="24" spans="1:56" x14ac:dyDescent="0.25">
      <c r="B24" s="13">
        <f t="shared" ref="B24:AI24" si="22">SUM(B18:B23)</f>
        <v>5188.6629999999996</v>
      </c>
      <c r="C24" s="13">
        <f t="shared" si="22"/>
        <v>3123.3230000000003</v>
      </c>
      <c r="D24" s="13">
        <f t="shared" si="22"/>
        <v>9273.6569999999992</v>
      </c>
      <c r="E24" s="13">
        <f t="shared" si="22"/>
        <v>8375.8829999999998</v>
      </c>
      <c r="F24" s="13">
        <f t="shared" si="22"/>
        <v>7642.2390000000005</v>
      </c>
      <c r="G24" s="13">
        <f t="shared" si="22"/>
        <v>10443.096000000009</v>
      </c>
      <c r="H24" s="13">
        <f t="shared" si="22"/>
        <v>10026.376</v>
      </c>
      <c r="I24" s="13">
        <f t="shared" si="22"/>
        <v>8305.0379999999986</v>
      </c>
      <c r="J24" s="13">
        <f t="shared" si="22"/>
        <v>12079.63900000001</v>
      </c>
      <c r="K24" s="13">
        <f t="shared" si="22"/>
        <v>14789.26</v>
      </c>
      <c r="L24" s="13">
        <f t="shared" si="22"/>
        <v>19145.392</v>
      </c>
      <c r="M24" s="13">
        <f t="shared" si="22"/>
        <v>20737.664999999997</v>
      </c>
      <c r="N24" s="13">
        <f t="shared" si="22"/>
        <v>7605.3430000000008</v>
      </c>
      <c r="O24" s="13">
        <f t="shared" si="22"/>
        <v>10037.48600000001</v>
      </c>
      <c r="P24" s="13">
        <f t="shared" si="22"/>
        <v>15422.884</v>
      </c>
      <c r="Q24" s="13">
        <f t="shared" si="22"/>
        <v>12658.312</v>
      </c>
      <c r="R24" s="13">
        <f t="shared" si="22"/>
        <v>16162.520999999999</v>
      </c>
      <c r="S24" s="13">
        <f t="shared" si="22"/>
        <v>16394.673999999999</v>
      </c>
      <c r="T24" s="22">
        <f t="shared" si="22"/>
        <v>12857.125</v>
      </c>
      <c r="U24" s="22">
        <f t="shared" si="22"/>
        <v>20166.439000000002</v>
      </c>
      <c r="V24" s="22">
        <f t="shared" si="22"/>
        <v>21234.40299999998</v>
      </c>
      <c r="W24" s="22">
        <f t="shared" si="22"/>
        <v>21739.47</v>
      </c>
      <c r="X24" s="22">
        <f t="shared" si="22"/>
        <v>16453.217000000001</v>
      </c>
      <c r="Y24" s="22">
        <f t="shared" si="22"/>
        <v>30083.921000000002</v>
      </c>
      <c r="Z24" s="13">
        <f t="shared" si="22"/>
        <v>91138.345000000001</v>
      </c>
      <c r="AA24" s="13">
        <f t="shared" si="22"/>
        <v>33065.713000000003</v>
      </c>
      <c r="AB24" s="13">
        <f t="shared" si="22"/>
        <v>45215.506999999991</v>
      </c>
      <c r="AC24" s="22">
        <f t="shared" si="22"/>
        <v>54257.966999999982</v>
      </c>
      <c r="AD24" s="22">
        <f t="shared" si="22"/>
        <v>68276.608000000007</v>
      </c>
      <c r="AE24" s="13">
        <f t="shared" si="22"/>
        <v>54073.237000000016</v>
      </c>
      <c r="AF24" s="22">
        <f t="shared" si="22"/>
        <v>17585.643</v>
      </c>
      <c r="AG24" s="22">
        <f t="shared" si="22"/>
        <v>26461.218000000008</v>
      </c>
      <c r="AH24" s="13">
        <f t="shared" si="22"/>
        <v>30411.053000000007</v>
      </c>
      <c r="AI24" s="13">
        <f t="shared" si="22"/>
        <v>54672.316999999995</v>
      </c>
      <c r="AJ24" s="147">
        <f>Z24/AE24</f>
        <v>1.6854612384311296</v>
      </c>
      <c r="AK24" s="14">
        <f>Z24/SUM(N13:X13)</f>
        <v>0.45731761963039153</v>
      </c>
      <c r="AL24" s="14">
        <f>X24/L24</f>
        <v>0.8593826127978994</v>
      </c>
      <c r="AM24" s="14">
        <f>X24/X13</f>
        <v>0.62178226775865431</v>
      </c>
      <c r="AN24" s="22">
        <f t="shared" ref="AN24:BD24" si="23">SUM(AN18:AN23)</f>
        <v>11789.129000000001</v>
      </c>
      <c r="AO24" s="22">
        <f t="shared" si="23"/>
        <v>21762.708999999999</v>
      </c>
      <c r="AP24" s="22">
        <f t="shared" si="23"/>
        <v>30133.410000000011</v>
      </c>
      <c r="AQ24" s="22">
        <f>SUM(AQ18:AQ23)</f>
        <v>23090.090000000004</v>
      </c>
      <c r="AR24" s="22">
        <f t="shared" si="23"/>
        <v>19972.099999999995</v>
      </c>
      <c r="AS24" s="22">
        <f t="shared" si="23"/>
        <v>16534.47</v>
      </c>
      <c r="AT24" s="22">
        <f t="shared" si="23"/>
        <v>18658.875</v>
      </c>
      <c r="AU24" s="22">
        <f t="shared" si="23"/>
        <v>0</v>
      </c>
      <c r="AV24" s="22">
        <f t="shared" si="23"/>
        <v>0</v>
      </c>
      <c r="AW24" s="22">
        <f t="shared" si="23"/>
        <v>0</v>
      </c>
      <c r="AX24" s="22">
        <f t="shared" si="23"/>
        <v>0</v>
      </c>
      <c r="AY24" s="22">
        <f t="shared" si="23"/>
        <v>0</v>
      </c>
      <c r="AZ24" s="22">
        <f t="shared" si="23"/>
        <v>141940.783</v>
      </c>
      <c r="BA24" s="22">
        <f t="shared" si="23"/>
        <v>63685.248000000007</v>
      </c>
      <c r="BB24" s="22">
        <f t="shared" si="23"/>
        <v>59596.66</v>
      </c>
      <c r="BC24" s="22">
        <f t="shared" si="23"/>
        <v>18658.875</v>
      </c>
      <c r="BD24" s="22">
        <f t="shared" si="23"/>
        <v>0</v>
      </c>
    </row>
    <row r="25" spans="1:56" x14ac:dyDescent="0.25">
      <c r="A25" s="17" t="s">
        <v>170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47">
        <f>N24/B24</f>
        <v>1.4657616037117849</v>
      </c>
      <c r="O25" s="147">
        <f t="shared" ref="O25:Y25" si="24">O24/C24</f>
        <v>3.2137201307709797</v>
      </c>
      <c r="P25" s="147">
        <f t="shared" si="24"/>
        <v>1.6630854473052001</v>
      </c>
      <c r="Q25" s="147">
        <f t="shared" si="24"/>
        <v>1.5112809001749428</v>
      </c>
      <c r="R25" s="147">
        <f t="shared" si="24"/>
        <v>2.1148934232493906</v>
      </c>
      <c r="S25" s="147">
        <f t="shared" si="24"/>
        <v>1.5699055146098422</v>
      </c>
      <c r="T25" s="147">
        <f t="shared" si="24"/>
        <v>1.2823302257964393</v>
      </c>
      <c r="U25" s="147">
        <f t="shared" si="24"/>
        <v>2.4282175469877445</v>
      </c>
      <c r="V25" s="147">
        <f t="shared" si="24"/>
        <v>1.7578673501749482</v>
      </c>
      <c r="W25" s="147">
        <f t="shared" si="24"/>
        <v>1.4699498149332693</v>
      </c>
      <c r="X25" s="147">
        <f t="shared" si="24"/>
        <v>0.8593826127978994</v>
      </c>
      <c r="Y25" s="147">
        <f t="shared" si="24"/>
        <v>1.4506898920394367</v>
      </c>
      <c r="Z25" s="13"/>
      <c r="AA25" s="13"/>
      <c r="AB25" s="13"/>
      <c r="AC25" s="22"/>
      <c r="AD25" s="22"/>
      <c r="AE25" s="13"/>
      <c r="AF25" s="22"/>
      <c r="AG25" s="22"/>
      <c r="AH25" s="13"/>
      <c r="AI25" s="13"/>
      <c r="AJ25" s="147"/>
      <c r="AK25" s="14"/>
      <c r="AL25" s="14"/>
      <c r="AM25" s="14"/>
      <c r="AN25" s="147">
        <f t="shared" ref="AN25:AT25" si="25">AN24/N24</f>
        <v>1.55011141509331</v>
      </c>
      <c r="AO25" s="147">
        <f t="shared" si="25"/>
        <v>2.1681433976595312</v>
      </c>
      <c r="AP25" s="147">
        <f t="shared" si="25"/>
        <v>1.953811621743379</v>
      </c>
      <c r="AQ25" s="147">
        <f t="shared" si="25"/>
        <v>1.8241049833500711</v>
      </c>
      <c r="AR25" s="147">
        <f t="shared" si="25"/>
        <v>1.2357045042663826</v>
      </c>
      <c r="AS25" s="147">
        <f t="shared" si="25"/>
        <v>1.0085269155092687</v>
      </c>
      <c r="AT25" s="147">
        <f t="shared" si="25"/>
        <v>1.4512478489553458</v>
      </c>
      <c r="AU25" s="192">
        <f t="shared" ref="AU25:AY25" si="26">AU24/U24</f>
        <v>0</v>
      </c>
      <c r="AV25" s="192">
        <f t="shared" si="26"/>
        <v>0</v>
      </c>
      <c r="AW25" s="192">
        <f t="shared" si="26"/>
        <v>0</v>
      </c>
      <c r="AX25" s="192">
        <f t="shared" si="26"/>
        <v>0</v>
      </c>
      <c r="AY25" s="192">
        <f t="shared" si="26"/>
        <v>0</v>
      </c>
      <c r="AZ25" s="13"/>
      <c r="BA25" s="13"/>
      <c r="BB25" s="13"/>
      <c r="BC25" s="22"/>
      <c r="BD25" s="22"/>
    </row>
    <row r="26" spans="1:56" x14ac:dyDescent="0.25">
      <c r="A26" s="17" t="s">
        <v>169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47">
        <f>SUM($N24:N24)/SUM($B24:B24)</f>
        <v>1.4657616037117849</v>
      </c>
      <c r="O26" s="147">
        <f>SUM($N24:O24)/SUM($B24:C24)</f>
        <v>2.1225768426462714</v>
      </c>
      <c r="P26" s="147">
        <f>SUM($N24:P24)/SUM($B24:D24)</f>
        <v>1.8802675000282907</v>
      </c>
      <c r="Q26" s="147">
        <f>SUM($N24:Q24)/SUM($B24:E24)</f>
        <v>1.7612225490905278</v>
      </c>
      <c r="R26" s="147">
        <f>SUM($N24:R24)/SUM($B24:F24)</f>
        <v>1.8416551240612475</v>
      </c>
      <c r="S26" s="147">
        <f>SUM($N24:S24)/SUM($B24:G24)</f>
        <v>1.7772258504414196</v>
      </c>
      <c r="T26" s="147">
        <f>SUM($N24:T24)/SUM($B24:H24)</f>
        <v>1.6854612384311298</v>
      </c>
      <c r="U26" s="147">
        <f>SUM($N24:U24)/SUM($B24:I24)</f>
        <v>1.7843517474633594</v>
      </c>
      <c r="V26" s="147">
        <f>SUM($N24:V24)/SUM($B24:J24)</f>
        <v>1.7800550657382095</v>
      </c>
      <c r="W26" s="147">
        <f>SUM($N24:W24)/SUM($B24:K24)</f>
        <v>1.728667139645228</v>
      </c>
      <c r="X26" s="147">
        <f>SUM($N24:X24)/SUM($B24:L24)</f>
        <v>1.5751253088703514</v>
      </c>
      <c r="Y26" s="147">
        <f>SUM($N24:Y24)/SUM($B24:M24)</f>
        <v>1.555141607390139</v>
      </c>
      <c r="Z26" s="13"/>
      <c r="AA26" s="13"/>
      <c r="AB26" s="13"/>
      <c r="AC26" s="22"/>
      <c r="AD26" s="22"/>
      <c r="AE26" s="13"/>
      <c r="AF26" s="22"/>
      <c r="AG26" s="22"/>
      <c r="AH26" s="13"/>
      <c r="AI26" s="13"/>
      <c r="AJ26" s="147"/>
      <c r="AK26" s="14"/>
      <c r="AL26" s="14"/>
      <c r="AM26" s="14"/>
      <c r="AN26" s="147">
        <f>SUM($AN24:AN24)/SUM($N24:N24)</f>
        <v>1.55011141509331</v>
      </c>
      <c r="AO26" s="147">
        <f>SUM($AN24:AO24)/SUM($N24:O24)</f>
        <v>1.9017266448595052</v>
      </c>
      <c r="AP26" s="147">
        <f>SUM($AN24:AP24)/SUM($N24:P24)</f>
        <v>1.9260207091254917</v>
      </c>
      <c r="AQ26" s="147">
        <f>SUM($AN24:AQ24)/SUM($N24:Q24)</f>
        <v>1.8978061970703586</v>
      </c>
      <c r="AR26" s="147">
        <f>SUM($AN24:AR24)/SUM($N24:R24)</f>
        <v>1.7248892513729881</v>
      </c>
      <c r="AS26" s="147">
        <f>SUM($AN24:AS24)/SUM($N24:S24)</f>
        <v>1.5748593085289166</v>
      </c>
      <c r="AT26" s="147">
        <f>SUM($AN24:AT24)/SUM($N24:T24)</f>
        <v>1.5574211162162315</v>
      </c>
      <c r="AU26" s="192">
        <f>SUM($AN24:AU24)/SUM($N24:U24)</f>
        <v>1.2752442249023186</v>
      </c>
      <c r="AV26" s="192">
        <f>SUM($AN24:AV24)/SUM($N24:V24)</f>
        <v>1.0709344625752082</v>
      </c>
      <c r="AW26" s="192">
        <f>SUM($AN24:AW24)/SUM($N24:W24)</f>
        <v>0.92002864012486196</v>
      </c>
      <c r="AX26" s="192">
        <f>SUM($AN24:AX24)/SUM($N24:X24)</f>
        <v>0.83136663163434854</v>
      </c>
      <c r="AY26" s="192">
        <f>SUM($AN24:AY24)/SUM($N24:Y24)</f>
        <v>0.70682081058414759</v>
      </c>
      <c r="AZ26" s="13"/>
      <c r="BA26" s="13"/>
      <c r="BB26" s="13"/>
      <c r="BC26" s="22"/>
      <c r="BD26" s="22"/>
    </row>
    <row r="27" spans="1:56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AN27" s="8"/>
      <c r="AO27" s="8"/>
      <c r="AP27" s="8"/>
      <c r="AQ27" s="8"/>
      <c r="AR27" s="8"/>
      <c r="AS27" s="8"/>
    </row>
    <row r="28" spans="1:56" s="9" customFormat="1" x14ac:dyDescent="0.25">
      <c r="A28" s="9" t="s">
        <v>51</v>
      </c>
      <c r="B28" s="18">
        <v>1501</v>
      </c>
      <c r="C28" s="18">
        <v>1502</v>
      </c>
      <c r="D28" s="18">
        <v>1503</v>
      </c>
      <c r="E28" s="18">
        <v>1504</v>
      </c>
      <c r="F28" s="18">
        <v>1505</v>
      </c>
      <c r="G28" s="18">
        <v>1506</v>
      </c>
      <c r="H28" s="18">
        <v>1507</v>
      </c>
      <c r="I28" s="18">
        <v>1508</v>
      </c>
      <c r="J28" s="18">
        <v>1509</v>
      </c>
      <c r="K28" s="18">
        <v>1510</v>
      </c>
      <c r="L28" s="18">
        <v>1511</v>
      </c>
      <c r="M28" s="18">
        <v>1512</v>
      </c>
      <c r="N28" s="18">
        <v>1601</v>
      </c>
      <c r="O28" s="18">
        <v>1602</v>
      </c>
      <c r="P28" s="18">
        <v>1603</v>
      </c>
      <c r="Q28" s="18">
        <v>1604</v>
      </c>
      <c r="R28" s="18">
        <v>1605</v>
      </c>
      <c r="S28" s="18">
        <v>1606</v>
      </c>
      <c r="T28" s="18">
        <v>1607</v>
      </c>
      <c r="U28" s="18">
        <v>1608</v>
      </c>
      <c r="V28" s="18">
        <v>1609</v>
      </c>
      <c r="W28" s="18">
        <v>1610</v>
      </c>
      <c r="X28" s="18">
        <v>1611</v>
      </c>
      <c r="Y28" s="18">
        <v>1612</v>
      </c>
      <c r="Z28" s="19" t="s">
        <v>52</v>
      </c>
      <c r="AA28" s="19" t="s">
        <v>56</v>
      </c>
      <c r="AB28" s="19" t="s">
        <v>57</v>
      </c>
      <c r="AC28" s="19" t="s">
        <v>58</v>
      </c>
      <c r="AD28" s="19" t="s">
        <v>59</v>
      </c>
      <c r="AE28" s="20" t="s">
        <v>53</v>
      </c>
      <c r="AF28" s="20" t="s">
        <v>60</v>
      </c>
      <c r="AG28" s="20" t="s">
        <v>61</v>
      </c>
      <c r="AH28" s="20" t="s">
        <v>62</v>
      </c>
      <c r="AI28" s="20" t="s">
        <v>63</v>
      </c>
      <c r="AN28" s="18">
        <v>1701</v>
      </c>
      <c r="AO28" s="18">
        <v>1702</v>
      </c>
      <c r="AP28" s="18">
        <v>1703</v>
      </c>
      <c r="AQ28" s="18">
        <v>1704</v>
      </c>
      <c r="AR28" s="18">
        <v>1705</v>
      </c>
      <c r="AS28" s="18">
        <v>1706</v>
      </c>
      <c r="AT28" s="18">
        <v>1707</v>
      </c>
      <c r="AU28" s="18">
        <v>1708</v>
      </c>
      <c r="AV28" s="18">
        <v>1709</v>
      </c>
      <c r="AW28" s="18">
        <v>1710</v>
      </c>
      <c r="AX28" s="18">
        <v>1711</v>
      </c>
      <c r="AY28" s="18">
        <v>1712</v>
      </c>
      <c r="AZ28" s="19" t="s">
        <v>184</v>
      </c>
      <c r="BA28" s="19" t="s">
        <v>185</v>
      </c>
      <c r="BB28" s="19" t="s">
        <v>186</v>
      </c>
      <c r="BC28" s="19" t="s">
        <v>187</v>
      </c>
      <c r="BD28" s="19" t="s">
        <v>188</v>
      </c>
    </row>
    <row r="29" spans="1:56" x14ac:dyDescent="0.25">
      <c r="A29" s="17" t="s">
        <v>71</v>
      </c>
      <c r="B29" s="11">
        <v>39.913000000000004</v>
      </c>
      <c r="C29" s="11">
        <v>13.195000000000004</v>
      </c>
      <c r="D29" s="11">
        <v>44.908999999999999</v>
      </c>
      <c r="E29" s="11">
        <v>35.653000000000006</v>
      </c>
      <c r="F29" s="11">
        <v>13.182</v>
      </c>
      <c r="G29" s="11">
        <v>46.116999999999976</v>
      </c>
      <c r="H29" s="11">
        <v>41.076000000000001</v>
      </c>
      <c r="I29" s="11">
        <v>33.997999999999998</v>
      </c>
      <c r="J29" s="11">
        <v>48.061999999999998</v>
      </c>
      <c r="K29" s="11">
        <v>4.3660000000000014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21"/>
      <c r="U29" s="21"/>
      <c r="V29" s="21"/>
      <c r="W29" s="21"/>
      <c r="X29" s="21"/>
      <c r="Y29" s="21"/>
      <c r="Z29" s="11">
        <f>SUM($N29:INDEX($N29:$Y29,$A$3))</f>
        <v>0</v>
      </c>
      <c r="AA29" s="11">
        <f>SUM(N29:P29)</f>
        <v>0</v>
      </c>
      <c r="AB29" s="11">
        <f>SUM(Q29:S29)</f>
        <v>0</v>
      </c>
      <c r="AC29" s="21">
        <f>SUM(T29:V29)</f>
        <v>0</v>
      </c>
      <c r="AD29" s="21">
        <f>SUM(W29:Y29)</f>
        <v>0</v>
      </c>
      <c r="AE29" s="21">
        <f>SUM($B29:INDEX($B29:$M29,$A$3))</f>
        <v>234.04499999999999</v>
      </c>
      <c r="AF29" s="21">
        <f>SUM(B29:D29)</f>
        <v>98.016999999999996</v>
      </c>
      <c r="AG29" s="21">
        <f>SUM(E29:G29)</f>
        <v>94.951999999999984</v>
      </c>
      <c r="AH29" s="21">
        <f>SUM(H29:J29)</f>
        <v>123.136</v>
      </c>
      <c r="AI29" s="21">
        <f>SUM(K29:M29)</f>
        <v>4.3660000000000014</v>
      </c>
      <c r="AN29" s="21"/>
      <c r="AO29" s="21"/>
      <c r="AP29" s="21"/>
      <c r="AQ29" s="213">
        <f>[8]APE!$O$347</f>
        <v>-0.54</v>
      </c>
      <c r="AR29" s="21">
        <f>[9]APE!$O$348</f>
        <v>4.1100000000000003</v>
      </c>
      <c r="AS29" s="21">
        <f>[10]APE!$O$414</f>
        <v>14.510000000000002</v>
      </c>
      <c r="AT29" s="21">
        <f>[11]APE!$O$422</f>
        <v>35.481999999999999</v>
      </c>
      <c r="AU29" s="21"/>
      <c r="AV29" s="21"/>
      <c r="AW29" s="21"/>
      <c r="AX29" s="21"/>
      <c r="AY29" s="21"/>
      <c r="AZ29" s="21">
        <f>SUM($AN29:INDEX($AN29:$AY29,$A$3))</f>
        <v>53.561999999999998</v>
      </c>
      <c r="BA29" s="21">
        <f>SUM(AN29:AP29)</f>
        <v>0</v>
      </c>
      <c r="BB29" s="21">
        <f t="shared" ref="BB29:BB34" si="27">SUM(AQ29:AS29)</f>
        <v>18.080000000000002</v>
      </c>
      <c r="BC29" s="21">
        <f t="shared" ref="BC29:BC34" si="28">SUM(AT29:AV29)</f>
        <v>35.481999999999999</v>
      </c>
      <c r="BD29" s="21">
        <f t="shared" ref="BD29:BD34" si="29">SUM(AW29:AY29)</f>
        <v>0</v>
      </c>
    </row>
    <row r="30" spans="1:56" x14ac:dyDescent="0.25">
      <c r="A30" s="17" t="s">
        <v>47</v>
      </c>
      <c r="B30" s="11">
        <v>101.892</v>
      </c>
      <c r="C30" s="11">
        <v>83.787000000000006</v>
      </c>
      <c r="D30" s="11">
        <v>200.8</v>
      </c>
      <c r="E30" s="11">
        <v>177.84299999999999</v>
      </c>
      <c r="F30" s="11">
        <v>195.822</v>
      </c>
      <c r="G30" s="11">
        <v>219.447</v>
      </c>
      <c r="H30" s="11">
        <v>217.387</v>
      </c>
      <c r="I30" s="11">
        <v>179.44</v>
      </c>
      <c r="J30" s="11">
        <v>236.262</v>
      </c>
      <c r="K30" s="11">
        <v>367.661</v>
      </c>
      <c r="L30" s="11">
        <v>466.71</v>
      </c>
      <c r="M30" s="11">
        <v>414.89400000000001</v>
      </c>
      <c r="N30" s="11">
        <v>144.62200000000001</v>
      </c>
      <c r="O30" s="11">
        <v>270.697</v>
      </c>
      <c r="P30" s="11">
        <v>349.08300000000003</v>
      </c>
      <c r="Q30" s="11">
        <v>339.31099999999998</v>
      </c>
      <c r="R30" s="11">
        <v>444.81099999999998</v>
      </c>
      <c r="S30" s="11">
        <v>411.91500000000099</v>
      </c>
      <c r="T30" s="21">
        <f>384751000/10^6</f>
        <v>384.75099999999998</v>
      </c>
      <c r="U30" s="21">
        <v>437.78899999999999</v>
      </c>
      <c r="V30" s="21">
        <f>482.958999999999+0.216</f>
        <v>483.17499999999899</v>
      </c>
      <c r="W30" s="21">
        <f>[12]APE!$N$141</f>
        <v>473.74900000000002</v>
      </c>
      <c r="X30" s="21">
        <f>[13]APE!$N$141</f>
        <v>366.95499999999998</v>
      </c>
      <c r="Y30" s="21">
        <f>[14]APE!$N$141</f>
        <v>737.73800000000006</v>
      </c>
      <c r="Z30" s="11">
        <f>SUM($N30:INDEX($N30:$Y30,$A$3))</f>
        <v>2345.1900000000005</v>
      </c>
      <c r="AA30" s="11">
        <f>SUM(N30:P30)</f>
        <v>764.40200000000004</v>
      </c>
      <c r="AB30" s="11">
        <f>SUM(Q30:S30)</f>
        <v>1196.0370000000009</v>
      </c>
      <c r="AC30" s="21">
        <f>SUM(T30:V30)</f>
        <v>1305.714999999999</v>
      </c>
      <c r="AD30" s="21">
        <f>SUM(W30:Y30)</f>
        <v>1578.442</v>
      </c>
      <c r="AE30" s="21">
        <f>SUM($B30:INDEX($B30:$M30,$A$3))</f>
        <v>1196.9780000000001</v>
      </c>
      <c r="AF30" s="21">
        <f>SUM(B30:D30)</f>
        <v>386.47900000000004</v>
      </c>
      <c r="AG30" s="21">
        <f>SUM(E30:G30)</f>
        <v>593.11199999999997</v>
      </c>
      <c r="AH30" s="21">
        <f>SUM(H30:J30)</f>
        <v>633.08899999999994</v>
      </c>
      <c r="AI30" s="21">
        <f>SUM(K30:M30)</f>
        <v>1249.2649999999999</v>
      </c>
      <c r="AN30" s="21">
        <f>[15]APE!$N$141</f>
        <v>286.05799999999999</v>
      </c>
      <c r="AO30" s="21">
        <f>[16]APE!$N$204</f>
        <v>492.94699999999989</v>
      </c>
      <c r="AP30" s="21">
        <f>[17]APE!$O$262</f>
        <v>513.29</v>
      </c>
      <c r="AQ30" s="21">
        <f>[8]APE!$O$348</f>
        <v>634.48</v>
      </c>
      <c r="AR30" s="21">
        <f>[9]APE!$O$347</f>
        <v>1238.1199999999999</v>
      </c>
      <c r="AS30" s="21">
        <f>[10]APE!$O$418</f>
        <v>1040.6200000000001</v>
      </c>
      <c r="AT30" s="21">
        <f>[11]APE!$O$426</f>
        <v>1156.0139999999999</v>
      </c>
      <c r="AU30" s="21"/>
      <c r="AV30" s="21"/>
      <c r="AW30" s="21"/>
      <c r="AX30" s="21"/>
      <c r="AY30" s="21"/>
      <c r="AZ30" s="21">
        <f>SUM($AN30:INDEX($AN30:$AY30,$A$3))</f>
        <v>5361.5289999999995</v>
      </c>
      <c r="BA30" s="21">
        <f t="shared" ref="BA30:BA34" si="30">SUM(AN30:AP30)</f>
        <v>1292.2949999999998</v>
      </c>
      <c r="BB30" s="21">
        <f t="shared" si="27"/>
        <v>2913.2200000000003</v>
      </c>
      <c r="BC30" s="21">
        <f t="shared" si="28"/>
        <v>1156.0139999999999</v>
      </c>
      <c r="BD30" s="21">
        <f t="shared" si="29"/>
        <v>0</v>
      </c>
    </row>
    <row r="31" spans="1:56" x14ac:dyDescent="0.25">
      <c r="A31" s="17" t="s">
        <v>116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1"/>
      <c r="U31" s="21">
        <v>140.673</v>
      </c>
      <c r="V31" s="21">
        <v>133.01100000000011</v>
      </c>
      <c r="W31" s="21">
        <f>[12]APE!$N$140</f>
        <v>185.73000000000002</v>
      </c>
      <c r="X31" s="21">
        <f>[13]APE!$N$140</f>
        <v>105.42400000000002</v>
      </c>
      <c r="Y31" s="21">
        <f>[14]APE!$N$140</f>
        <v>166.637</v>
      </c>
      <c r="Z31" s="11">
        <f>SUM($N31:INDEX($N31:$Y31,$A$3))</f>
        <v>0</v>
      </c>
      <c r="AA31" s="11">
        <f>SUM(N31:P31)</f>
        <v>0</v>
      </c>
      <c r="AB31" s="11">
        <f>SUM(Q31:S31)</f>
        <v>0</v>
      </c>
      <c r="AC31" s="21">
        <f>SUM(T31:V31)</f>
        <v>273.68400000000008</v>
      </c>
      <c r="AD31" s="21">
        <f>SUM(W31:Y31)</f>
        <v>457.79100000000005</v>
      </c>
      <c r="AE31" s="21">
        <f>SUM($B31:INDEX($B31:$M31,$A$3))</f>
        <v>0</v>
      </c>
      <c r="AF31" s="21">
        <f>SUM(B31:D31)</f>
        <v>0</v>
      </c>
      <c r="AG31" s="21">
        <f>SUM(E31:G31)</f>
        <v>0</v>
      </c>
      <c r="AH31" s="21">
        <f>SUM(H31:J31)</f>
        <v>0</v>
      </c>
      <c r="AI31" s="21">
        <f>SUM(K31:M31)</f>
        <v>0</v>
      </c>
      <c r="AN31" s="21">
        <f>[15]APE!$N$140</f>
        <v>95.824000000000012</v>
      </c>
      <c r="AO31" s="21">
        <f>[16]APE!$N$202</f>
        <v>71.184000000000012</v>
      </c>
      <c r="AP31" s="21">
        <f>[17]APE!$O$260</f>
        <v>204.04</v>
      </c>
      <c r="AQ31" s="21">
        <f>[8]APE!$O$344</f>
        <v>170.79</v>
      </c>
      <c r="AR31" s="21">
        <f>[9]APE!$O$344</f>
        <v>204.62</v>
      </c>
      <c r="AS31" s="21">
        <f>[10]APE!$O$416</f>
        <v>84.58</v>
      </c>
      <c r="AT31" s="21">
        <f>[11]APE!$O$424</f>
        <v>233.023</v>
      </c>
      <c r="AU31" s="21"/>
      <c r="AV31" s="21"/>
      <c r="AW31" s="21"/>
      <c r="AX31" s="21"/>
      <c r="AY31" s="21"/>
      <c r="AZ31" s="21">
        <f>SUM($AN31:INDEX($AN31:$AY31,$A$3))</f>
        <v>1064.0609999999999</v>
      </c>
      <c r="BA31" s="21">
        <f t="shared" si="30"/>
        <v>371.048</v>
      </c>
      <c r="BB31" s="21">
        <f t="shared" si="27"/>
        <v>459.98999999999995</v>
      </c>
      <c r="BC31" s="21">
        <f t="shared" si="28"/>
        <v>233.023</v>
      </c>
      <c r="BD31" s="21">
        <f t="shared" si="29"/>
        <v>0</v>
      </c>
    </row>
    <row r="32" spans="1:56" x14ac:dyDescent="0.25">
      <c r="A32" s="17" t="s">
        <v>48</v>
      </c>
      <c r="B32" s="11"/>
      <c r="C32" s="11"/>
      <c r="D32" s="11"/>
      <c r="E32" s="11"/>
      <c r="F32" s="11"/>
      <c r="G32" s="11"/>
      <c r="H32" s="11"/>
      <c r="I32" s="11">
        <v>14.733000000000001</v>
      </c>
      <c r="J32" s="11">
        <v>27.911000000000001</v>
      </c>
      <c r="K32" s="11">
        <v>51.698</v>
      </c>
      <c r="L32" s="11">
        <v>59.305</v>
      </c>
      <c r="M32" s="11">
        <v>104.526</v>
      </c>
      <c r="N32" s="11">
        <v>43.923999999999999</v>
      </c>
      <c r="O32" s="11">
        <v>12.255000000000001</v>
      </c>
      <c r="P32" s="11">
        <v>30.038</v>
      </c>
      <c r="Q32" s="11">
        <v>26.114999999999998</v>
      </c>
      <c r="R32" s="11">
        <v>13.488</v>
      </c>
      <c r="S32" s="11">
        <v>18.899999999999999</v>
      </c>
      <c r="T32" s="21">
        <v>2.363</v>
      </c>
      <c r="U32" s="21"/>
      <c r="V32" s="21">
        <v>13.762</v>
      </c>
      <c r="W32" s="21">
        <f>[12]APE!$N$139</f>
        <v>19.637999999999998</v>
      </c>
      <c r="X32" s="21">
        <f>[13]APE!$N$139</f>
        <v>16.184999999999999</v>
      </c>
      <c r="Y32" s="21">
        <f>[14]APE!$N$139</f>
        <v>2.5369999999999999</v>
      </c>
      <c r="Z32" s="26">
        <f>SUM($N32:INDEX($N32:$Y32,$A$3))</f>
        <v>147.083</v>
      </c>
      <c r="AA32" s="11">
        <f>SUM(N32:P32)</f>
        <v>86.216999999999999</v>
      </c>
      <c r="AB32" s="11">
        <f>SUM(Q32:S32)</f>
        <v>58.502999999999993</v>
      </c>
      <c r="AC32" s="21">
        <f>SUM(T32:V32)</f>
        <v>16.125</v>
      </c>
      <c r="AD32" s="21">
        <f>SUM(W32:Y32)</f>
        <v>38.359999999999992</v>
      </c>
      <c r="AE32" s="21">
        <f>SUM($B32:INDEX($B32:$M32,$A$3))</f>
        <v>0</v>
      </c>
      <c r="AF32" s="21">
        <f>SUM(B32:D32)</f>
        <v>0</v>
      </c>
      <c r="AG32" s="21">
        <f>SUM(E32:G32)</f>
        <v>0</v>
      </c>
      <c r="AH32" s="21">
        <f>SUM(H32:J32)</f>
        <v>42.644000000000005</v>
      </c>
      <c r="AI32" s="21">
        <f>SUM(K32:M32)</f>
        <v>215.529</v>
      </c>
      <c r="AN32" s="21">
        <f>[15]APE!$N$139</f>
        <v>-1.286</v>
      </c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>
        <f>SUM($AN32:INDEX($AN32:$AY32,$A$3))</f>
        <v>-1.286</v>
      </c>
      <c r="BA32" s="21">
        <f t="shared" si="30"/>
        <v>-1.286</v>
      </c>
      <c r="BB32" s="21">
        <f t="shared" si="27"/>
        <v>0</v>
      </c>
      <c r="BC32" s="21">
        <f t="shared" si="28"/>
        <v>0</v>
      </c>
      <c r="BD32" s="21">
        <f t="shared" si="29"/>
        <v>0</v>
      </c>
    </row>
    <row r="33" spans="1:56" x14ac:dyDescent="0.25">
      <c r="A33" s="17" t="s">
        <v>208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1"/>
      <c r="U33" s="21"/>
      <c r="V33" s="21"/>
      <c r="W33" s="21"/>
      <c r="X33" s="21"/>
      <c r="Y33" s="21"/>
      <c r="Z33" s="26"/>
      <c r="AA33" s="11"/>
      <c r="AB33" s="11"/>
      <c r="AC33" s="21"/>
      <c r="AD33" s="21"/>
      <c r="AE33" s="21"/>
      <c r="AF33" s="21"/>
      <c r="AG33" s="21"/>
      <c r="AH33" s="21"/>
      <c r="AI33" s="21"/>
      <c r="AN33" s="21"/>
      <c r="AO33" s="21"/>
      <c r="AP33" s="21">
        <f>[17]APE!$O$261</f>
        <v>22.01</v>
      </c>
      <c r="AQ33" s="21">
        <f>[8]APE!$O$346</f>
        <v>19.63</v>
      </c>
      <c r="AR33" s="21">
        <f>[9]APE!$O$346</f>
        <v>95.110000000000014</v>
      </c>
      <c r="AS33" s="21">
        <f>[10]APE!$O$417</f>
        <v>158.29</v>
      </c>
      <c r="AT33" s="21">
        <f>[11]APE!$O$425</f>
        <v>80.358000000000004</v>
      </c>
      <c r="AU33" s="21"/>
      <c r="AV33" s="21"/>
      <c r="AW33" s="21"/>
      <c r="AX33" s="21"/>
      <c r="AY33" s="21"/>
      <c r="AZ33" s="21">
        <f>SUM($AN33:INDEX($AN33:$AY33,$A$3))</f>
        <v>375.39799999999997</v>
      </c>
      <c r="BA33" s="21">
        <f t="shared" ref="BA33" si="31">SUM(AN33:AP33)</f>
        <v>22.01</v>
      </c>
      <c r="BB33" s="21">
        <f t="shared" si="27"/>
        <v>273.02999999999997</v>
      </c>
      <c r="BC33" s="21">
        <f t="shared" si="28"/>
        <v>80.358000000000004</v>
      </c>
      <c r="BD33" s="21">
        <f t="shared" si="29"/>
        <v>0</v>
      </c>
    </row>
    <row r="34" spans="1:56" x14ac:dyDescent="0.25">
      <c r="A34" s="17" t="s">
        <v>201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1"/>
      <c r="U34" s="21"/>
      <c r="V34" s="21"/>
      <c r="W34" s="21"/>
      <c r="X34" s="21"/>
      <c r="Y34" s="21"/>
      <c r="Z34" s="26"/>
      <c r="AA34" s="11"/>
      <c r="AB34" s="11"/>
      <c r="AC34" s="21"/>
      <c r="AD34" s="21"/>
      <c r="AE34" s="21">
        <f>SUM($B34:INDEX($B34:$M34,$A$3))</f>
        <v>0</v>
      </c>
      <c r="AF34" s="21">
        <f>SUM(B34:D34)</f>
        <v>0</v>
      </c>
      <c r="AG34" s="21">
        <f>SUM(E34:G34)</f>
        <v>0</v>
      </c>
      <c r="AH34" s="21">
        <f>SUM(H34:J34)</f>
        <v>0</v>
      </c>
      <c r="AI34" s="21">
        <f>SUM(K34:M34)</f>
        <v>0</v>
      </c>
      <c r="AN34" s="21">
        <f>[15]APE!$N$142</f>
        <v>0</v>
      </c>
      <c r="AO34" s="21">
        <f>[16]APE!$N$205</f>
        <v>2.7</v>
      </c>
      <c r="AP34" s="21">
        <f>[17]APE!$O$263</f>
        <v>2.36</v>
      </c>
      <c r="AQ34" s="21">
        <f>[8]APE!$O$349</f>
        <v>18.71</v>
      </c>
      <c r="AR34" s="21">
        <f>[9]APE!$O$349</f>
        <v>7.84</v>
      </c>
      <c r="AS34" s="21">
        <f>[10]APE!$O$415</f>
        <v>3.6</v>
      </c>
      <c r="AT34" s="21">
        <f>[11]APE!$O$423</f>
        <v>15.273999999999999</v>
      </c>
      <c r="AU34" s="21"/>
      <c r="AV34" s="21"/>
      <c r="AW34" s="21"/>
      <c r="AX34" s="21"/>
      <c r="AY34" s="21"/>
      <c r="AZ34" s="21">
        <f>SUM($AN34:INDEX($AN34:$AY34,$A$3))</f>
        <v>50.484000000000002</v>
      </c>
      <c r="BA34" s="21">
        <f t="shared" si="30"/>
        <v>5.0600000000000005</v>
      </c>
      <c r="BB34" s="21">
        <f t="shared" si="27"/>
        <v>30.150000000000002</v>
      </c>
      <c r="BC34" s="21">
        <f t="shared" si="28"/>
        <v>15.273999999999999</v>
      </c>
      <c r="BD34" s="21">
        <f t="shared" si="29"/>
        <v>0</v>
      </c>
    </row>
    <row r="35" spans="1:56" x14ac:dyDescent="0.25">
      <c r="B35" s="13">
        <f>SUM(B29:B34)</f>
        <v>141.80500000000001</v>
      </c>
      <c r="C35" s="13">
        <f t="shared" ref="C35:AI35" si="32">SUM(C29:C34)</f>
        <v>96.982000000000014</v>
      </c>
      <c r="D35" s="13">
        <f t="shared" si="32"/>
        <v>245.709</v>
      </c>
      <c r="E35" s="13">
        <f t="shared" si="32"/>
        <v>213.49599999999998</v>
      </c>
      <c r="F35" s="13">
        <f t="shared" si="32"/>
        <v>209.00399999999999</v>
      </c>
      <c r="G35" s="13">
        <f t="shared" si="32"/>
        <v>265.56399999999996</v>
      </c>
      <c r="H35" s="13">
        <f t="shared" si="32"/>
        <v>258.46300000000002</v>
      </c>
      <c r="I35" s="13">
        <f t="shared" si="32"/>
        <v>228.17099999999999</v>
      </c>
      <c r="J35" s="13">
        <f t="shared" si="32"/>
        <v>312.23500000000001</v>
      </c>
      <c r="K35" s="13">
        <f t="shared" si="32"/>
        <v>423.72499999999997</v>
      </c>
      <c r="L35" s="13">
        <f t="shared" si="32"/>
        <v>526.01499999999999</v>
      </c>
      <c r="M35" s="13">
        <f t="shared" si="32"/>
        <v>519.41999999999996</v>
      </c>
      <c r="N35" s="13">
        <f t="shared" si="32"/>
        <v>188.54600000000002</v>
      </c>
      <c r="O35" s="13">
        <f t="shared" si="32"/>
        <v>282.952</v>
      </c>
      <c r="P35" s="13">
        <f t="shared" si="32"/>
        <v>379.12100000000004</v>
      </c>
      <c r="Q35" s="13">
        <f t="shared" si="32"/>
        <v>365.42599999999999</v>
      </c>
      <c r="R35" s="13">
        <f t="shared" si="32"/>
        <v>458.29899999999998</v>
      </c>
      <c r="S35" s="13">
        <f t="shared" si="32"/>
        <v>430.81500000000096</v>
      </c>
      <c r="T35" s="22">
        <f t="shared" si="32"/>
        <v>387.11399999999998</v>
      </c>
      <c r="U35" s="22">
        <f>SUM(U29:U34)</f>
        <v>578.46199999999999</v>
      </c>
      <c r="V35" s="22">
        <f>SUM(V29:V34)</f>
        <v>629.94799999999918</v>
      </c>
      <c r="W35" s="22">
        <f t="shared" si="32"/>
        <v>679.11700000000008</v>
      </c>
      <c r="X35" s="22">
        <f t="shared" si="32"/>
        <v>488.56400000000002</v>
      </c>
      <c r="Y35" s="22">
        <f t="shared" si="32"/>
        <v>906.91200000000003</v>
      </c>
      <c r="Z35" s="13">
        <f t="shared" si="32"/>
        <v>2492.2730000000006</v>
      </c>
      <c r="AA35" s="13">
        <f t="shared" si="32"/>
        <v>850.61900000000003</v>
      </c>
      <c r="AB35" s="13">
        <f t="shared" si="32"/>
        <v>1254.5400000000009</v>
      </c>
      <c r="AC35" s="22">
        <f t="shared" si="32"/>
        <v>1595.523999999999</v>
      </c>
      <c r="AD35" s="22">
        <f t="shared" si="32"/>
        <v>2074.5930000000003</v>
      </c>
      <c r="AE35" s="22">
        <f t="shared" si="32"/>
        <v>1431.0230000000001</v>
      </c>
      <c r="AF35" s="22">
        <f t="shared" si="32"/>
        <v>484.49600000000004</v>
      </c>
      <c r="AG35" s="22">
        <f t="shared" si="32"/>
        <v>688.06399999999996</v>
      </c>
      <c r="AH35" s="22">
        <f t="shared" si="32"/>
        <v>798.86899999999991</v>
      </c>
      <c r="AI35" s="22">
        <f t="shared" si="32"/>
        <v>1469.1599999999999</v>
      </c>
      <c r="AN35" s="22">
        <f t="shared" ref="AN35:AT35" si="33">SUM(AN29:AN34)</f>
        <v>380.596</v>
      </c>
      <c r="AO35" s="22">
        <f t="shared" si="33"/>
        <v>566.8309999999999</v>
      </c>
      <c r="AP35" s="22">
        <f t="shared" si="33"/>
        <v>741.69999999999993</v>
      </c>
      <c r="AQ35" s="22">
        <f>SUM(AQ29:AQ34)</f>
        <v>843.07</v>
      </c>
      <c r="AR35" s="22">
        <f t="shared" si="33"/>
        <v>1549.8</v>
      </c>
      <c r="AS35" s="22">
        <f t="shared" si="33"/>
        <v>1301.5999999999999</v>
      </c>
      <c r="AT35" s="22">
        <f t="shared" si="33"/>
        <v>1520.1509999999996</v>
      </c>
      <c r="AU35" s="22">
        <f>SUM(AU29:AU34)</f>
        <v>0</v>
      </c>
      <c r="AV35" s="22">
        <f>SUM(AV29:AV34)</f>
        <v>0</v>
      </c>
      <c r="AW35" s="22">
        <f t="shared" ref="AW35:AY35" si="34">SUM(AW29:AW34)</f>
        <v>0</v>
      </c>
      <c r="AX35" s="22">
        <f t="shared" si="34"/>
        <v>0</v>
      </c>
      <c r="AY35" s="22">
        <f t="shared" si="34"/>
        <v>0</v>
      </c>
      <c r="AZ35" s="22">
        <f>SUM(AZ29:AZ34)</f>
        <v>6903.7479999999996</v>
      </c>
      <c r="BA35" s="22">
        <f>SUM(BA29:BA34)</f>
        <v>1689.1269999999997</v>
      </c>
      <c r="BB35" s="22">
        <f>SUM(BB29:BB34)</f>
        <v>3694.47</v>
      </c>
      <c r="BC35" s="22">
        <f>SUM(BC29:BC34)</f>
        <v>1520.1509999999996</v>
      </c>
      <c r="BD35" s="22">
        <f>SUM(BD29:BD34)</f>
        <v>0</v>
      </c>
    </row>
    <row r="36" spans="1:56" x14ac:dyDescent="0.25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</row>
    <row r="37" spans="1:56" s="9" customFormat="1" x14ac:dyDescent="0.25">
      <c r="A37" s="9" t="s">
        <v>54</v>
      </c>
      <c r="B37" s="18">
        <v>1501</v>
      </c>
      <c r="C37" s="18">
        <v>1502</v>
      </c>
      <c r="D37" s="18">
        <v>1503</v>
      </c>
      <c r="E37" s="18">
        <v>1504</v>
      </c>
      <c r="F37" s="18">
        <v>1505</v>
      </c>
      <c r="G37" s="18">
        <v>1506</v>
      </c>
      <c r="H37" s="18">
        <v>1507</v>
      </c>
      <c r="I37" s="18">
        <v>1508</v>
      </c>
      <c r="J37" s="18">
        <v>1509</v>
      </c>
      <c r="K37" s="18">
        <v>1510</v>
      </c>
      <c r="L37" s="18">
        <v>1511</v>
      </c>
      <c r="M37" s="18">
        <v>1512</v>
      </c>
      <c r="N37" s="18">
        <v>1601</v>
      </c>
      <c r="O37" s="18">
        <v>1602</v>
      </c>
      <c r="P37" s="18">
        <v>1603</v>
      </c>
      <c r="Q37" s="18">
        <v>1604</v>
      </c>
      <c r="R37" s="18">
        <v>1605</v>
      </c>
      <c r="S37" s="18">
        <v>1606</v>
      </c>
      <c r="T37" s="18">
        <v>1607</v>
      </c>
      <c r="U37" s="18">
        <v>1608</v>
      </c>
      <c r="V37" s="18">
        <v>1609</v>
      </c>
      <c r="W37" s="18">
        <v>1610</v>
      </c>
      <c r="X37" s="18">
        <v>1611</v>
      </c>
      <c r="Y37" s="18">
        <v>1612</v>
      </c>
      <c r="Z37" s="19" t="s">
        <v>52</v>
      </c>
      <c r="AA37" s="19" t="s">
        <v>56</v>
      </c>
      <c r="AB37" s="19" t="s">
        <v>57</v>
      </c>
      <c r="AC37" s="19" t="s">
        <v>58</v>
      </c>
      <c r="AD37" s="19" t="s">
        <v>59</v>
      </c>
      <c r="AE37" s="20" t="s">
        <v>53</v>
      </c>
      <c r="AF37" s="20" t="s">
        <v>60</v>
      </c>
      <c r="AG37" s="20" t="s">
        <v>61</v>
      </c>
      <c r="AH37" s="20" t="s">
        <v>62</v>
      </c>
      <c r="AI37" s="20" t="s">
        <v>63</v>
      </c>
      <c r="AN37" s="18">
        <v>1701</v>
      </c>
      <c r="AO37" s="18">
        <v>1702</v>
      </c>
      <c r="AP37" s="18">
        <v>1703</v>
      </c>
      <c r="AQ37" s="18">
        <v>1704</v>
      </c>
      <c r="AR37" s="18">
        <v>1705</v>
      </c>
      <c r="AS37" s="18">
        <v>1706</v>
      </c>
      <c r="AT37" s="18">
        <v>1707</v>
      </c>
      <c r="AU37" s="18">
        <v>1708</v>
      </c>
      <c r="AV37" s="18">
        <v>1709</v>
      </c>
      <c r="AW37" s="18">
        <v>1710</v>
      </c>
      <c r="AX37" s="18">
        <v>1711</v>
      </c>
      <c r="AY37" s="18">
        <v>1712</v>
      </c>
      <c r="AZ37" s="19" t="s">
        <v>184</v>
      </c>
      <c r="BA37" s="19" t="s">
        <v>185</v>
      </c>
      <c r="BB37" s="19" t="s">
        <v>186</v>
      </c>
      <c r="BC37" s="19" t="s">
        <v>187</v>
      </c>
      <c r="BD37" s="19" t="s">
        <v>188</v>
      </c>
    </row>
    <row r="38" spans="1:56" x14ac:dyDescent="0.25">
      <c r="A38" s="17" t="s">
        <v>71</v>
      </c>
      <c r="B38" s="15">
        <f t="shared" ref="B38:AI38" si="35">IFERROR(B29/B18,"")</f>
        <v>2.6232078941384161E-2</v>
      </c>
      <c r="C38" s="15">
        <f t="shared" si="35"/>
        <v>1.591922516383712E-2</v>
      </c>
      <c r="D38" s="15">
        <f t="shared" si="35"/>
        <v>2.3453746886081511E-2</v>
      </c>
      <c r="E38" s="15">
        <f t="shared" si="35"/>
        <v>1.9170526438044892E-2</v>
      </c>
      <c r="F38" s="15">
        <f t="shared" si="35"/>
        <v>1.2279608416310586E-2</v>
      </c>
      <c r="G38" s="15">
        <f t="shared" si="35"/>
        <v>2.4772962409472354E-2</v>
      </c>
      <c r="H38" s="15">
        <f t="shared" si="35"/>
        <v>2.3653837183790587E-2</v>
      </c>
      <c r="I38" s="15">
        <f t="shared" si="35"/>
        <v>2.5790467434205783E-2</v>
      </c>
      <c r="J38" s="15">
        <f t="shared" si="35"/>
        <v>2.0912242289964932E-2</v>
      </c>
      <c r="K38" s="15">
        <f t="shared" si="35"/>
        <v>-2.6561863102372081E-2</v>
      </c>
      <c r="L38" s="15">
        <f t="shared" si="35"/>
        <v>0</v>
      </c>
      <c r="M38" s="15" t="str">
        <f t="shared" si="35"/>
        <v/>
      </c>
      <c r="N38" s="15">
        <f t="shared" si="35"/>
        <v>0</v>
      </c>
      <c r="O38" s="15" t="str">
        <f t="shared" si="35"/>
        <v/>
      </c>
      <c r="P38" s="15">
        <f t="shared" si="35"/>
        <v>0</v>
      </c>
      <c r="Q38" s="15" t="str">
        <f t="shared" si="35"/>
        <v/>
      </c>
      <c r="R38" s="15" t="str">
        <f t="shared" si="35"/>
        <v/>
      </c>
      <c r="S38" s="15">
        <f t="shared" si="35"/>
        <v>0</v>
      </c>
      <c r="T38" s="15" t="str">
        <f t="shared" si="35"/>
        <v/>
      </c>
      <c r="U38" s="15">
        <f t="shared" si="35"/>
        <v>0</v>
      </c>
      <c r="V38" s="15" t="str">
        <f t="shared" si="35"/>
        <v/>
      </c>
      <c r="W38" s="15" t="str">
        <f t="shared" si="35"/>
        <v/>
      </c>
      <c r="X38" s="15" t="str">
        <f t="shared" si="35"/>
        <v/>
      </c>
      <c r="Y38" s="15" t="str">
        <f t="shared" si="35"/>
        <v/>
      </c>
      <c r="Z38" s="15">
        <f t="shared" si="35"/>
        <v>0</v>
      </c>
      <c r="AA38" s="15">
        <f t="shared" si="35"/>
        <v>0</v>
      </c>
      <c r="AB38" s="15">
        <f t="shared" si="35"/>
        <v>0</v>
      </c>
      <c r="AC38" s="15">
        <f t="shared" si="35"/>
        <v>0</v>
      </c>
      <c r="AD38" s="15" t="str">
        <f t="shared" si="35"/>
        <v/>
      </c>
      <c r="AE38" s="15">
        <f t="shared" si="35"/>
        <v>2.1677661796799329E-2</v>
      </c>
      <c r="AF38" s="15">
        <f t="shared" si="35"/>
        <v>2.2980655519699449E-2</v>
      </c>
      <c r="AG38" s="15">
        <f t="shared" si="35"/>
        <v>1.9802892892485803E-2</v>
      </c>
      <c r="AH38" s="15">
        <f t="shared" si="35"/>
        <v>2.3002930848672071E-2</v>
      </c>
      <c r="AI38" s="15">
        <f t="shared" si="35"/>
        <v>-2.5011887234542306E-2</v>
      </c>
      <c r="AN38" s="15" t="str">
        <f t="shared" ref="AN38:BD38" si="36">IFERROR(AN29/AN18,"")</f>
        <v/>
      </c>
      <c r="AO38" s="15" t="str">
        <f t="shared" si="36"/>
        <v/>
      </c>
      <c r="AP38" s="15" t="str">
        <f t="shared" si="36"/>
        <v/>
      </c>
      <c r="AQ38" s="15">
        <f t="shared" ref="AQ38:AQ44" si="37">IFERROR(AQ29/AQ18,"")</f>
        <v>3.1358885017421609E-2</v>
      </c>
      <c r="AR38" s="15">
        <f t="shared" si="36"/>
        <v>5.4150197628458498E-2</v>
      </c>
      <c r="AS38" s="15">
        <f t="shared" si="36"/>
        <v>0.12381602525812785</v>
      </c>
      <c r="AT38" s="15">
        <f t="shared" si="36"/>
        <v>0.21835076923076924</v>
      </c>
      <c r="AU38" s="15" t="str">
        <f t="shared" si="36"/>
        <v/>
      </c>
      <c r="AV38" s="15" t="str">
        <f t="shared" si="36"/>
        <v/>
      </c>
      <c r="AW38" s="15" t="str">
        <f t="shared" si="36"/>
        <v/>
      </c>
      <c r="AX38" s="15" t="str">
        <f t="shared" si="36"/>
        <v/>
      </c>
      <c r="AY38" s="15" t="str">
        <f t="shared" si="36"/>
        <v/>
      </c>
      <c r="AZ38" s="15">
        <f t="shared" si="36"/>
        <v>0.15829417501551554</v>
      </c>
      <c r="BA38" s="15" t="str">
        <f t="shared" si="36"/>
        <v/>
      </c>
      <c r="BB38" s="15">
        <f t="shared" si="36"/>
        <v>0.10280320691419799</v>
      </c>
      <c r="BC38" s="15">
        <f t="shared" si="36"/>
        <v>0.21835076923076924</v>
      </c>
      <c r="BD38" s="15" t="str">
        <f t="shared" si="36"/>
        <v/>
      </c>
    </row>
    <row r="39" spans="1:56" x14ac:dyDescent="0.25">
      <c r="A39" s="17" t="s">
        <v>47</v>
      </c>
      <c r="B39" s="15">
        <f t="shared" ref="B39:AI39" si="38">IFERROR(B30/B19,"")</f>
        <v>2.778522380859795E-2</v>
      </c>
      <c r="C39" s="15">
        <f t="shared" si="38"/>
        <v>3.6517232226794122E-2</v>
      </c>
      <c r="D39" s="15">
        <f t="shared" si="38"/>
        <v>2.7286809232997419E-2</v>
      </c>
      <c r="E39" s="15">
        <f t="shared" si="38"/>
        <v>2.7292855037084292E-2</v>
      </c>
      <c r="F39" s="15">
        <f t="shared" si="38"/>
        <v>2.9811142207834911E-2</v>
      </c>
      <c r="G39" s="15">
        <f t="shared" si="38"/>
        <v>2.5572072980163136E-2</v>
      </c>
      <c r="H39" s="15">
        <f t="shared" si="38"/>
        <v>2.6291692936750908E-2</v>
      </c>
      <c r="I39" s="15">
        <f t="shared" si="38"/>
        <v>2.7821470627680846E-2</v>
      </c>
      <c r="J39" s="15">
        <f t="shared" si="38"/>
        <v>2.7178147417597422E-2</v>
      </c>
      <c r="K39" s="15">
        <f t="shared" si="38"/>
        <v>2.9125603685631295E-2</v>
      </c>
      <c r="L39" s="15">
        <f t="shared" si="38"/>
        <v>2.8000136547986505E-2</v>
      </c>
      <c r="M39" s="15">
        <f t="shared" si="38"/>
        <v>2.452624035318297E-2</v>
      </c>
      <c r="N39" s="15">
        <f t="shared" si="38"/>
        <v>2.5443992586122115E-2</v>
      </c>
      <c r="O39" s="15">
        <f t="shared" si="38"/>
        <v>3.0189817654603216E-2</v>
      </c>
      <c r="P39" s="15">
        <f t="shared" si="38"/>
        <v>2.4619411972923395E-2</v>
      </c>
      <c r="Q39" s="15">
        <f t="shared" si="38"/>
        <v>2.8823845968593814E-2</v>
      </c>
      <c r="R39" s="15">
        <f t="shared" si="38"/>
        <v>2.9295790862731801E-2</v>
      </c>
      <c r="S39" s="15">
        <f t="shared" si="38"/>
        <v>2.5730543741737024E-2</v>
      </c>
      <c r="T39" s="15">
        <f t="shared" si="38"/>
        <v>2.9696055200944715E-2</v>
      </c>
      <c r="U39" s="15">
        <f t="shared" si="38"/>
        <v>2.6623562736949123E-2</v>
      </c>
      <c r="V39" s="15">
        <f t="shared" si="38"/>
        <v>2.7478705176455148E-2</v>
      </c>
      <c r="W39" s="15">
        <f t="shared" si="38"/>
        <v>2.8557013330954333E-2</v>
      </c>
      <c r="X39" s="15">
        <f t="shared" si="38"/>
        <v>2.8654316521286086E-2</v>
      </c>
      <c r="Y39" s="15">
        <f t="shared" si="38"/>
        <v>3.0002035820187057E-2</v>
      </c>
      <c r="Z39" s="15">
        <f t="shared" si="38"/>
        <v>2.7671846652666914E-2</v>
      </c>
      <c r="AA39" s="15">
        <f t="shared" si="38"/>
        <v>2.6514474076168623E-2</v>
      </c>
      <c r="AB39" s="15">
        <f t="shared" si="38"/>
        <v>2.7838039942348205E-2</v>
      </c>
      <c r="AC39" s="15">
        <f t="shared" si="38"/>
        <v>2.7790877507149668E-2</v>
      </c>
      <c r="AD39" s="15">
        <f t="shared" si="38"/>
        <v>2.9238282251427123E-2</v>
      </c>
      <c r="AE39" s="15">
        <f t="shared" si="38"/>
        <v>2.7672537105288903E-2</v>
      </c>
      <c r="AF39" s="15">
        <f t="shared" si="38"/>
        <v>2.9013966273053752E-2</v>
      </c>
      <c r="AG39" s="15">
        <f t="shared" si="38"/>
        <v>2.737478366812186E-2</v>
      </c>
      <c r="AH39" s="15">
        <f t="shared" si="38"/>
        <v>2.7042305091794425E-2</v>
      </c>
      <c r="AI39" s="15">
        <f t="shared" si="38"/>
        <v>2.7035829223128686E-2</v>
      </c>
      <c r="AN39" s="15">
        <f t="shared" ref="AN39:BD39" si="39">IFERROR(AN30/AN19,"")</f>
        <v>3.0072808749118628E-2</v>
      </c>
      <c r="AO39" s="15">
        <f t="shared" si="39"/>
        <v>2.6539508116740301E-2</v>
      </c>
      <c r="AP39" s="15">
        <f t="shared" si="39"/>
        <v>2.2567117929887123E-2</v>
      </c>
      <c r="AQ39" s="15">
        <f t="shared" si="37"/>
        <v>3.5717723698795237E-2</v>
      </c>
      <c r="AR39" s="15">
        <f t="shared" si="39"/>
        <v>8.2635868767203011E-2</v>
      </c>
      <c r="AS39" s="15">
        <f t="shared" si="39"/>
        <v>7.6842474478022491E-2</v>
      </c>
      <c r="AT39" s="15">
        <f t="shared" si="39"/>
        <v>7.5195541816996295E-2</v>
      </c>
      <c r="AU39" s="15" t="str">
        <f t="shared" si="39"/>
        <v/>
      </c>
      <c r="AV39" s="15" t="str">
        <f t="shared" si="39"/>
        <v/>
      </c>
      <c r="AW39" s="15" t="str">
        <f t="shared" si="39"/>
        <v/>
      </c>
      <c r="AX39" s="15" t="str">
        <f t="shared" si="39"/>
        <v/>
      </c>
      <c r="AY39" s="15" t="str">
        <f t="shared" si="39"/>
        <v/>
      </c>
      <c r="AZ39" s="15">
        <f t="shared" si="39"/>
        <v>4.7660763445829576E-2</v>
      </c>
      <c r="BA39" s="15">
        <f t="shared" si="39"/>
        <v>2.5423212149411154E-2</v>
      </c>
      <c r="BB39" s="15">
        <f t="shared" si="39"/>
        <v>6.2935715362802513E-2</v>
      </c>
      <c r="BC39" s="15">
        <f t="shared" si="39"/>
        <v>7.5195541816996295E-2</v>
      </c>
      <c r="BD39" s="15" t="str">
        <f t="shared" si="39"/>
        <v/>
      </c>
    </row>
    <row r="40" spans="1:56" x14ac:dyDescent="0.25">
      <c r="A40" s="17" t="s">
        <v>116</v>
      </c>
      <c r="B40" s="15" t="str">
        <f t="shared" ref="B40:AI40" si="40">IFERROR(B31/B20,"")</f>
        <v/>
      </c>
      <c r="C40" s="15" t="str">
        <f t="shared" si="40"/>
        <v/>
      </c>
      <c r="D40" s="15" t="str">
        <f t="shared" si="40"/>
        <v/>
      </c>
      <c r="E40" s="15" t="str">
        <f t="shared" si="40"/>
        <v/>
      </c>
      <c r="F40" s="15" t="str">
        <f t="shared" si="40"/>
        <v/>
      </c>
      <c r="G40" s="15" t="str">
        <f t="shared" si="40"/>
        <v/>
      </c>
      <c r="H40" s="15" t="str">
        <f t="shared" si="40"/>
        <v/>
      </c>
      <c r="I40" s="15" t="str">
        <f t="shared" si="40"/>
        <v/>
      </c>
      <c r="J40" s="15" t="str">
        <f t="shared" si="40"/>
        <v/>
      </c>
      <c r="K40" s="15" t="str">
        <f t="shared" si="40"/>
        <v/>
      </c>
      <c r="L40" s="15" t="str">
        <f t="shared" si="40"/>
        <v/>
      </c>
      <c r="M40" s="15" t="str">
        <f t="shared" si="40"/>
        <v/>
      </c>
      <c r="N40" s="15" t="str">
        <f t="shared" si="40"/>
        <v/>
      </c>
      <c r="O40" s="15" t="str">
        <f t="shared" si="40"/>
        <v/>
      </c>
      <c r="P40" s="15" t="str">
        <f t="shared" si="40"/>
        <v/>
      </c>
      <c r="Q40" s="15" t="str">
        <f t="shared" si="40"/>
        <v/>
      </c>
      <c r="R40" s="15" t="str">
        <f t="shared" si="40"/>
        <v/>
      </c>
      <c r="S40" s="15" t="str">
        <f t="shared" si="40"/>
        <v/>
      </c>
      <c r="T40" s="15" t="str">
        <f t="shared" si="40"/>
        <v/>
      </c>
      <c r="U40" s="15">
        <f t="shared" si="40"/>
        <v>4.6759294653392944E-2</v>
      </c>
      <c r="V40" s="15">
        <f t="shared" si="40"/>
        <v>4.3945489632860879E-2</v>
      </c>
      <c r="W40" s="15">
        <f t="shared" si="40"/>
        <v>3.9834835459588012E-2</v>
      </c>
      <c r="X40" s="15">
        <f t="shared" si="40"/>
        <v>3.2117952681588888E-2</v>
      </c>
      <c r="Y40" s="15">
        <f t="shared" si="40"/>
        <v>3.1092136555599469E-2</v>
      </c>
      <c r="Z40" s="15" t="str">
        <f t="shared" si="40"/>
        <v/>
      </c>
      <c r="AA40" s="15" t="str">
        <f t="shared" si="40"/>
        <v/>
      </c>
      <c r="AB40" s="15" t="str">
        <f t="shared" si="40"/>
        <v/>
      </c>
      <c r="AC40" s="15">
        <f t="shared" si="40"/>
        <v>4.5348131463252873E-2</v>
      </c>
      <c r="AD40" s="15">
        <f t="shared" si="40"/>
        <v>3.4409093379231079E-2</v>
      </c>
      <c r="AE40" s="15" t="str">
        <f t="shared" si="40"/>
        <v/>
      </c>
      <c r="AF40" s="15" t="str">
        <f t="shared" si="40"/>
        <v/>
      </c>
      <c r="AG40" s="15" t="str">
        <f t="shared" si="40"/>
        <v/>
      </c>
      <c r="AH40" s="15" t="str">
        <f t="shared" si="40"/>
        <v/>
      </c>
      <c r="AI40" s="15" t="str">
        <f t="shared" si="40"/>
        <v/>
      </c>
      <c r="AN40" s="15">
        <f t="shared" ref="AN40:BD40" si="41">IFERROR(AN31/AN20,"")</f>
        <v>4.1420335749202605E-2</v>
      </c>
      <c r="AO40" s="15">
        <f t="shared" si="41"/>
        <v>2.3914035251567024E-2</v>
      </c>
      <c r="AP40" s="15">
        <f t="shared" si="41"/>
        <v>3.2224440289078685E-2</v>
      </c>
      <c r="AQ40" s="15">
        <f t="shared" si="37"/>
        <v>4.0868531063577254E-2</v>
      </c>
      <c r="AR40" s="15">
        <f t="shared" si="41"/>
        <v>5.5743680412343045E-2</v>
      </c>
      <c r="AS40" s="15">
        <f t="shared" si="41"/>
        <v>5.9796248771624712E-2</v>
      </c>
      <c r="AT40" s="15">
        <f t="shared" si="41"/>
        <v>9.9436129047675126E-2</v>
      </c>
      <c r="AU40" s="15" t="str">
        <f t="shared" si="41"/>
        <v/>
      </c>
      <c r="AV40" s="15" t="str">
        <f t="shared" si="41"/>
        <v/>
      </c>
      <c r="AW40" s="15" t="str">
        <f t="shared" si="41"/>
        <v/>
      </c>
      <c r="AX40" s="15" t="str">
        <f t="shared" si="41"/>
        <v/>
      </c>
      <c r="AY40" s="15" t="str">
        <f t="shared" si="41"/>
        <v/>
      </c>
      <c r="AZ40" s="15">
        <f t="shared" si="41"/>
        <v>4.5806238064532205E-2</v>
      </c>
      <c r="BA40" s="15">
        <f t="shared" si="41"/>
        <v>3.1926470202302451E-2</v>
      </c>
      <c r="BB40" s="15">
        <f t="shared" si="41"/>
        <v>4.9652371869808642E-2</v>
      </c>
      <c r="BC40" s="15">
        <f t="shared" si="41"/>
        <v>9.9436129047675126E-2</v>
      </c>
      <c r="BD40" s="15" t="str">
        <f t="shared" si="41"/>
        <v/>
      </c>
    </row>
    <row r="41" spans="1:56" x14ac:dyDescent="0.25">
      <c r="A41" s="17" t="s">
        <v>48</v>
      </c>
      <c r="B41" s="15" t="str">
        <f t="shared" ref="B41:AI41" si="42">IFERROR(B32/B21,"")</f>
        <v/>
      </c>
      <c r="C41" s="15" t="str">
        <f t="shared" si="42"/>
        <v/>
      </c>
      <c r="D41" s="15" t="str">
        <f t="shared" si="42"/>
        <v/>
      </c>
      <c r="E41" s="15" t="str">
        <f t="shared" si="42"/>
        <v/>
      </c>
      <c r="F41" s="15" t="str">
        <f t="shared" si="42"/>
        <v/>
      </c>
      <c r="G41" s="15" t="str">
        <f t="shared" si="42"/>
        <v/>
      </c>
      <c r="H41" s="15">
        <f t="shared" si="42"/>
        <v>0</v>
      </c>
      <c r="I41" s="15">
        <f t="shared" si="42"/>
        <v>2.7430441776639159E-2</v>
      </c>
      <c r="J41" s="15">
        <f t="shared" si="42"/>
        <v>2.5646868777457296E-2</v>
      </c>
      <c r="K41" s="15">
        <f t="shared" si="42"/>
        <v>2.2184755093572223E-2</v>
      </c>
      <c r="L41" s="15">
        <f t="shared" si="42"/>
        <v>2.38417331840503E-2</v>
      </c>
      <c r="M41" s="15">
        <f t="shared" si="42"/>
        <v>2.7353275060489346E-2</v>
      </c>
      <c r="N41" s="15">
        <f t="shared" si="42"/>
        <v>2.2600777062506142E-2</v>
      </c>
      <c r="O41" s="15">
        <f t="shared" si="42"/>
        <v>1.1442726608937932E-2</v>
      </c>
      <c r="P41" s="15">
        <f t="shared" si="42"/>
        <v>2.3818038369894025E-2</v>
      </c>
      <c r="Q41" s="15">
        <f t="shared" si="42"/>
        <v>2.9460970841366518E-2</v>
      </c>
      <c r="R41" s="15">
        <f t="shared" si="42"/>
        <v>1.3776240275279676E-2</v>
      </c>
      <c r="S41" s="15">
        <f t="shared" si="42"/>
        <v>4.6177639760658112E-2</v>
      </c>
      <c r="T41" s="15">
        <f t="shared" si="42"/>
        <v>-2.3826569195865895E-2</v>
      </c>
      <c r="U41" s="15">
        <f t="shared" si="42"/>
        <v>0</v>
      </c>
      <c r="V41" s="15">
        <f t="shared" si="42"/>
        <v>2.2052366759606451E-2</v>
      </c>
      <c r="W41" s="15">
        <f t="shared" si="42"/>
        <v>4.0292747182400696E-2</v>
      </c>
      <c r="X41" s="15">
        <f t="shared" si="42"/>
        <v>4.4398054550491985E-2</v>
      </c>
      <c r="Y41" s="15">
        <f t="shared" si="42"/>
        <v>1.881140399658918E-2</v>
      </c>
      <c r="Z41" s="15">
        <f t="shared" si="42"/>
        <v>2.2799246406339763E-2</v>
      </c>
      <c r="AA41" s="15">
        <f t="shared" si="42"/>
        <v>2.0164870273299402E-2</v>
      </c>
      <c r="AB41" s="15">
        <f t="shared" si="42"/>
        <v>2.5717944445934202E-2</v>
      </c>
      <c r="AC41" s="15">
        <f t="shared" si="42"/>
        <v>1.2896822223004251E-2</v>
      </c>
      <c r="AD41" s="15">
        <f t="shared" si="42"/>
        <v>3.8873479794606952E-2</v>
      </c>
      <c r="AE41" s="15">
        <f t="shared" si="42"/>
        <v>0</v>
      </c>
      <c r="AF41" s="15" t="str">
        <f t="shared" si="42"/>
        <v/>
      </c>
      <c r="AG41" s="15" t="str">
        <f t="shared" si="42"/>
        <v/>
      </c>
      <c r="AH41" s="15">
        <f t="shared" si="42"/>
        <v>2.5892915150974208E-2</v>
      </c>
      <c r="AI41" s="15">
        <f t="shared" si="42"/>
        <v>2.4948032889468581E-2</v>
      </c>
      <c r="AN41" s="15">
        <f t="shared" ref="AN41:BD41" si="43">IFERROR(AN32/AN21,"")</f>
        <v>1.825382180522633E-2</v>
      </c>
      <c r="AO41" s="15" t="str">
        <f t="shared" si="43"/>
        <v/>
      </c>
      <c r="AP41" s="15" t="str">
        <f t="shared" si="43"/>
        <v/>
      </c>
      <c r="AQ41" s="15" t="str">
        <f t="shared" si="37"/>
        <v/>
      </c>
      <c r="AR41" s="15" t="str">
        <f t="shared" si="43"/>
        <v/>
      </c>
      <c r="AS41" s="15" t="str">
        <f t="shared" si="43"/>
        <v/>
      </c>
      <c r="AT41" s="15" t="str">
        <f t="shared" si="43"/>
        <v/>
      </c>
      <c r="AU41" s="15" t="str">
        <f t="shared" si="43"/>
        <v/>
      </c>
      <c r="AV41" s="15" t="str">
        <f t="shared" si="43"/>
        <v/>
      </c>
      <c r="AW41" s="15" t="str">
        <f t="shared" si="43"/>
        <v/>
      </c>
      <c r="AX41" s="15" t="str">
        <f t="shared" si="43"/>
        <v/>
      </c>
      <c r="AY41" s="15" t="str">
        <f t="shared" si="43"/>
        <v/>
      </c>
      <c r="AZ41" s="15">
        <f t="shared" si="43"/>
        <v>1.825382180522633E-2</v>
      </c>
      <c r="BA41" s="15">
        <f t="shared" si="43"/>
        <v>1.825382180522633E-2</v>
      </c>
      <c r="BB41" s="15" t="str">
        <f t="shared" si="43"/>
        <v/>
      </c>
      <c r="BC41" s="15" t="str">
        <f t="shared" si="43"/>
        <v/>
      </c>
      <c r="BD41" s="15" t="str">
        <f t="shared" si="43"/>
        <v/>
      </c>
    </row>
    <row r="42" spans="1:56" x14ac:dyDescent="0.25">
      <c r="A42" s="17" t="s">
        <v>208</v>
      </c>
      <c r="B42" s="15" t="str">
        <f t="shared" ref="B42:AI43" si="44">IFERROR(B33/B22,"")</f>
        <v/>
      </c>
      <c r="C42" s="15" t="str">
        <f t="shared" si="44"/>
        <v/>
      </c>
      <c r="D42" s="15" t="str">
        <f t="shared" si="44"/>
        <v/>
      </c>
      <c r="E42" s="15" t="str">
        <f t="shared" si="44"/>
        <v/>
      </c>
      <c r="F42" s="15" t="str">
        <f t="shared" si="44"/>
        <v/>
      </c>
      <c r="G42" s="15" t="str">
        <f t="shared" si="44"/>
        <v/>
      </c>
      <c r="H42" s="15" t="str">
        <f t="shared" si="44"/>
        <v/>
      </c>
      <c r="I42" s="15" t="str">
        <f t="shared" si="44"/>
        <v/>
      </c>
      <c r="J42" s="15" t="str">
        <f t="shared" si="44"/>
        <v/>
      </c>
      <c r="K42" s="15" t="str">
        <f t="shared" si="44"/>
        <v/>
      </c>
      <c r="L42" s="15" t="str">
        <f t="shared" si="44"/>
        <v/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N42" s="15"/>
      <c r="AO42" s="15"/>
      <c r="AP42" s="15">
        <f t="shared" ref="AN42:BD43" si="45">IFERROR(AP33/AP22,"")</f>
        <v>3.0263031253007746E-2</v>
      </c>
      <c r="AQ42" s="15">
        <f t="shared" si="37"/>
        <v>2.3231594021089506E-2</v>
      </c>
      <c r="AR42" s="15">
        <f t="shared" si="45"/>
        <v>0.10547152235628107</v>
      </c>
      <c r="AS42" s="15">
        <f t="shared" si="45"/>
        <v>0.11558908150895998</v>
      </c>
      <c r="AT42" s="15">
        <f t="shared" si="45"/>
        <v>0.13183600479057636</v>
      </c>
      <c r="AU42" s="15" t="str">
        <f t="shared" si="45"/>
        <v/>
      </c>
      <c r="AV42" s="15" t="str">
        <f t="shared" si="45"/>
        <v/>
      </c>
      <c r="AW42" s="15" t="str">
        <f t="shared" si="45"/>
        <v/>
      </c>
      <c r="AX42" s="15" t="str">
        <f t="shared" si="45"/>
        <v/>
      </c>
      <c r="AY42" s="15" t="str">
        <f t="shared" si="45"/>
        <v/>
      </c>
      <c r="AZ42" s="15">
        <f t="shared" si="45"/>
        <v>8.430283608468056E-2</v>
      </c>
      <c r="BA42" s="15">
        <f t="shared" si="45"/>
        <v>3.0263031253007746E-2</v>
      </c>
      <c r="BB42" s="15">
        <f t="shared" si="45"/>
        <v>8.7617733421048394E-2</v>
      </c>
      <c r="BC42" s="15">
        <f t="shared" si="45"/>
        <v>0.13183600479057636</v>
      </c>
      <c r="BD42" s="15" t="str">
        <f t="shared" si="45"/>
        <v/>
      </c>
    </row>
    <row r="43" spans="1:56" x14ac:dyDescent="0.25">
      <c r="A43" s="17" t="s">
        <v>201</v>
      </c>
      <c r="B43" s="15" t="str">
        <f t="shared" si="44"/>
        <v/>
      </c>
      <c r="C43" s="15" t="str">
        <f t="shared" si="44"/>
        <v/>
      </c>
      <c r="D43" s="15" t="str">
        <f t="shared" si="44"/>
        <v/>
      </c>
      <c r="E43" s="15" t="str">
        <f t="shared" si="44"/>
        <v/>
      </c>
      <c r="F43" s="15" t="str">
        <f t="shared" si="44"/>
        <v/>
      </c>
      <c r="G43" s="15" t="str">
        <f t="shared" si="44"/>
        <v/>
      </c>
      <c r="H43" s="15" t="str">
        <f t="shared" si="44"/>
        <v/>
      </c>
      <c r="I43" s="15" t="str">
        <f t="shared" si="44"/>
        <v/>
      </c>
      <c r="J43" s="15" t="str">
        <f t="shared" si="44"/>
        <v/>
      </c>
      <c r="K43" s="15" t="str">
        <f t="shared" si="44"/>
        <v/>
      </c>
      <c r="L43" s="15" t="str">
        <f t="shared" si="44"/>
        <v/>
      </c>
      <c r="M43" s="15" t="str">
        <f t="shared" si="44"/>
        <v/>
      </c>
      <c r="N43" s="15" t="str">
        <f t="shared" si="44"/>
        <v/>
      </c>
      <c r="O43" s="15" t="str">
        <f t="shared" si="44"/>
        <v/>
      </c>
      <c r="P43" s="15" t="str">
        <f t="shared" si="44"/>
        <v/>
      </c>
      <c r="Q43" s="15" t="str">
        <f t="shared" si="44"/>
        <v/>
      </c>
      <c r="R43" s="15" t="str">
        <f t="shared" si="44"/>
        <v/>
      </c>
      <c r="S43" s="15" t="str">
        <f t="shared" si="44"/>
        <v/>
      </c>
      <c r="T43" s="15" t="str">
        <f t="shared" si="44"/>
        <v/>
      </c>
      <c r="U43" s="15" t="str">
        <f t="shared" si="44"/>
        <v/>
      </c>
      <c r="V43" s="15" t="str">
        <f t="shared" si="44"/>
        <v/>
      </c>
      <c r="W43" s="15" t="str">
        <f t="shared" si="44"/>
        <v/>
      </c>
      <c r="X43" s="15" t="str">
        <f t="shared" si="44"/>
        <v/>
      </c>
      <c r="Y43" s="15" t="str">
        <f t="shared" si="44"/>
        <v/>
      </c>
      <c r="Z43" s="15" t="str">
        <f t="shared" si="44"/>
        <v/>
      </c>
      <c r="AA43" s="15" t="str">
        <f t="shared" si="44"/>
        <v/>
      </c>
      <c r="AB43" s="15" t="str">
        <f t="shared" si="44"/>
        <v/>
      </c>
      <c r="AC43" s="15" t="str">
        <f t="shared" si="44"/>
        <v/>
      </c>
      <c r="AD43" s="15" t="str">
        <f t="shared" si="44"/>
        <v/>
      </c>
      <c r="AE43" s="15" t="str">
        <f t="shared" si="44"/>
        <v/>
      </c>
      <c r="AF43" s="15" t="str">
        <f t="shared" si="44"/>
        <v/>
      </c>
      <c r="AG43" s="15" t="str">
        <f t="shared" si="44"/>
        <v/>
      </c>
      <c r="AH43" s="15" t="str">
        <f t="shared" si="44"/>
        <v/>
      </c>
      <c r="AI43" s="15" t="str">
        <f t="shared" si="44"/>
        <v/>
      </c>
      <c r="AN43" s="15">
        <f t="shared" si="45"/>
        <v>0</v>
      </c>
      <c r="AO43" s="15">
        <f t="shared" si="45"/>
        <v>1.2737952020380725E-2</v>
      </c>
      <c r="AP43" s="15">
        <f t="shared" si="45"/>
        <v>7.1680233264487907E-3</v>
      </c>
      <c r="AQ43" s="15">
        <f t="shared" si="37"/>
        <v>5.8541927409261577E-2</v>
      </c>
      <c r="AR43" s="15">
        <f t="shared" si="45"/>
        <v>2.2999970663302723E-2</v>
      </c>
      <c r="AS43" s="15">
        <f t="shared" si="45"/>
        <v>3.9499670836076368E-2</v>
      </c>
      <c r="AT43" s="15">
        <f t="shared" si="45"/>
        <v>8.9866618028629761E-2</v>
      </c>
      <c r="AU43" s="15" t="str">
        <f t="shared" si="45"/>
        <v/>
      </c>
      <c r="AV43" s="15" t="str">
        <f t="shared" si="45"/>
        <v/>
      </c>
      <c r="AW43" s="15" t="str">
        <f t="shared" si="45"/>
        <v/>
      </c>
      <c r="AX43" s="15" t="str">
        <f t="shared" si="45"/>
        <v/>
      </c>
      <c r="AY43" s="15" t="str">
        <f t="shared" si="45"/>
        <v/>
      </c>
      <c r="AZ43" s="15">
        <f t="shared" si="45"/>
        <v>3.3729665589647788E-2</v>
      </c>
      <c r="BA43" s="15">
        <f t="shared" si="45"/>
        <v>8.7976896501962103E-3</v>
      </c>
      <c r="BB43" s="15">
        <f t="shared" si="45"/>
        <v>4.0113888851931193E-2</v>
      </c>
      <c r="BC43" s="15">
        <f t="shared" si="45"/>
        <v>8.9866618028629761E-2</v>
      </c>
      <c r="BD43" s="15" t="str">
        <f t="shared" si="45"/>
        <v/>
      </c>
    </row>
    <row r="44" spans="1:56" x14ac:dyDescent="0.25">
      <c r="B44" s="16">
        <f t="shared" ref="B44:AI44" si="46">IFERROR(B35/B24,"")</f>
        <v>2.7329776476136533E-2</v>
      </c>
      <c r="C44" s="16">
        <f t="shared" si="46"/>
        <v>3.1050903156669998E-2</v>
      </c>
      <c r="D44" s="16">
        <f t="shared" si="46"/>
        <v>2.6495372860997558E-2</v>
      </c>
      <c r="E44" s="16">
        <f t="shared" si="46"/>
        <v>2.5489372284689265E-2</v>
      </c>
      <c r="F44" s="16">
        <f t="shared" si="46"/>
        <v>2.7348529665193667E-2</v>
      </c>
      <c r="G44" s="16">
        <f t="shared" si="46"/>
        <v>2.5429623552249231E-2</v>
      </c>
      <c r="H44" s="16">
        <f t="shared" si="46"/>
        <v>2.57783071370952E-2</v>
      </c>
      <c r="I44" s="16">
        <f t="shared" si="46"/>
        <v>2.7473805658685731E-2</v>
      </c>
      <c r="J44" s="16">
        <f t="shared" si="46"/>
        <v>2.5848040657506382E-2</v>
      </c>
      <c r="K44" s="16">
        <f t="shared" si="46"/>
        <v>2.8650858798885133E-2</v>
      </c>
      <c r="L44" s="16">
        <f t="shared" si="46"/>
        <v>2.7474757372426745E-2</v>
      </c>
      <c r="M44" s="16">
        <f t="shared" si="46"/>
        <v>2.504717864812649E-2</v>
      </c>
      <c r="N44" s="16">
        <f t="shared" si="46"/>
        <v>2.4791255305644994E-2</v>
      </c>
      <c r="O44" s="16">
        <f t="shared" si="46"/>
        <v>2.8189528732592974E-2</v>
      </c>
      <c r="P44" s="16">
        <f t="shared" si="46"/>
        <v>2.458171895736232E-2</v>
      </c>
      <c r="Q44" s="16">
        <f t="shared" si="46"/>
        <v>2.8868462082464075E-2</v>
      </c>
      <c r="R44" s="16">
        <f t="shared" si="46"/>
        <v>2.8355663080035596E-2</v>
      </c>
      <c r="S44" s="16">
        <f t="shared" si="46"/>
        <v>2.6277741173749536E-2</v>
      </c>
      <c r="T44" s="16">
        <f t="shared" si="46"/>
        <v>3.0108908484595114E-2</v>
      </c>
      <c r="U44" s="16">
        <f t="shared" si="46"/>
        <v>2.8684389941129415E-2</v>
      </c>
      <c r="V44" s="16">
        <f t="shared" si="46"/>
        <v>2.9666386194139752E-2</v>
      </c>
      <c r="W44" s="16">
        <f t="shared" si="46"/>
        <v>3.1238894048474963E-2</v>
      </c>
      <c r="X44" s="16">
        <f t="shared" si="46"/>
        <v>2.9694132156647544E-2</v>
      </c>
      <c r="Y44" s="16">
        <f t="shared" si="46"/>
        <v>3.0146070387566833E-2</v>
      </c>
      <c r="Z44" s="15">
        <f t="shared" si="46"/>
        <v>2.734604188829631E-2</v>
      </c>
      <c r="AA44" s="15">
        <f t="shared" si="46"/>
        <v>2.5725106850107843E-2</v>
      </c>
      <c r="AB44" s="15">
        <f t="shared" si="46"/>
        <v>2.7745790841182012E-2</v>
      </c>
      <c r="AC44" s="15">
        <f t="shared" si="46"/>
        <v>2.9406262125523417E-2</v>
      </c>
      <c r="AD44" s="15">
        <f t="shared" si="46"/>
        <v>3.0385121065182385E-2</v>
      </c>
      <c r="AE44" s="15">
        <f t="shared" si="46"/>
        <v>2.6464533647208872E-2</v>
      </c>
      <c r="AF44" s="15">
        <f t="shared" si="46"/>
        <v>2.75506559526996E-2</v>
      </c>
      <c r="AG44" s="15">
        <f t="shared" si="46"/>
        <v>2.6002733509848254E-2</v>
      </c>
      <c r="AH44" s="15">
        <f t="shared" si="46"/>
        <v>2.6269034485586529E-2</v>
      </c>
      <c r="AI44" s="15">
        <f t="shared" si="46"/>
        <v>2.6872100555021292E-2</v>
      </c>
      <c r="AN44" s="16">
        <f t="shared" ref="AN44:BD44" si="47">IFERROR(AN35/AN24,"")</f>
        <v>3.2283640292679806E-2</v>
      </c>
      <c r="AO44" s="16">
        <f t="shared" si="47"/>
        <v>2.6045976169602778E-2</v>
      </c>
      <c r="AP44" s="16">
        <f t="shared" si="47"/>
        <v>2.4613875429299228E-2</v>
      </c>
      <c r="AQ44" s="16">
        <f t="shared" si="37"/>
        <v>3.6512200688693715E-2</v>
      </c>
      <c r="AR44" s="16">
        <f t="shared" si="47"/>
        <v>7.7598249558133617E-2</v>
      </c>
      <c r="AS44" s="16">
        <f t="shared" si="47"/>
        <v>7.8720394424496201E-2</v>
      </c>
      <c r="AT44" s="16">
        <f t="shared" si="47"/>
        <v>8.1470667443776734E-2</v>
      </c>
      <c r="AU44" s="16" t="str">
        <f t="shared" si="47"/>
        <v/>
      </c>
      <c r="AV44" s="16" t="str">
        <f t="shared" si="47"/>
        <v/>
      </c>
      <c r="AW44" s="16" t="str">
        <f t="shared" si="47"/>
        <v/>
      </c>
      <c r="AX44" s="16" t="str">
        <f t="shared" si="47"/>
        <v/>
      </c>
      <c r="AY44" s="16" t="str">
        <f t="shared" si="47"/>
        <v/>
      </c>
      <c r="AZ44" s="15">
        <f t="shared" si="47"/>
        <v>4.8638226830128167E-2</v>
      </c>
      <c r="BA44" s="15">
        <f t="shared" si="47"/>
        <v>2.6523049733589786E-2</v>
      </c>
      <c r="BB44" s="15">
        <f t="shared" si="47"/>
        <v>6.1991225682781544E-2</v>
      </c>
      <c r="BC44" s="15">
        <f t="shared" si="47"/>
        <v>8.1470667443776734E-2</v>
      </c>
      <c r="BD44" s="15" t="str">
        <f t="shared" si="47"/>
        <v/>
      </c>
    </row>
    <row r="45" spans="1:56" x14ac:dyDescent="0.2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</row>
    <row r="46" spans="1:56" s="9" customFormat="1" x14ac:dyDescent="0.25">
      <c r="A46" s="9" t="s">
        <v>49</v>
      </c>
      <c r="B46" s="18">
        <v>1501</v>
      </c>
      <c r="C46" s="18">
        <v>1502</v>
      </c>
      <c r="D46" s="18">
        <v>1503</v>
      </c>
      <c r="E46" s="18">
        <v>1504</v>
      </c>
      <c r="F46" s="18">
        <v>1505</v>
      </c>
      <c r="G46" s="18">
        <v>1506</v>
      </c>
      <c r="H46" s="18">
        <v>1507</v>
      </c>
      <c r="I46" s="18">
        <v>1508</v>
      </c>
      <c r="J46" s="18">
        <v>1509</v>
      </c>
      <c r="K46" s="18">
        <v>1510</v>
      </c>
      <c r="L46" s="18">
        <v>1511</v>
      </c>
      <c r="M46" s="18">
        <v>1512</v>
      </c>
      <c r="N46" s="18">
        <v>1601</v>
      </c>
      <c r="O46" s="18">
        <v>1602</v>
      </c>
      <c r="P46" s="18">
        <v>1603</v>
      </c>
      <c r="Q46" s="18">
        <v>1604</v>
      </c>
      <c r="R46" s="18">
        <v>1605</v>
      </c>
      <c r="S46" s="18">
        <v>1606</v>
      </c>
      <c r="T46" s="18">
        <v>1607</v>
      </c>
      <c r="U46" s="18">
        <v>1608</v>
      </c>
      <c r="V46" s="18">
        <v>1609</v>
      </c>
      <c r="W46" s="18">
        <v>1610</v>
      </c>
      <c r="X46" s="18">
        <v>1611</v>
      </c>
      <c r="Y46" s="18">
        <v>1612</v>
      </c>
      <c r="Z46" s="19" t="s">
        <v>52</v>
      </c>
      <c r="AA46" s="19" t="s">
        <v>56</v>
      </c>
      <c r="AB46" s="19" t="s">
        <v>57</v>
      </c>
      <c r="AC46" s="19" t="s">
        <v>58</v>
      </c>
      <c r="AD46" s="19" t="s">
        <v>59</v>
      </c>
      <c r="AE46" s="20" t="s">
        <v>53</v>
      </c>
      <c r="AF46" s="20" t="s">
        <v>60</v>
      </c>
      <c r="AG46" s="20" t="s">
        <v>61</v>
      </c>
      <c r="AH46" s="20" t="s">
        <v>62</v>
      </c>
      <c r="AI46" s="20" t="s">
        <v>63</v>
      </c>
      <c r="AN46" s="18">
        <v>1701</v>
      </c>
      <c r="AO46" s="18">
        <v>1702</v>
      </c>
      <c r="AP46" s="18">
        <v>1703</v>
      </c>
      <c r="AQ46" s="18">
        <v>1704</v>
      </c>
      <c r="AR46" s="18">
        <v>1705</v>
      </c>
      <c r="AS46" s="18">
        <v>1706</v>
      </c>
      <c r="AT46" s="18">
        <v>1707</v>
      </c>
      <c r="AU46" s="18">
        <v>1708</v>
      </c>
      <c r="AV46" s="18">
        <v>1709</v>
      </c>
      <c r="AW46" s="18">
        <v>1710</v>
      </c>
      <c r="AX46" s="18">
        <v>1711</v>
      </c>
      <c r="AY46" s="18">
        <v>1712</v>
      </c>
      <c r="AZ46" s="19" t="s">
        <v>184</v>
      </c>
      <c r="BA46" s="19" t="s">
        <v>185</v>
      </c>
      <c r="BB46" s="19" t="s">
        <v>186</v>
      </c>
      <c r="BC46" s="19" t="s">
        <v>187</v>
      </c>
      <c r="BD46" s="19" t="s">
        <v>188</v>
      </c>
    </row>
    <row r="47" spans="1:56" x14ac:dyDescent="0.25">
      <c r="A47" s="17" t="s">
        <v>71</v>
      </c>
      <c r="B47">
        <v>78</v>
      </c>
      <c r="C47">
        <v>56</v>
      </c>
      <c r="D47">
        <v>93</v>
      </c>
      <c r="E47">
        <v>106</v>
      </c>
      <c r="F47">
        <v>73</v>
      </c>
      <c r="G47">
        <v>96</v>
      </c>
      <c r="H47">
        <v>78</v>
      </c>
      <c r="I47">
        <v>78</v>
      </c>
      <c r="J47">
        <v>116</v>
      </c>
      <c r="K47">
        <v>-13</v>
      </c>
      <c r="L47">
        <v>-1</v>
      </c>
      <c r="M47">
        <v>0</v>
      </c>
      <c r="N47">
        <v>-1</v>
      </c>
      <c r="O47">
        <v>0</v>
      </c>
      <c r="P47">
        <v>-1</v>
      </c>
      <c r="Q47">
        <v>0</v>
      </c>
      <c r="R47">
        <v>0</v>
      </c>
      <c r="S47">
        <v>-2</v>
      </c>
      <c r="T47" s="21"/>
      <c r="U47" s="157">
        <v>-1</v>
      </c>
      <c r="V47" s="21"/>
      <c r="W47" s="21"/>
      <c r="X47" s="21"/>
      <c r="Y47" s="21"/>
      <c r="Z47" s="11">
        <f>SUM($N47:INDEX($N47:$Y47,$A$3))</f>
        <v>-4</v>
      </c>
      <c r="AA47" s="11">
        <f>SUM(N47:P47)</f>
        <v>-2</v>
      </c>
      <c r="AB47" s="11">
        <f>SUM(Q47:S47)</f>
        <v>-2</v>
      </c>
      <c r="AC47" s="21">
        <f>SUM(T47:V47)</f>
        <v>-1</v>
      </c>
      <c r="AD47" s="21">
        <f>SUM(W47:Y47)</f>
        <v>0</v>
      </c>
      <c r="AE47" s="21">
        <f>SUM($B47:INDEX($B47:$M47,$A$3))</f>
        <v>580</v>
      </c>
      <c r="AF47" s="21">
        <f>SUM(B47:D47)</f>
        <v>227</v>
      </c>
      <c r="AG47" s="21">
        <f>SUM(E47:G47)</f>
        <v>275</v>
      </c>
      <c r="AH47" s="21">
        <f>SUM(H47:J47)</f>
        <v>272</v>
      </c>
      <c r="AI47" s="21">
        <f>SUM(K47:M47)</f>
        <v>-14</v>
      </c>
      <c r="AN47" s="21"/>
      <c r="AO47" s="21"/>
      <c r="AP47" s="21"/>
      <c r="AQ47" s="214">
        <f>[8]APE!$P$347</f>
        <v>-1</v>
      </c>
      <c r="AR47" s="21">
        <f>[9]APE!$P$348</f>
        <v>4</v>
      </c>
      <c r="AS47" s="21">
        <f>[10]APE!$P$414</f>
        <v>4</v>
      </c>
      <c r="AT47" s="21">
        <f>[11]APE!$P$422</f>
        <v>6</v>
      </c>
      <c r="AU47" s="21"/>
      <c r="AV47" s="21"/>
      <c r="AW47" s="21"/>
      <c r="AX47" s="21"/>
      <c r="AY47" s="21"/>
      <c r="AZ47" s="21">
        <f>SUM($AN47:INDEX($AN47:$AY47,$A$3))</f>
        <v>13</v>
      </c>
      <c r="BA47" s="21">
        <f t="shared" ref="BA47" si="48">SUM(AN47:AP47)</f>
        <v>0</v>
      </c>
      <c r="BB47" s="21">
        <f t="shared" ref="BB47:BB52" si="49">SUM(AQ47:AS47)</f>
        <v>7</v>
      </c>
      <c r="BC47" s="21">
        <f t="shared" ref="BC47:BC52" si="50">SUM(AT47:AV47)</f>
        <v>6</v>
      </c>
      <c r="BD47" s="21">
        <f t="shared" ref="BD47:BD52" si="51">SUM(AW47:AY47)</f>
        <v>0</v>
      </c>
    </row>
    <row r="48" spans="1:56" x14ac:dyDescent="0.25">
      <c r="A48" s="17" t="s">
        <v>47</v>
      </c>
      <c r="B48">
        <v>224</v>
      </c>
      <c r="C48">
        <v>131</v>
      </c>
      <c r="D48">
        <v>413</v>
      </c>
      <c r="E48">
        <v>388</v>
      </c>
      <c r="F48">
        <v>356</v>
      </c>
      <c r="G48">
        <v>485</v>
      </c>
      <c r="H48">
        <v>480</v>
      </c>
      <c r="I48">
        <v>397</v>
      </c>
      <c r="J48">
        <v>491</v>
      </c>
      <c r="K48">
        <v>701</v>
      </c>
      <c r="L48">
        <v>940</v>
      </c>
      <c r="M48">
        <v>964</v>
      </c>
      <c r="N48">
        <v>359</v>
      </c>
      <c r="O48">
        <v>528</v>
      </c>
      <c r="P48">
        <v>853</v>
      </c>
      <c r="Q48">
        <v>704</v>
      </c>
      <c r="R48">
        <v>873</v>
      </c>
      <c r="S48">
        <v>902</v>
      </c>
      <c r="T48" s="21">
        <v>744</v>
      </c>
      <c r="U48" s="21">
        <v>906</v>
      </c>
      <c r="V48" s="21">
        <v>903</v>
      </c>
      <c r="W48" s="21">
        <f>[12]APE!$O$141</f>
        <v>959</v>
      </c>
      <c r="X48" s="21">
        <f>[13]APE!$O$141</f>
        <v>693</v>
      </c>
      <c r="Y48" s="21">
        <f>[14]APE!$O$141</f>
        <v>1256</v>
      </c>
      <c r="Z48" s="11">
        <f>SUM($N48:INDEX($N48:$Y48,$A$3))</f>
        <v>4963</v>
      </c>
      <c r="AA48" s="11">
        <f>SUM(N48:P48)</f>
        <v>1740</v>
      </c>
      <c r="AB48" s="11">
        <f>SUM(Q48:S48)</f>
        <v>2479</v>
      </c>
      <c r="AC48" s="21">
        <f>SUM(T48:V48)</f>
        <v>2553</v>
      </c>
      <c r="AD48" s="21">
        <f>SUM(W48:Y48)</f>
        <v>2908</v>
      </c>
      <c r="AE48" s="21">
        <f>SUM($B48:INDEX($B48:$M48,$A$3))</f>
        <v>2477</v>
      </c>
      <c r="AF48" s="21">
        <f>SUM(B48:D48)</f>
        <v>768</v>
      </c>
      <c r="AG48" s="21">
        <f>SUM(E48:G48)</f>
        <v>1229</v>
      </c>
      <c r="AH48" s="21">
        <f>SUM(H48:J48)</f>
        <v>1368</v>
      </c>
      <c r="AI48" s="21">
        <f>SUM(K48:M48)</f>
        <v>2605</v>
      </c>
      <c r="AN48" s="21">
        <f>[15]APE!$O$141</f>
        <v>521</v>
      </c>
      <c r="AO48" s="21">
        <f>[16]APE!$O$204</f>
        <v>1097</v>
      </c>
      <c r="AP48" s="21">
        <f>[17]APE!$P$262</f>
        <v>1212</v>
      </c>
      <c r="AQ48" s="21">
        <f>[8]APE!$P$348</f>
        <v>954</v>
      </c>
      <c r="AR48" s="21">
        <f>[9]APE!$P$347</f>
        <v>777</v>
      </c>
      <c r="AS48" s="21">
        <f>[10]APE!$P$418</f>
        <v>696</v>
      </c>
      <c r="AT48" s="21">
        <f>[11]APE!$P$426</f>
        <v>773</v>
      </c>
      <c r="AU48" s="21"/>
      <c r="AV48" s="21"/>
      <c r="AW48" s="21"/>
      <c r="AX48" s="21"/>
      <c r="AY48" s="21"/>
      <c r="AZ48" s="21">
        <f>SUM($AN48:INDEX($AN48:$AY48,$A$3))</f>
        <v>6030</v>
      </c>
      <c r="BA48" s="21">
        <f t="shared" ref="BA48" si="52">SUM(AN48:AP48)</f>
        <v>2830</v>
      </c>
      <c r="BB48" s="21">
        <f t="shared" si="49"/>
        <v>2427</v>
      </c>
      <c r="BC48" s="21">
        <f t="shared" si="50"/>
        <v>773</v>
      </c>
      <c r="BD48" s="21">
        <f t="shared" si="51"/>
        <v>0</v>
      </c>
    </row>
    <row r="49" spans="1:56" x14ac:dyDescent="0.25">
      <c r="A49" s="17" t="s">
        <v>116</v>
      </c>
      <c r="T49" s="21"/>
      <c r="U49" s="21">
        <v>210</v>
      </c>
      <c r="V49" s="21">
        <v>195</v>
      </c>
      <c r="W49" s="21">
        <f>[12]APE!$O$140</f>
        <v>306</v>
      </c>
      <c r="X49" s="21">
        <f>[13]APE!$O$140</f>
        <v>201</v>
      </c>
      <c r="Y49" s="21">
        <f>[14]APE!$O$140</f>
        <v>283</v>
      </c>
      <c r="Z49" s="11">
        <f>SUM($N49:INDEX($N49:$Y49,$A$3))</f>
        <v>0</v>
      </c>
      <c r="AA49" s="11">
        <f>SUM(N49:P49)</f>
        <v>0</v>
      </c>
      <c r="AB49" s="11">
        <f>SUM(Q49:S49)</f>
        <v>0</v>
      </c>
      <c r="AC49" s="21">
        <f>SUM(T49:V49)</f>
        <v>405</v>
      </c>
      <c r="AD49" s="21">
        <f>SUM(W49:Y49)</f>
        <v>790</v>
      </c>
      <c r="AE49" s="21">
        <f>SUM($B49:INDEX($B49:$M49,$A$3))</f>
        <v>0</v>
      </c>
      <c r="AF49" s="21">
        <f>SUM(B49:D49)</f>
        <v>0</v>
      </c>
      <c r="AG49" s="21">
        <f>SUM(E49:G49)</f>
        <v>0</v>
      </c>
      <c r="AH49" s="21">
        <f>SUM(H49:J49)</f>
        <v>0</v>
      </c>
      <c r="AI49" s="21">
        <f>SUM(K49:M49)</f>
        <v>0</v>
      </c>
      <c r="AN49" s="21">
        <f>[15]APE!$O$140</f>
        <v>151</v>
      </c>
      <c r="AO49" s="21">
        <f>[16]APE!$O$202</f>
        <v>199</v>
      </c>
      <c r="AP49" s="21">
        <f>[17]APE!$P$260</f>
        <v>348</v>
      </c>
      <c r="AQ49" s="21">
        <f>[8]APE!$P$344</f>
        <v>231</v>
      </c>
      <c r="AR49" s="21">
        <f>[9]APE!$P$344</f>
        <v>183</v>
      </c>
      <c r="AS49" s="21">
        <f>[10]APE!$P$416</f>
        <v>82</v>
      </c>
      <c r="AT49" s="21">
        <f>[11]APE!$P$424</f>
        <v>89</v>
      </c>
      <c r="AU49" s="21"/>
      <c r="AV49" s="21"/>
      <c r="AW49" s="21"/>
      <c r="AX49" s="21"/>
      <c r="AY49" s="21"/>
      <c r="AZ49" s="21">
        <f>SUM($AN49:INDEX($AN49:$AY49,$A$3))</f>
        <v>1283</v>
      </c>
      <c r="BA49" s="21">
        <f t="shared" ref="BA49:BA52" si="53">SUM(AN49:AP49)</f>
        <v>698</v>
      </c>
      <c r="BB49" s="21">
        <f t="shared" si="49"/>
        <v>496</v>
      </c>
      <c r="BC49" s="21">
        <f t="shared" si="50"/>
        <v>89</v>
      </c>
      <c r="BD49" s="21">
        <f t="shared" si="51"/>
        <v>0</v>
      </c>
    </row>
    <row r="50" spans="1:56" x14ac:dyDescent="0.25">
      <c r="A50" s="17" t="s">
        <v>48</v>
      </c>
      <c r="H50">
        <v>1</v>
      </c>
      <c r="I50">
        <v>36</v>
      </c>
      <c r="J50">
        <v>46</v>
      </c>
      <c r="K50">
        <v>115</v>
      </c>
      <c r="L50">
        <v>145</v>
      </c>
      <c r="M50">
        <v>175</v>
      </c>
      <c r="N50">
        <v>102</v>
      </c>
      <c r="O50">
        <v>57</v>
      </c>
      <c r="P50">
        <v>69</v>
      </c>
      <c r="Q50">
        <v>49</v>
      </c>
      <c r="R50">
        <v>54</v>
      </c>
      <c r="S50">
        <v>26</v>
      </c>
      <c r="T50" s="21">
        <v>3</v>
      </c>
      <c r="U50" s="157">
        <f>-1+53</f>
        <v>52</v>
      </c>
      <c r="V50" s="21">
        <v>46</v>
      </c>
      <c r="W50" s="21">
        <f>[12]APE!$O$139</f>
        <v>28</v>
      </c>
      <c r="X50" s="21">
        <f>[13]APE!$O$139</f>
        <v>29</v>
      </c>
      <c r="Y50" s="21">
        <f>[14]APE!$O$139</f>
        <v>9</v>
      </c>
      <c r="Z50" s="11">
        <f>SUM($N50:INDEX($N50:$Y50,$A$3))</f>
        <v>360</v>
      </c>
      <c r="AA50" s="11">
        <f>SUM(N50:P50)</f>
        <v>228</v>
      </c>
      <c r="AB50" s="11">
        <f>SUM(Q50:S50)</f>
        <v>129</v>
      </c>
      <c r="AC50" s="21">
        <f>SUM(T50:V50)</f>
        <v>101</v>
      </c>
      <c r="AD50" s="21">
        <f>SUM(W50:Y50)</f>
        <v>66</v>
      </c>
      <c r="AE50" s="21">
        <f>SUM($B50:INDEX($B50:$M50,$A$3))</f>
        <v>1</v>
      </c>
      <c r="AF50" s="21">
        <f>SUM(B50:D50)</f>
        <v>0</v>
      </c>
      <c r="AG50" s="21">
        <f>SUM(E50:G50)</f>
        <v>0</v>
      </c>
      <c r="AH50" s="21">
        <f>SUM(H50:J50)</f>
        <v>83</v>
      </c>
      <c r="AI50" s="21">
        <f>SUM(K50:M50)</f>
        <v>435</v>
      </c>
      <c r="AN50" s="21">
        <f>[15]APE!$O$139</f>
        <v>-6</v>
      </c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>
        <f>SUM($AN50:INDEX($AN50:$AY50,$A$3))</f>
        <v>-6</v>
      </c>
      <c r="BA50" s="21">
        <f t="shared" si="53"/>
        <v>-6</v>
      </c>
      <c r="BB50" s="21">
        <f t="shared" si="49"/>
        <v>0</v>
      </c>
      <c r="BC50" s="21">
        <f t="shared" si="50"/>
        <v>0</v>
      </c>
      <c r="BD50" s="21">
        <f t="shared" si="51"/>
        <v>0</v>
      </c>
    </row>
    <row r="51" spans="1:56" x14ac:dyDescent="0.25">
      <c r="A51" s="17" t="s">
        <v>208</v>
      </c>
      <c r="T51" s="21"/>
      <c r="U51" s="157"/>
      <c r="V51" s="21"/>
      <c r="W51" s="21"/>
      <c r="X51" s="21"/>
      <c r="Y51" s="21"/>
      <c r="Z51" s="11"/>
      <c r="AA51" s="11"/>
      <c r="AB51" s="11"/>
      <c r="AC51" s="21"/>
      <c r="AD51" s="21"/>
      <c r="AE51" s="21"/>
      <c r="AF51" s="21"/>
      <c r="AG51" s="21"/>
      <c r="AH51" s="21"/>
      <c r="AI51" s="21"/>
      <c r="AN51" s="21"/>
      <c r="AO51" s="21"/>
      <c r="AP51" s="21">
        <f>[17]APE!$P$261</f>
        <v>43</v>
      </c>
      <c r="AQ51" s="21">
        <f>[8]APE!$P$346</f>
        <v>58</v>
      </c>
      <c r="AR51" s="21">
        <f>[9]APE!$P$346</f>
        <v>53</v>
      </c>
      <c r="AS51" s="21">
        <f>[10]APE!$P$417</f>
        <v>90</v>
      </c>
      <c r="AT51" s="21">
        <f>[11]APE!$P$425</f>
        <v>36</v>
      </c>
      <c r="AU51" s="21"/>
      <c r="AV51" s="21"/>
      <c r="AW51" s="21"/>
      <c r="AX51" s="21"/>
      <c r="AY51" s="21"/>
      <c r="AZ51" s="21">
        <f>SUM($AN51:INDEX($AN51:$AY51,$A$3))</f>
        <v>280</v>
      </c>
      <c r="BA51" s="21">
        <f t="shared" ref="BA51" si="54">SUM(AN51:AP51)</f>
        <v>43</v>
      </c>
      <c r="BB51" s="21">
        <f t="shared" si="49"/>
        <v>201</v>
      </c>
      <c r="BC51" s="21">
        <f t="shared" si="50"/>
        <v>36</v>
      </c>
      <c r="BD51" s="21">
        <f t="shared" si="51"/>
        <v>0</v>
      </c>
    </row>
    <row r="52" spans="1:56" x14ac:dyDescent="0.25">
      <c r="A52" s="17" t="s">
        <v>201</v>
      </c>
      <c r="T52" s="21"/>
      <c r="U52" s="157"/>
      <c r="V52" s="21"/>
      <c r="W52" s="21"/>
      <c r="X52" s="21"/>
      <c r="Y52" s="21"/>
      <c r="Z52" s="11"/>
      <c r="AA52" s="11"/>
      <c r="AB52" s="11"/>
      <c r="AC52" s="21"/>
      <c r="AD52" s="21"/>
      <c r="AE52" s="21">
        <f>SUM($B52:INDEX($B52:$M52,$A$3))</f>
        <v>0</v>
      </c>
      <c r="AF52" s="21">
        <f>SUM(B52:D52)</f>
        <v>0</v>
      </c>
      <c r="AG52" s="21">
        <f>SUM(E52:G52)</f>
        <v>0</v>
      </c>
      <c r="AH52" s="21">
        <f>SUM(H52:J52)</f>
        <v>0</v>
      </c>
      <c r="AI52" s="21">
        <f>SUM(K52:M52)</f>
        <v>0</v>
      </c>
      <c r="AN52" s="21">
        <f>[15]APE!$O$142</f>
        <v>1</v>
      </c>
      <c r="AO52" s="21">
        <f>[16]APE!$O$205</f>
        <v>9</v>
      </c>
      <c r="AP52" s="21">
        <f>[17]APE!$P$263</f>
        <v>13</v>
      </c>
      <c r="AQ52" s="21">
        <f>[8]APE!$P$349</f>
        <v>14</v>
      </c>
      <c r="AR52" s="21">
        <f>[9]APE!$P$349</f>
        <v>21</v>
      </c>
      <c r="AS52" s="21">
        <f>[10]APE!$P$415</f>
        <v>5</v>
      </c>
      <c r="AT52" s="21">
        <f>[11]APE!$P$423</f>
        <v>8</v>
      </c>
      <c r="AU52" s="21"/>
      <c r="AV52" s="21"/>
      <c r="AW52" s="21"/>
      <c r="AX52" s="21"/>
      <c r="AY52" s="21"/>
      <c r="AZ52" s="21">
        <f>SUM($AN52:INDEX($AN52:$AY52,$A$3))</f>
        <v>71</v>
      </c>
      <c r="BA52" s="21">
        <f t="shared" si="53"/>
        <v>23</v>
      </c>
      <c r="BB52" s="21">
        <f t="shared" si="49"/>
        <v>40</v>
      </c>
      <c r="BC52" s="21">
        <f t="shared" si="50"/>
        <v>8</v>
      </c>
      <c r="BD52" s="21">
        <f t="shared" si="51"/>
        <v>0</v>
      </c>
    </row>
    <row r="53" spans="1:56" x14ac:dyDescent="0.25">
      <c r="B53" s="13">
        <f>SUM(B47:B52)</f>
        <v>302</v>
      </c>
      <c r="C53" s="13">
        <f t="shared" ref="C53:AI53" si="55">SUM(C47:C52)</f>
        <v>187</v>
      </c>
      <c r="D53" s="13">
        <f t="shared" si="55"/>
        <v>506</v>
      </c>
      <c r="E53" s="13">
        <f t="shared" si="55"/>
        <v>494</v>
      </c>
      <c r="F53" s="13">
        <f t="shared" si="55"/>
        <v>429</v>
      </c>
      <c r="G53" s="13">
        <f t="shared" si="55"/>
        <v>581</v>
      </c>
      <c r="H53" s="13">
        <f t="shared" si="55"/>
        <v>559</v>
      </c>
      <c r="I53" s="13">
        <f t="shared" si="55"/>
        <v>511</v>
      </c>
      <c r="J53" s="13">
        <f t="shared" si="55"/>
        <v>653</v>
      </c>
      <c r="K53" s="13">
        <f t="shared" si="55"/>
        <v>803</v>
      </c>
      <c r="L53" s="13">
        <f t="shared" si="55"/>
        <v>1084</v>
      </c>
      <c r="M53" s="13">
        <f t="shared" si="55"/>
        <v>1139</v>
      </c>
      <c r="N53" s="13">
        <f t="shared" si="55"/>
        <v>460</v>
      </c>
      <c r="O53" s="13">
        <f t="shared" si="55"/>
        <v>585</v>
      </c>
      <c r="P53" s="13">
        <f t="shared" si="55"/>
        <v>921</v>
      </c>
      <c r="Q53" s="13">
        <f t="shared" si="55"/>
        <v>753</v>
      </c>
      <c r="R53" s="13">
        <f t="shared" si="55"/>
        <v>927</v>
      </c>
      <c r="S53" s="13">
        <f t="shared" si="55"/>
        <v>926</v>
      </c>
      <c r="T53" s="22">
        <f t="shared" si="55"/>
        <v>747</v>
      </c>
      <c r="U53" s="22">
        <f t="shared" si="55"/>
        <v>1167</v>
      </c>
      <c r="V53" s="22">
        <f t="shared" si="55"/>
        <v>1144</v>
      </c>
      <c r="W53" s="22">
        <f t="shared" si="55"/>
        <v>1293</v>
      </c>
      <c r="X53" s="22">
        <f t="shared" si="55"/>
        <v>923</v>
      </c>
      <c r="Y53" s="22">
        <f t="shared" si="55"/>
        <v>1548</v>
      </c>
      <c r="Z53" s="13">
        <f t="shared" si="55"/>
        <v>5319</v>
      </c>
      <c r="AA53" s="13">
        <f t="shared" si="55"/>
        <v>1966</v>
      </c>
      <c r="AB53" s="13">
        <f t="shared" si="55"/>
        <v>2606</v>
      </c>
      <c r="AC53" s="22">
        <f t="shared" si="55"/>
        <v>3058</v>
      </c>
      <c r="AD53" s="22">
        <f t="shared" si="55"/>
        <v>3764</v>
      </c>
      <c r="AE53" s="22">
        <f t="shared" si="55"/>
        <v>3058</v>
      </c>
      <c r="AF53" s="22">
        <f t="shared" si="55"/>
        <v>995</v>
      </c>
      <c r="AG53" s="22">
        <f t="shared" si="55"/>
        <v>1504</v>
      </c>
      <c r="AH53" s="22">
        <f t="shared" si="55"/>
        <v>1723</v>
      </c>
      <c r="AI53" s="22">
        <f t="shared" si="55"/>
        <v>3026</v>
      </c>
      <c r="AN53" s="22">
        <f t="shared" ref="AN53:BD53" si="56">SUM(AN47:AN52)</f>
        <v>667</v>
      </c>
      <c r="AO53" s="22">
        <f t="shared" si="56"/>
        <v>1305</v>
      </c>
      <c r="AP53" s="22">
        <f t="shared" si="56"/>
        <v>1616</v>
      </c>
      <c r="AQ53" s="22">
        <f t="shared" si="56"/>
        <v>1256</v>
      </c>
      <c r="AR53" s="22">
        <f t="shared" si="56"/>
        <v>1038</v>
      </c>
      <c r="AS53" s="22">
        <f t="shared" si="56"/>
        <v>877</v>
      </c>
      <c r="AT53" s="22">
        <f t="shared" si="56"/>
        <v>912</v>
      </c>
      <c r="AU53" s="22">
        <f t="shared" si="56"/>
        <v>0</v>
      </c>
      <c r="AV53" s="22">
        <f t="shared" si="56"/>
        <v>0</v>
      </c>
      <c r="AW53" s="22">
        <f t="shared" si="56"/>
        <v>0</v>
      </c>
      <c r="AX53" s="22">
        <f t="shared" si="56"/>
        <v>0</v>
      </c>
      <c r="AY53" s="22">
        <f t="shared" si="56"/>
        <v>0</v>
      </c>
      <c r="AZ53" s="22">
        <f>SUM(AZ47:AZ52)</f>
        <v>7671</v>
      </c>
      <c r="BA53" s="22">
        <f>SUM(BA47:BA52)</f>
        <v>3588</v>
      </c>
      <c r="BB53" s="22">
        <f t="shared" si="56"/>
        <v>3171</v>
      </c>
      <c r="BC53" s="22">
        <f t="shared" si="56"/>
        <v>912</v>
      </c>
      <c r="BD53" s="22">
        <f t="shared" si="56"/>
        <v>0</v>
      </c>
    </row>
    <row r="55" spans="1:56" s="9" customFormat="1" x14ac:dyDescent="0.25">
      <c r="A55" s="9" t="s">
        <v>50</v>
      </c>
      <c r="B55" s="18">
        <v>1501</v>
      </c>
      <c r="C55" s="18">
        <v>1502</v>
      </c>
      <c r="D55" s="18">
        <v>1503</v>
      </c>
      <c r="E55" s="18">
        <v>1504</v>
      </c>
      <c r="F55" s="18">
        <v>1505</v>
      </c>
      <c r="G55" s="18">
        <v>1506</v>
      </c>
      <c r="H55" s="18">
        <v>1507</v>
      </c>
      <c r="I55" s="18">
        <v>1508</v>
      </c>
      <c r="J55" s="18">
        <v>1509</v>
      </c>
      <c r="K55" s="18">
        <v>1510</v>
      </c>
      <c r="L55" s="18">
        <v>1511</v>
      </c>
      <c r="M55" s="18">
        <v>1512</v>
      </c>
      <c r="N55" s="18">
        <v>1601</v>
      </c>
      <c r="O55" s="18">
        <v>1602</v>
      </c>
      <c r="P55" s="18">
        <v>1603</v>
      </c>
      <c r="Q55" s="18">
        <v>1604</v>
      </c>
      <c r="R55" s="18">
        <v>1605</v>
      </c>
      <c r="S55" s="18">
        <v>1606</v>
      </c>
      <c r="T55" s="18">
        <v>1607</v>
      </c>
      <c r="U55" s="18">
        <v>1608</v>
      </c>
      <c r="V55" s="18">
        <v>1609</v>
      </c>
      <c r="W55" s="18">
        <v>1610</v>
      </c>
      <c r="X55" s="18">
        <v>1611</v>
      </c>
      <c r="Y55" s="18">
        <v>1612</v>
      </c>
      <c r="Z55" s="19" t="s">
        <v>52</v>
      </c>
      <c r="AA55" s="19" t="s">
        <v>56</v>
      </c>
      <c r="AB55" s="19" t="s">
        <v>57</v>
      </c>
      <c r="AC55" s="19" t="s">
        <v>58</v>
      </c>
      <c r="AD55" s="19" t="s">
        <v>59</v>
      </c>
      <c r="AE55" s="20" t="s">
        <v>53</v>
      </c>
      <c r="AF55" s="20" t="s">
        <v>60</v>
      </c>
      <c r="AG55" s="20" t="s">
        <v>61</v>
      </c>
      <c r="AH55" s="20" t="s">
        <v>62</v>
      </c>
      <c r="AI55" s="20" t="s">
        <v>63</v>
      </c>
      <c r="AN55" s="18">
        <v>1701</v>
      </c>
      <c r="AO55" s="18">
        <v>1702</v>
      </c>
      <c r="AP55" s="18">
        <v>1703</v>
      </c>
      <c r="AQ55" s="18">
        <v>1704</v>
      </c>
      <c r="AR55" s="18">
        <v>1705</v>
      </c>
      <c r="AS55" s="18">
        <v>1706</v>
      </c>
      <c r="AT55" s="18">
        <v>1707</v>
      </c>
      <c r="AU55" s="18">
        <v>1708</v>
      </c>
      <c r="AV55" s="18">
        <v>1709</v>
      </c>
      <c r="AW55" s="18">
        <v>1710</v>
      </c>
      <c r="AX55" s="18">
        <v>1711</v>
      </c>
      <c r="AY55" s="18">
        <v>1712</v>
      </c>
      <c r="AZ55" s="19" t="s">
        <v>184</v>
      </c>
      <c r="BA55" s="19" t="s">
        <v>185</v>
      </c>
      <c r="BB55" s="19" t="s">
        <v>186</v>
      </c>
      <c r="BC55" s="19" t="s">
        <v>187</v>
      </c>
      <c r="BD55" s="19" t="s">
        <v>188</v>
      </c>
    </row>
    <row r="56" spans="1:56" x14ac:dyDescent="0.25">
      <c r="A56" s="17" t="s">
        <v>71</v>
      </c>
      <c r="B56">
        <v>62</v>
      </c>
      <c r="C56">
        <v>22</v>
      </c>
      <c r="D56">
        <v>68</v>
      </c>
      <c r="E56">
        <v>62</v>
      </c>
      <c r="F56">
        <v>29</v>
      </c>
      <c r="G56">
        <v>69</v>
      </c>
      <c r="H56">
        <v>58</v>
      </c>
      <c r="I56">
        <v>65</v>
      </c>
      <c r="J56">
        <v>88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21"/>
      <c r="U56" s="21"/>
      <c r="V56" s="21"/>
      <c r="W56" s="21"/>
      <c r="X56" s="21"/>
      <c r="Y56" s="21"/>
      <c r="Z56" s="11">
        <f>SUM($N56:INDEX($N56:$Y56,$A$3))</f>
        <v>0</v>
      </c>
      <c r="AA56" s="11">
        <f>SUM(N56:P56)</f>
        <v>0</v>
      </c>
      <c r="AB56" s="11">
        <f>SUM(Q56:S56)</f>
        <v>0</v>
      </c>
      <c r="AC56" s="21">
        <f>SUM(T56:V56)</f>
        <v>0</v>
      </c>
      <c r="AD56" s="21">
        <f>SUM(W56:Y56)</f>
        <v>0</v>
      </c>
      <c r="AE56" s="21">
        <f>SUM($B56:INDEX($B56:$M56,$A$3))</f>
        <v>370</v>
      </c>
      <c r="AF56" s="21">
        <f>SUM(B56:D56)</f>
        <v>152</v>
      </c>
      <c r="AG56" s="21">
        <f>SUM(E56:G56)</f>
        <v>160</v>
      </c>
      <c r="AH56" s="21">
        <f>SUM(H56:J56)</f>
        <v>211</v>
      </c>
      <c r="AI56" s="21">
        <f>SUM(K56:M56)</f>
        <v>1</v>
      </c>
      <c r="AN56" s="21"/>
      <c r="AO56" s="21"/>
      <c r="AP56" s="21"/>
      <c r="AQ56" s="21">
        <f>[8]APE!$Q$347</f>
        <v>-1</v>
      </c>
      <c r="AR56" s="21">
        <f>[9]APE!$Q$348</f>
        <v>3</v>
      </c>
      <c r="AS56" s="21">
        <f>[10]APE!$Q$414</f>
        <v>7</v>
      </c>
      <c r="AT56" s="21">
        <f>[11]APE!$Q$422</f>
        <v>15</v>
      </c>
      <c r="AU56" s="21"/>
      <c r="AV56" s="21"/>
      <c r="AW56" s="21"/>
      <c r="AX56" s="21"/>
      <c r="AY56" s="21"/>
      <c r="AZ56" s="21">
        <f>SUM($AN56:INDEX($AN56:$AY56,$A$3))</f>
        <v>24</v>
      </c>
      <c r="BA56" s="21">
        <f t="shared" ref="BA56:BA61" si="57">SUM(AN56:AP56)</f>
        <v>0</v>
      </c>
      <c r="BB56" s="21">
        <f t="shared" ref="BB56:BB61" si="58">SUM(AQ56:AS56)</f>
        <v>9</v>
      </c>
      <c r="BC56" s="21">
        <f t="shared" ref="BC56:BC61" si="59">SUM(AT56:AV56)</f>
        <v>15</v>
      </c>
      <c r="BD56" s="21">
        <f t="shared" ref="BD56:BD61" si="60">SUM(AW56:AY56)</f>
        <v>0</v>
      </c>
    </row>
    <row r="57" spans="1:56" x14ac:dyDescent="0.25">
      <c r="A57" s="17" t="s">
        <v>47</v>
      </c>
      <c r="B57">
        <v>230</v>
      </c>
      <c r="C57">
        <v>155</v>
      </c>
      <c r="D57">
        <v>414</v>
      </c>
      <c r="E57">
        <v>372</v>
      </c>
      <c r="F57">
        <v>365</v>
      </c>
      <c r="G57">
        <v>469</v>
      </c>
      <c r="H57">
        <v>481</v>
      </c>
      <c r="I57">
        <v>383</v>
      </c>
      <c r="J57">
        <v>463</v>
      </c>
      <c r="K57">
        <v>698</v>
      </c>
      <c r="L57">
        <v>904</v>
      </c>
      <c r="M57">
        <v>866</v>
      </c>
      <c r="N57">
        <v>334</v>
      </c>
      <c r="O57">
        <v>633</v>
      </c>
      <c r="P57">
        <v>797</v>
      </c>
      <c r="Q57">
        <v>709</v>
      </c>
      <c r="R57">
        <v>880</v>
      </c>
      <c r="S57">
        <v>873</v>
      </c>
      <c r="T57" s="21">
        <v>778</v>
      </c>
      <c r="U57" s="21">
        <v>874</v>
      </c>
      <c r="V57" s="21">
        <v>925</v>
      </c>
      <c r="W57" s="21">
        <f>[12]APE!$P$141</f>
        <v>928</v>
      </c>
      <c r="X57" s="21">
        <f>[13]APE!$P$141</f>
        <v>731</v>
      </c>
      <c r="Y57" s="21">
        <f>[14]APE!$P$141</f>
        <v>1286</v>
      </c>
      <c r="Z57" s="11">
        <f>SUM($N57:INDEX($N57:$Y57,$A$3))</f>
        <v>5004</v>
      </c>
      <c r="AA57" s="11">
        <f>SUM(N57:P57)</f>
        <v>1764</v>
      </c>
      <c r="AB57" s="11">
        <f>SUM(Q57:S57)</f>
        <v>2462</v>
      </c>
      <c r="AC57" s="21">
        <f>SUM(T57:V57)</f>
        <v>2577</v>
      </c>
      <c r="AD57" s="21">
        <f>SUM(W57:Y57)</f>
        <v>2945</v>
      </c>
      <c r="AE57" s="21">
        <f>SUM($B57:INDEX($B57:$M57,$A$3))</f>
        <v>2486</v>
      </c>
      <c r="AF57" s="21">
        <f>SUM(B57:D57)</f>
        <v>799</v>
      </c>
      <c r="AG57" s="21">
        <f>SUM(E57:G57)</f>
        <v>1206</v>
      </c>
      <c r="AH57" s="21">
        <f>SUM(H57:J57)</f>
        <v>1327</v>
      </c>
      <c r="AI57" s="21">
        <f>SUM(K57:M57)</f>
        <v>2468</v>
      </c>
      <c r="AN57" s="21">
        <f>[15]APE!$P$141</f>
        <v>570</v>
      </c>
      <c r="AO57" s="21">
        <f>[16]APE!$P$204</f>
        <v>1111</v>
      </c>
      <c r="AP57" s="21">
        <f>[17]APE!$Q$262</f>
        <v>1044</v>
      </c>
      <c r="AQ57" s="21">
        <f>[8]APE!$Q$348</f>
        <v>1047</v>
      </c>
      <c r="AR57" s="21">
        <f>[9]APE!$Q$347</f>
        <v>1287</v>
      </c>
      <c r="AS57" s="21">
        <f>[10]APE!$Q$418</f>
        <v>1076</v>
      </c>
      <c r="AT57" s="21">
        <f>[11]APE!$Q$426</f>
        <v>1217</v>
      </c>
      <c r="AU57" s="21"/>
      <c r="AV57" s="21"/>
      <c r="AW57" s="21"/>
      <c r="AX57" s="21"/>
      <c r="AY57" s="21"/>
      <c r="AZ57" s="21">
        <f>SUM($AN57:INDEX($AN57:$AY57,$A$3))</f>
        <v>7352</v>
      </c>
      <c r="BA57" s="21">
        <f t="shared" si="57"/>
        <v>2725</v>
      </c>
      <c r="BB57" s="21">
        <f t="shared" si="58"/>
        <v>3410</v>
      </c>
      <c r="BC57" s="21">
        <f t="shared" si="59"/>
        <v>1217</v>
      </c>
      <c r="BD57" s="21">
        <f t="shared" si="60"/>
        <v>0</v>
      </c>
    </row>
    <row r="58" spans="1:56" x14ac:dyDescent="0.25">
      <c r="A58" s="17" t="s">
        <v>116</v>
      </c>
      <c r="T58" s="21"/>
      <c r="U58" s="21">
        <v>275</v>
      </c>
      <c r="V58" s="21">
        <v>217</v>
      </c>
      <c r="W58" s="21">
        <f>[12]APE!$P$140</f>
        <v>324</v>
      </c>
      <c r="X58" s="21">
        <f>[13]APE!$P$140</f>
        <v>183</v>
      </c>
      <c r="Y58" s="21">
        <f>[14]APE!$P$140</f>
        <v>281</v>
      </c>
      <c r="Z58" s="11">
        <f>SUM($N58:INDEX($N58:$Y58,$A$3))</f>
        <v>0</v>
      </c>
      <c r="AA58" s="11">
        <f>SUM(N58:P58)</f>
        <v>0</v>
      </c>
      <c r="AB58" s="11">
        <f>SUM(Q58:S58)</f>
        <v>0</v>
      </c>
      <c r="AC58" s="21">
        <f>SUM(T58:V58)</f>
        <v>492</v>
      </c>
      <c r="AD58" s="21">
        <f>SUM(W58:Y58)</f>
        <v>788</v>
      </c>
      <c r="AE58" s="21">
        <f>SUM($B58:INDEX($B58:$M58,$A$3))</f>
        <v>0</v>
      </c>
      <c r="AF58" s="21">
        <f>SUM(B58:D58)</f>
        <v>0</v>
      </c>
      <c r="AG58" s="21">
        <f>SUM(E58:G58)</f>
        <v>0</v>
      </c>
      <c r="AH58" s="21">
        <f>SUM(H58:J58)</f>
        <v>0</v>
      </c>
      <c r="AI58" s="21">
        <f>SUM(K58:M58)</f>
        <v>0</v>
      </c>
      <c r="AN58" s="21">
        <f>[15]APE!$P$140</f>
        <v>189</v>
      </c>
      <c r="AO58" s="21">
        <f>[16]APE!$P$202</f>
        <v>128</v>
      </c>
      <c r="AP58" s="21">
        <f>[17]APE!$Q$260</f>
        <v>342</v>
      </c>
      <c r="AQ58" s="21">
        <f>[8]APE!$Q$344</f>
        <v>195</v>
      </c>
      <c r="AR58" s="21">
        <f>[9]APE!$Q$344</f>
        <v>198</v>
      </c>
      <c r="AS58" s="21">
        <f>[10]APE!$Q$416</f>
        <v>99</v>
      </c>
      <c r="AT58" s="21">
        <f>[11]APE!$Q$424</f>
        <v>163</v>
      </c>
      <c r="AU58" s="21"/>
      <c r="AV58" s="21"/>
      <c r="AW58" s="21"/>
      <c r="AX58" s="21"/>
      <c r="AY58" s="21"/>
      <c r="AZ58" s="21">
        <f>SUM($AN58:INDEX($AN58:$AY58,$A$3))</f>
        <v>1314</v>
      </c>
      <c r="BA58" s="21">
        <f t="shared" si="57"/>
        <v>659</v>
      </c>
      <c r="BB58" s="21">
        <f t="shared" si="58"/>
        <v>492</v>
      </c>
      <c r="BC58" s="21">
        <f t="shared" si="59"/>
        <v>163</v>
      </c>
      <c r="BD58" s="21">
        <f t="shared" si="60"/>
        <v>0</v>
      </c>
    </row>
    <row r="59" spans="1:56" x14ac:dyDescent="0.25">
      <c r="A59" s="17" t="s">
        <v>48</v>
      </c>
      <c r="I59">
        <v>27</v>
      </c>
      <c r="J59">
        <v>29</v>
      </c>
      <c r="K59">
        <v>85</v>
      </c>
      <c r="L59">
        <v>92</v>
      </c>
      <c r="M59">
        <v>163</v>
      </c>
      <c r="N59">
        <v>74</v>
      </c>
      <c r="O59">
        <v>41</v>
      </c>
      <c r="P59">
        <v>65</v>
      </c>
      <c r="Q59">
        <v>44</v>
      </c>
      <c r="R59">
        <v>29</v>
      </c>
      <c r="S59">
        <v>30</v>
      </c>
      <c r="T59" s="21">
        <v>4</v>
      </c>
      <c r="U59" s="21"/>
      <c r="V59" s="21">
        <v>30</v>
      </c>
      <c r="W59" s="21">
        <f>[12]APE!$P$139</f>
        <v>37</v>
      </c>
      <c r="X59" s="21">
        <f>[13]APE!$P$139</f>
        <v>36</v>
      </c>
      <c r="Y59" s="21">
        <f>[14]APE!$P$139</f>
        <v>7</v>
      </c>
      <c r="Z59" s="11">
        <f>SUM($N59:INDEX($N59:$Y59,$A$3))</f>
        <v>287</v>
      </c>
      <c r="AA59" s="11">
        <f>SUM(N59:P59)</f>
        <v>180</v>
      </c>
      <c r="AB59" s="11">
        <f>SUM(Q59:S59)</f>
        <v>103</v>
      </c>
      <c r="AC59" s="21">
        <f>SUM(T59:V59)</f>
        <v>34</v>
      </c>
      <c r="AD59" s="21">
        <f>SUM(W59:Y59)</f>
        <v>80</v>
      </c>
      <c r="AE59" s="21">
        <f>SUM($B59:INDEX($B59:$M59,$A$3))</f>
        <v>0</v>
      </c>
      <c r="AF59" s="21">
        <f>SUM(B59:D59)</f>
        <v>0</v>
      </c>
      <c r="AG59" s="21">
        <f>SUM(E59:G59)</f>
        <v>0</v>
      </c>
      <c r="AH59" s="21">
        <f>SUM(H59:J59)</f>
        <v>56</v>
      </c>
      <c r="AI59" s="21">
        <f>SUM(K59:M59)</f>
        <v>340</v>
      </c>
      <c r="AN59" s="21">
        <f>[15]APE!$P$139</f>
        <v>-5</v>
      </c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>
        <f>SUM($AN59:INDEX($AN59:$AY59,$A$3))</f>
        <v>-5</v>
      </c>
      <c r="BA59" s="21">
        <f t="shared" si="57"/>
        <v>-5</v>
      </c>
      <c r="BB59" s="21">
        <f t="shared" si="58"/>
        <v>0</v>
      </c>
      <c r="BC59" s="21">
        <f t="shared" si="59"/>
        <v>0</v>
      </c>
      <c r="BD59" s="21">
        <f t="shared" si="60"/>
        <v>0</v>
      </c>
    </row>
    <row r="60" spans="1:56" x14ac:dyDescent="0.25">
      <c r="A60" s="17" t="s">
        <v>208</v>
      </c>
      <c r="T60" s="21"/>
      <c r="U60" s="21"/>
      <c r="V60" s="21"/>
      <c r="W60" s="21"/>
      <c r="X60" s="21"/>
      <c r="Y60" s="21"/>
      <c r="Z60" s="11"/>
      <c r="AA60" s="11"/>
      <c r="AB60" s="11"/>
      <c r="AC60" s="21"/>
      <c r="AD60" s="21"/>
      <c r="AE60" s="21"/>
      <c r="AF60" s="21"/>
      <c r="AG60" s="21"/>
      <c r="AH60" s="21"/>
      <c r="AI60" s="21"/>
      <c r="AN60" s="21"/>
      <c r="AO60" s="21"/>
      <c r="AP60" s="21">
        <f>[17]APE!$Q$261</f>
        <v>33</v>
      </c>
      <c r="AQ60" s="21">
        <f>[8]APE!$Q$346</f>
        <v>27</v>
      </c>
      <c r="AR60" s="21">
        <f>[9]APE!$Q$346</f>
        <v>72</v>
      </c>
      <c r="AS60" s="21">
        <f>[10]APE!$Q$417</f>
        <v>125</v>
      </c>
      <c r="AT60" s="21">
        <f>[11]APE!$Q$425</f>
        <v>72</v>
      </c>
      <c r="AU60" s="21"/>
      <c r="AV60" s="21"/>
      <c r="AW60" s="21"/>
      <c r="AX60" s="21"/>
      <c r="AY60" s="21"/>
      <c r="AZ60" s="21">
        <f>SUM($AN60:INDEX($AN60:$AY60,$A$3))</f>
        <v>329</v>
      </c>
      <c r="BA60" s="21">
        <f t="shared" ref="BA60" si="61">SUM(AN60:AP60)</f>
        <v>33</v>
      </c>
      <c r="BB60" s="21">
        <f t="shared" si="58"/>
        <v>224</v>
      </c>
      <c r="BC60" s="21">
        <f t="shared" si="59"/>
        <v>72</v>
      </c>
      <c r="BD60" s="21">
        <f t="shared" si="60"/>
        <v>0</v>
      </c>
    </row>
    <row r="61" spans="1:56" x14ac:dyDescent="0.25">
      <c r="A61" s="17" t="s">
        <v>201</v>
      </c>
      <c r="T61" s="21"/>
      <c r="U61" s="21"/>
      <c r="V61" s="21"/>
      <c r="W61" s="21"/>
      <c r="X61" s="21"/>
      <c r="Y61" s="21"/>
      <c r="Z61" s="11"/>
      <c r="AA61" s="11"/>
      <c r="AB61" s="11"/>
      <c r="AC61" s="21"/>
      <c r="AD61" s="21"/>
      <c r="AE61" s="21">
        <f>SUM($B61:INDEX($B61:$M61,$A$3))</f>
        <v>0</v>
      </c>
      <c r="AF61" s="21">
        <f>SUM(B61:D61)</f>
        <v>0</v>
      </c>
      <c r="AG61" s="21">
        <f>SUM(E61:G61)</f>
        <v>0</v>
      </c>
      <c r="AH61" s="21">
        <f>SUM(H61:J61)</f>
        <v>0</v>
      </c>
      <c r="AI61" s="21">
        <f>SUM(K61:M61)</f>
        <v>0</v>
      </c>
      <c r="AN61" s="21">
        <f>[15]APE!$P$142</f>
        <v>0</v>
      </c>
      <c r="AO61" s="21">
        <f>[16]APE!$P$205</f>
        <v>1</v>
      </c>
      <c r="AP61" s="21">
        <f>[17]APE!$Q$263</f>
        <v>4</v>
      </c>
      <c r="AQ61" s="21">
        <f>[8]APE!$Q$349</f>
        <v>20</v>
      </c>
      <c r="AR61" s="21">
        <f>[9]APE!$Q$349</f>
        <v>14</v>
      </c>
      <c r="AS61" s="21">
        <f>[10]APE!$Q$415</f>
        <v>2</v>
      </c>
      <c r="AT61" s="21">
        <f>[11]APE!$Q$423</f>
        <v>11</v>
      </c>
      <c r="AU61" s="21"/>
      <c r="AV61" s="21"/>
      <c r="AW61" s="21"/>
      <c r="AX61" s="21"/>
      <c r="AY61" s="21"/>
      <c r="AZ61" s="21">
        <f>SUM($AN61:INDEX($AN61:$AY61,$A$3))</f>
        <v>52</v>
      </c>
      <c r="BA61" s="21">
        <f t="shared" si="57"/>
        <v>5</v>
      </c>
      <c r="BB61" s="21">
        <f t="shared" si="58"/>
        <v>36</v>
      </c>
      <c r="BC61" s="21">
        <f t="shared" si="59"/>
        <v>11</v>
      </c>
      <c r="BD61" s="21">
        <f t="shared" si="60"/>
        <v>0</v>
      </c>
    </row>
    <row r="62" spans="1:56" x14ac:dyDescent="0.25">
      <c r="B62" s="13">
        <f>SUM(B56:B61)</f>
        <v>292</v>
      </c>
      <c r="C62" s="13">
        <f t="shared" ref="C62:AI62" si="62">SUM(C56:C61)</f>
        <v>177</v>
      </c>
      <c r="D62" s="13">
        <f t="shared" si="62"/>
        <v>482</v>
      </c>
      <c r="E62" s="13">
        <f t="shared" si="62"/>
        <v>434</v>
      </c>
      <c r="F62" s="13">
        <f t="shared" si="62"/>
        <v>394</v>
      </c>
      <c r="G62" s="13">
        <f t="shared" si="62"/>
        <v>538</v>
      </c>
      <c r="H62" s="13">
        <f t="shared" si="62"/>
        <v>539</v>
      </c>
      <c r="I62" s="13">
        <f t="shared" si="62"/>
        <v>475</v>
      </c>
      <c r="J62" s="13">
        <f t="shared" si="62"/>
        <v>580</v>
      </c>
      <c r="K62" s="13">
        <f t="shared" si="62"/>
        <v>784</v>
      </c>
      <c r="L62" s="13">
        <f t="shared" si="62"/>
        <v>996</v>
      </c>
      <c r="M62" s="13">
        <f t="shared" si="62"/>
        <v>1029</v>
      </c>
      <c r="N62" s="13">
        <f t="shared" si="62"/>
        <v>408</v>
      </c>
      <c r="O62" s="13">
        <f t="shared" si="62"/>
        <v>674</v>
      </c>
      <c r="P62" s="13">
        <f t="shared" si="62"/>
        <v>862</v>
      </c>
      <c r="Q62" s="13">
        <f t="shared" si="62"/>
        <v>753</v>
      </c>
      <c r="R62" s="13">
        <f t="shared" si="62"/>
        <v>909</v>
      </c>
      <c r="S62" s="13">
        <f t="shared" si="62"/>
        <v>903</v>
      </c>
      <c r="T62" s="22">
        <f t="shared" si="62"/>
        <v>782</v>
      </c>
      <c r="U62" s="22">
        <f t="shared" si="62"/>
        <v>1149</v>
      </c>
      <c r="V62" s="22">
        <f t="shared" si="62"/>
        <v>1172</v>
      </c>
      <c r="W62" s="22">
        <f t="shared" si="62"/>
        <v>1289</v>
      </c>
      <c r="X62" s="22">
        <f t="shared" si="62"/>
        <v>950</v>
      </c>
      <c r="Y62" s="22">
        <f t="shared" si="62"/>
        <v>1574</v>
      </c>
      <c r="Z62" s="13">
        <f t="shared" si="62"/>
        <v>5291</v>
      </c>
      <c r="AA62" s="13">
        <f t="shared" si="62"/>
        <v>1944</v>
      </c>
      <c r="AB62" s="13">
        <f t="shared" si="62"/>
        <v>2565</v>
      </c>
      <c r="AC62" s="22">
        <f t="shared" si="62"/>
        <v>3103</v>
      </c>
      <c r="AD62" s="22">
        <f t="shared" si="62"/>
        <v>3813</v>
      </c>
      <c r="AE62" s="22">
        <f t="shared" si="62"/>
        <v>2856</v>
      </c>
      <c r="AF62" s="22">
        <f t="shared" si="62"/>
        <v>951</v>
      </c>
      <c r="AG62" s="22">
        <f t="shared" si="62"/>
        <v>1366</v>
      </c>
      <c r="AH62" s="22">
        <f t="shared" si="62"/>
        <v>1594</v>
      </c>
      <c r="AI62" s="22">
        <f t="shared" si="62"/>
        <v>2809</v>
      </c>
      <c r="AN62" s="22">
        <f t="shared" ref="AN62:BD62" si="63">SUM(AN56:AN61)</f>
        <v>754</v>
      </c>
      <c r="AO62" s="22">
        <f t="shared" si="63"/>
        <v>1240</v>
      </c>
      <c r="AP62" s="22">
        <f t="shared" si="63"/>
        <v>1423</v>
      </c>
      <c r="AQ62" s="22">
        <f t="shared" si="63"/>
        <v>1288</v>
      </c>
      <c r="AR62" s="22">
        <f t="shared" si="63"/>
        <v>1574</v>
      </c>
      <c r="AS62" s="22">
        <f t="shared" si="63"/>
        <v>1309</v>
      </c>
      <c r="AT62" s="22">
        <f t="shared" si="63"/>
        <v>1478</v>
      </c>
      <c r="AU62" s="22">
        <f t="shared" si="63"/>
        <v>0</v>
      </c>
      <c r="AV62" s="22">
        <f t="shared" si="63"/>
        <v>0</v>
      </c>
      <c r="AW62" s="22">
        <f t="shared" si="63"/>
        <v>0</v>
      </c>
      <c r="AX62" s="22">
        <f t="shared" si="63"/>
        <v>0</v>
      </c>
      <c r="AY62" s="22">
        <f t="shared" si="63"/>
        <v>0</v>
      </c>
      <c r="AZ62" s="22">
        <f t="shared" si="63"/>
        <v>9066</v>
      </c>
      <c r="BA62" s="22">
        <f t="shared" si="63"/>
        <v>3417</v>
      </c>
      <c r="BB62" s="22">
        <f t="shared" si="63"/>
        <v>4171</v>
      </c>
      <c r="BC62" s="22">
        <f t="shared" si="63"/>
        <v>1478</v>
      </c>
      <c r="BD62" s="22">
        <f t="shared" si="63"/>
        <v>0</v>
      </c>
    </row>
    <row r="64" spans="1:56" s="9" customFormat="1" x14ac:dyDescent="0.25">
      <c r="A64" s="9" t="s">
        <v>55</v>
      </c>
      <c r="B64" s="18">
        <v>1501</v>
      </c>
      <c r="C64" s="18">
        <v>1502</v>
      </c>
      <c r="D64" s="18">
        <v>1503</v>
      </c>
      <c r="E64" s="18">
        <v>1504</v>
      </c>
      <c r="F64" s="18">
        <v>1505</v>
      </c>
      <c r="G64" s="18">
        <v>1506</v>
      </c>
      <c r="H64" s="18">
        <v>1507</v>
      </c>
      <c r="I64" s="18">
        <v>1508</v>
      </c>
      <c r="J64" s="18">
        <v>1509</v>
      </c>
      <c r="K64" s="18">
        <v>1510</v>
      </c>
      <c r="L64" s="18">
        <v>1511</v>
      </c>
      <c r="M64" s="18">
        <v>1512</v>
      </c>
      <c r="N64" s="18">
        <v>1601</v>
      </c>
      <c r="O64" s="18">
        <v>1602</v>
      </c>
      <c r="P64" s="18">
        <v>1603</v>
      </c>
      <c r="Q64" s="18">
        <v>1604</v>
      </c>
      <c r="R64" s="18">
        <v>1605</v>
      </c>
      <c r="S64" s="18">
        <v>1606</v>
      </c>
      <c r="T64" s="18">
        <v>1607</v>
      </c>
      <c r="U64" s="18">
        <v>1608</v>
      </c>
      <c r="V64" s="18">
        <v>1609</v>
      </c>
      <c r="W64" s="18">
        <v>1610</v>
      </c>
      <c r="X64" s="18">
        <v>1611</v>
      </c>
      <c r="Y64" s="18">
        <v>1612</v>
      </c>
      <c r="Z64" s="19" t="s">
        <v>52</v>
      </c>
      <c r="AA64" s="19" t="s">
        <v>56</v>
      </c>
      <c r="AB64" s="19" t="s">
        <v>57</v>
      </c>
      <c r="AC64" s="19" t="s">
        <v>58</v>
      </c>
      <c r="AD64" s="19" t="s">
        <v>59</v>
      </c>
      <c r="AE64" s="20" t="s">
        <v>53</v>
      </c>
      <c r="AF64" s="20" t="s">
        <v>60</v>
      </c>
      <c r="AG64" s="20" t="s">
        <v>61</v>
      </c>
      <c r="AH64" s="20" t="s">
        <v>62</v>
      </c>
      <c r="AI64" s="20" t="s">
        <v>63</v>
      </c>
      <c r="AN64" s="18">
        <v>1701</v>
      </c>
      <c r="AO64" s="18">
        <v>1702</v>
      </c>
      <c r="AP64" s="18">
        <v>1703</v>
      </c>
      <c r="AQ64" s="18">
        <v>1704</v>
      </c>
      <c r="AR64" s="18">
        <v>1705</v>
      </c>
      <c r="AS64" s="18">
        <v>1706</v>
      </c>
      <c r="AT64" s="18">
        <v>1707</v>
      </c>
      <c r="AU64" s="18">
        <v>1708</v>
      </c>
      <c r="AV64" s="18">
        <v>1709</v>
      </c>
      <c r="AW64" s="18">
        <v>1710</v>
      </c>
      <c r="AX64" s="18">
        <v>1711</v>
      </c>
      <c r="AY64" s="18">
        <v>1712</v>
      </c>
      <c r="AZ64" s="19" t="s">
        <v>184</v>
      </c>
      <c r="BA64" s="19" t="s">
        <v>185</v>
      </c>
      <c r="BB64" s="19" t="s">
        <v>186</v>
      </c>
      <c r="BC64" s="19" t="s">
        <v>187</v>
      </c>
      <c r="BD64" s="19" t="s">
        <v>188</v>
      </c>
    </row>
    <row r="65" spans="1:56" x14ac:dyDescent="0.25">
      <c r="A65" s="17" t="s">
        <v>71</v>
      </c>
      <c r="B65" s="8">
        <f t="shared" ref="B65:AI65" si="64">IFERROR(B56/B47,"")</f>
        <v>0.79487179487179482</v>
      </c>
      <c r="C65" s="8">
        <f t="shared" si="64"/>
        <v>0.39285714285714285</v>
      </c>
      <c r="D65" s="8">
        <f t="shared" si="64"/>
        <v>0.73118279569892475</v>
      </c>
      <c r="E65" s="8">
        <f t="shared" si="64"/>
        <v>0.58490566037735847</v>
      </c>
      <c r="F65" s="8">
        <f t="shared" si="64"/>
        <v>0.39726027397260272</v>
      </c>
      <c r="G65" s="8">
        <f t="shared" si="64"/>
        <v>0.71875</v>
      </c>
      <c r="H65" s="8">
        <f t="shared" si="64"/>
        <v>0.74358974358974361</v>
      </c>
      <c r="I65" s="8">
        <f t="shared" si="64"/>
        <v>0.83333333333333337</v>
      </c>
      <c r="J65" s="8">
        <f t="shared" si="64"/>
        <v>0.75862068965517238</v>
      </c>
      <c r="K65" s="8">
        <f t="shared" si="64"/>
        <v>-7.6923076923076927E-2</v>
      </c>
      <c r="L65" s="8">
        <f t="shared" si="64"/>
        <v>0</v>
      </c>
      <c r="M65" s="8" t="str">
        <f t="shared" si="64"/>
        <v/>
      </c>
      <c r="N65" s="8">
        <f t="shared" si="64"/>
        <v>0</v>
      </c>
      <c r="O65" s="8" t="str">
        <f t="shared" si="64"/>
        <v/>
      </c>
      <c r="P65" s="8">
        <f t="shared" si="64"/>
        <v>0</v>
      </c>
      <c r="Q65" s="8" t="str">
        <f t="shared" si="64"/>
        <v/>
      </c>
      <c r="R65" s="8" t="str">
        <f t="shared" si="64"/>
        <v/>
      </c>
      <c r="S65" s="8">
        <f t="shared" si="64"/>
        <v>0</v>
      </c>
      <c r="T65" s="8" t="str">
        <f t="shared" si="64"/>
        <v/>
      </c>
      <c r="U65" s="8">
        <f t="shared" si="64"/>
        <v>0</v>
      </c>
      <c r="V65" s="8" t="str">
        <f t="shared" si="64"/>
        <v/>
      </c>
      <c r="W65" s="8" t="str">
        <f t="shared" si="64"/>
        <v/>
      </c>
      <c r="X65" s="8" t="str">
        <f t="shared" si="64"/>
        <v/>
      </c>
      <c r="Y65" s="8" t="str">
        <f t="shared" si="64"/>
        <v/>
      </c>
      <c r="Z65" s="8">
        <f t="shared" si="64"/>
        <v>0</v>
      </c>
      <c r="AA65" s="8">
        <f t="shared" si="64"/>
        <v>0</v>
      </c>
      <c r="AB65" s="8">
        <f t="shared" si="64"/>
        <v>0</v>
      </c>
      <c r="AC65" s="8">
        <f t="shared" si="64"/>
        <v>0</v>
      </c>
      <c r="AD65" s="8" t="str">
        <f t="shared" si="64"/>
        <v/>
      </c>
      <c r="AE65" s="8">
        <f t="shared" si="64"/>
        <v>0.63793103448275867</v>
      </c>
      <c r="AF65" s="8">
        <f t="shared" si="64"/>
        <v>0.66960352422907488</v>
      </c>
      <c r="AG65" s="8">
        <f t="shared" si="64"/>
        <v>0.58181818181818179</v>
      </c>
      <c r="AH65" s="8">
        <f t="shared" si="64"/>
        <v>0.77573529411764708</v>
      </c>
      <c r="AI65" s="8">
        <f t="shared" si="64"/>
        <v>-7.1428571428571425E-2</v>
      </c>
      <c r="AN65" s="8" t="str">
        <f t="shared" ref="AN65:BD65" si="65">IFERROR(AN56/AN47,"")</f>
        <v/>
      </c>
      <c r="AO65" s="8" t="str">
        <f t="shared" si="65"/>
        <v/>
      </c>
      <c r="AP65" s="8" t="str">
        <f t="shared" si="65"/>
        <v/>
      </c>
      <c r="AQ65" s="8">
        <f t="shared" si="65"/>
        <v>1</v>
      </c>
      <c r="AR65" s="8">
        <f t="shared" si="65"/>
        <v>0.75</v>
      </c>
      <c r="AS65" s="8">
        <f t="shared" si="65"/>
        <v>1.75</v>
      </c>
      <c r="AT65" s="8">
        <f>IFERROR(AT56/AT47,"")</f>
        <v>2.5</v>
      </c>
      <c r="AU65" s="8" t="str">
        <f t="shared" si="65"/>
        <v/>
      </c>
      <c r="AV65" s="8" t="str">
        <f t="shared" si="65"/>
        <v/>
      </c>
      <c r="AW65" s="8" t="str">
        <f t="shared" si="65"/>
        <v/>
      </c>
      <c r="AX65" s="8" t="str">
        <f t="shared" si="65"/>
        <v/>
      </c>
      <c r="AY65" s="8" t="str">
        <f t="shared" si="65"/>
        <v/>
      </c>
      <c r="AZ65" s="8">
        <f t="shared" si="65"/>
        <v>1.8461538461538463</v>
      </c>
      <c r="BA65" s="8" t="str">
        <f t="shared" si="65"/>
        <v/>
      </c>
      <c r="BB65" s="8">
        <f t="shared" si="65"/>
        <v>1.2857142857142858</v>
      </c>
      <c r="BC65" s="8">
        <f t="shared" si="65"/>
        <v>2.5</v>
      </c>
      <c r="BD65" s="8" t="str">
        <f t="shared" si="65"/>
        <v/>
      </c>
    </row>
    <row r="66" spans="1:56" x14ac:dyDescent="0.25">
      <c r="A66" s="17" t="s">
        <v>47</v>
      </c>
      <c r="B66" s="8">
        <f t="shared" ref="B66:AI66" si="66">IFERROR(B57/B48,"")</f>
        <v>1.0267857142857142</v>
      </c>
      <c r="C66" s="8">
        <f t="shared" si="66"/>
        <v>1.1832061068702291</v>
      </c>
      <c r="D66" s="8">
        <f t="shared" si="66"/>
        <v>1.0024213075060533</v>
      </c>
      <c r="E66" s="8">
        <f t="shared" si="66"/>
        <v>0.95876288659793818</v>
      </c>
      <c r="F66" s="8">
        <f t="shared" si="66"/>
        <v>1.0252808988764044</v>
      </c>
      <c r="G66" s="8">
        <f t="shared" si="66"/>
        <v>0.96701030927835052</v>
      </c>
      <c r="H66" s="8">
        <f t="shared" si="66"/>
        <v>1.0020833333333334</v>
      </c>
      <c r="I66" s="8">
        <f t="shared" si="66"/>
        <v>0.96473551637279598</v>
      </c>
      <c r="J66" s="8">
        <f t="shared" si="66"/>
        <v>0.94297352342158858</v>
      </c>
      <c r="K66" s="8">
        <f t="shared" si="66"/>
        <v>0.99572039942938662</v>
      </c>
      <c r="L66" s="8">
        <f t="shared" si="66"/>
        <v>0.96170212765957441</v>
      </c>
      <c r="M66" s="8">
        <f t="shared" si="66"/>
        <v>0.89834024896265563</v>
      </c>
      <c r="N66" s="8">
        <f t="shared" si="66"/>
        <v>0.93036211699164351</v>
      </c>
      <c r="O66" s="8">
        <f t="shared" si="66"/>
        <v>1.1988636363636365</v>
      </c>
      <c r="P66" s="8">
        <f t="shared" si="66"/>
        <v>0.93434935521688156</v>
      </c>
      <c r="Q66" s="8">
        <f t="shared" si="66"/>
        <v>1.0071022727272727</v>
      </c>
      <c r="R66" s="8">
        <f t="shared" si="66"/>
        <v>1.0080183276059564</v>
      </c>
      <c r="S66" s="8">
        <f t="shared" si="66"/>
        <v>0.96784922394678496</v>
      </c>
      <c r="T66" s="8">
        <f t="shared" si="66"/>
        <v>1.0456989247311828</v>
      </c>
      <c r="U66" s="8">
        <f t="shared" si="66"/>
        <v>0.96467991169977929</v>
      </c>
      <c r="V66" s="8">
        <f t="shared" si="66"/>
        <v>1.0243632336655593</v>
      </c>
      <c r="W66" s="8">
        <f t="shared" si="66"/>
        <v>0.96767466110531808</v>
      </c>
      <c r="X66" s="8">
        <f t="shared" si="66"/>
        <v>1.0548340548340549</v>
      </c>
      <c r="Y66" s="8">
        <f t="shared" si="66"/>
        <v>1.0238853503184713</v>
      </c>
      <c r="Z66" s="8">
        <f t="shared" si="66"/>
        <v>1.0082611323796091</v>
      </c>
      <c r="AA66" s="8">
        <f t="shared" si="66"/>
        <v>1.0137931034482759</v>
      </c>
      <c r="AB66" s="8">
        <f t="shared" si="66"/>
        <v>0.99314239612747079</v>
      </c>
      <c r="AC66" s="8">
        <f t="shared" si="66"/>
        <v>1.009400705052879</v>
      </c>
      <c r="AD66" s="8">
        <f t="shared" si="66"/>
        <v>1.0127235213204953</v>
      </c>
      <c r="AE66" s="8">
        <f t="shared" si="66"/>
        <v>1.0036334275333063</v>
      </c>
      <c r="AF66" s="8">
        <f t="shared" si="66"/>
        <v>1.0403645833333333</v>
      </c>
      <c r="AG66" s="8">
        <f t="shared" si="66"/>
        <v>0.98128559804719284</v>
      </c>
      <c r="AH66" s="8">
        <f t="shared" si="66"/>
        <v>0.97002923976608191</v>
      </c>
      <c r="AI66" s="8">
        <f t="shared" si="66"/>
        <v>0.94740882917466407</v>
      </c>
      <c r="AN66" s="8">
        <f t="shared" ref="AN66:BD66" si="67">IFERROR(AN57/AN48,"")</f>
        <v>1.0940499040307101</v>
      </c>
      <c r="AO66" s="8">
        <f t="shared" si="67"/>
        <v>1.0127620783956244</v>
      </c>
      <c r="AP66" s="8">
        <f t="shared" si="67"/>
        <v>0.86138613861386137</v>
      </c>
      <c r="AQ66" s="8">
        <f t="shared" si="67"/>
        <v>1.0974842767295598</v>
      </c>
      <c r="AR66" s="8">
        <f t="shared" si="67"/>
        <v>1.6563706563706564</v>
      </c>
      <c r="AS66" s="8">
        <f t="shared" si="67"/>
        <v>1.5459770114942528</v>
      </c>
      <c r="AT66" s="8">
        <f t="shared" si="67"/>
        <v>1.5743855109961191</v>
      </c>
      <c r="AU66" s="8" t="str">
        <f t="shared" si="67"/>
        <v/>
      </c>
      <c r="AV66" s="8" t="str">
        <f t="shared" si="67"/>
        <v/>
      </c>
      <c r="AW66" s="8" t="str">
        <f t="shared" si="67"/>
        <v/>
      </c>
      <c r="AX66" s="8" t="str">
        <f t="shared" si="67"/>
        <v/>
      </c>
      <c r="AY66" s="8" t="str">
        <f t="shared" si="67"/>
        <v/>
      </c>
      <c r="AZ66" s="8">
        <f t="shared" si="67"/>
        <v>1.2192371475953565</v>
      </c>
      <c r="BA66" s="8">
        <f t="shared" si="67"/>
        <v>0.96289752650176674</v>
      </c>
      <c r="BB66" s="8">
        <f t="shared" si="67"/>
        <v>1.4050267820354347</v>
      </c>
      <c r="BC66" s="8">
        <f t="shared" si="67"/>
        <v>1.5743855109961191</v>
      </c>
      <c r="BD66" s="8" t="str">
        <f t="shared" si="67"/>
        <v/>
      </c>
    </row>
    <row r="67" spans="1:56" x14ac:dyDescent="0.25">
      <c r="A67" s="17" t="s">
        <v>116</v>
      </c>
      <c r="B67" s="8" t="str">
        <f t="shared" ref="B67:AI67" si="68">IFERROR(B58/B49,"")</f>
        <v/>
      </c>
      <c r="C67" s="8" t="str">
        <f t="shared" si="68"/>
        <v/>
      </c>
      <c r="D67" s="8" t="str">
        <f t="shared" si="68"/>
        <v/>
      </c>
      <c r="E67" s="8" t="str">
        <f t="shared" si="68"/>
        <v/>
      </c>
      <c r="F67" s="8" t="str">
        <f t="shared" si="68"/>
        <v/>
      </c>
      <c r="G67" s="8" t="str">
        <f t="shared" si="68"/>
        <v/>
      </c>
      <c r="H67" s="8" t="str">
        <f t="shared" si="68"/>
        <v/>
      </c>
      <c r="I67" s="8" t="str">
        <f t="shared" si="68"/>
        <v/>
      </c>
      <c r="J67" s="8" t="str">
        <f t="shared" si="68"/>
        <v/>
      </c>
      <c r="K67" s="8" t="str">
        <f t="shared" si="68"/>
        <v/>
      </c>
      <c r="L67" s="8" t="str">
        <f t="shared" si="68"/>
        <v/>
      </c>
      <c r="M67" s="8" t="str">
        <f t="shared" si="68"/>
        <v/>
      </c>
      <c r="N67" s="8" t="str">
        <f t="shared" si="68"/>
        <v/>
      </c>
      <c r="O67" s="8" t="str">
        <f t="shared" si="68"/>
        <v/>
      </c>
      <c r="P67" s="8" t="str">
        <f t="shared" si="68"/>
        <v/>
      </c>
      <c r="Q67" s="8" t="str">
        <f t="shared" si="68"/>
        <v/>
      </c>
      <c r="R67" s="8" t="str">
        <f t="shared" si="68"/>
        <v/>
      </c>
      <c r="S67" s="8" t="str">
        <f t="shared" si="68"/>
        <v/>
      </c>
      <c r="T67" s="8" t="str">
        <f t="shared" si="68"/>
        <v/>
      </c>
      <c r="U67" s="8">
        <f t="shared" si="68"/>
        <v>1.3095238095238095</v>
      </c>
      <c r="V67" s="8">
        <f t="shared" si="68"/>
        <v>1.1128205128205129</v>
      </c>
      <c r="W67" s="8">
        <f t="shared" si="68"/>
        <v>1.0588235294117647</v>
      </c>
      <c r="X67" s="8">
        <f t="shared" si="68"/>
        <v>0.91044776119402981</v>
      </c>
      <c r="Y67" s="8">
        <f t="shared" si="68"/>
        <v>0.99293286219081267</v>
      </c>
      <c r="Z67" s="8" t="str">
        <f t="shared" si="68"/>
        <v/>
      </c>
      <c r="AA67" s="8" t="str">
        <f t="shared" si="68"/>
        <v/>
      </c>
      <c r="AB67" s="8" t="str">
        <f t="shared" si="68"/>
        <v/>
      </c>
      <c r="AC67" s="8">
        <f t="shared" si="68"/>
        <v>1.2148148148148148</v>
      </c>
      <c r="AD67" s="8">
        <f t="shared" si="68"/>
        <v>0.99746835443037973</v>
      </c>
      <c r="AE67" s="8" t="str">
        <f t="shared" si="68"/>
        <v/>
      </c>
      <c r="AF67" s="8" t="str">
        <f t="shared" si="68"/>
        <v/>
      </c>
      <c r="AG67" s="8" t="str">
        <f t="shared" si="68"/>
        <v/>
      </c>
      <c r="AH67" s="8" t="str">
        <f t="shared" si="68"/>
        <v/>
      </c>
      <c r="AI67" s="8" t="str">
        <f t="shared" si="68"/>
        <v/>
      </c>
      <c r="AN67" s="8">
        <f t="shared" ref="AN67:BD67" si="69">IFERROR(AN58/AN49,"")</f>
        <v>1.2516556291390728</v>
      </c>
      <c r="AO67" s="8">
        <f t="shared" si="69"/>
        <v>0.64321608040201006</v>
      </c>
      <c r="AP67" s="8">
        <f t="shared" si="69"/>
        <v>0.98275862068965514</v>
      </c>
      <c r="AQ67" s="8">
        <f t="shared" si="69"/>
        <v>0.8441558441558441</v>
      </c>
      <c r="AR67" s="8">
        <f t="shared" si="69"/>
        <v>1.0819672131147542</v>
      </c>
      <c r="AS67" s="8">
        <f t="shared" si="69"/>
        <v>1.2073170731707317</v>
      </c>
      <c r="AT67" s="8">
        <f t="shared" si="69"/>
        <v>1.8314606741573034</v>
      </c>
      <c r="AU67" s="8" t="str">
        <f t="shared" si="69"/>
        <v/>
      </c>
      <c r="AV67" s="8" t="str">
        <f t="shared" si="69"/>
        <v/>
      </c>
      <c r="AW67" s="8" t="str">
        <f t="shared" si="69"/>
        <v/>
      </c>
      <c r="AX67" s="8" t="str">
        <f t="shared" si="69"/>
        <v/>
      </c>
      <c r="AY67" s="8" t="str">
        <f t="shared" si="69"/>
        <v/>
      </c>
      <c r="AZ67" s="8">
        <f t="shared" si="69"/>
        <v>1.024162120031177</v>
      </c>
      <c r="BA67" s="8">
        <f t="shared" si="69"/>
        <v>0.94412607449856734</v>
      </c>
      <c r="BB67" s="8">
        <f t="shared" si="69"/>
        <v>0.99193548387096775</v>
      </c>
      <c r="BC67" s="8">
        <f t="shared" si="69"/>
        <v>1.8314606741573034</v>
      </c>
      <c r="BD67" s="8" t="str">
        <f t="shared" si="69"/>
        <v/>
      </c>
    </row>
    <row r="68" spans="1:56" x14ac:dyDescent="0.25">
      <c r="A68" s="17" t="s">
        <v>48</v>
      </c>
      <c r="B68" s="8" t="str">
        <f t="shared" ref="B68:AI68" si="70">IFERROR(B59/B50,"")</f>
        <v/>
      </c>
      <c r="C68" s="8" t="str">
        <f t="shared" si="70"/>
        <v/>
      </c>
      <c r="D68" s="8" t="str">
        <f t="shared" si="70"/>
        <v/>
      </c>
      <c r="E68" s="8" t="str">
        <f t="shared" si="70"/>
        <v/>
      </c>
      <c r="F68" s="8" t="str">
        <f t="shared" si="70"/>
        <v/>
      </c>
      <c r="G68" s="8" t="str">
        <f t="shared" si="70"/>
        <v/>
      </c>
      <c r="H68" s="8">
        <f t="shared" si="70"/>
        <v>0</v>
      </c>
      <c r="I68" s="8">
        <f t="shared" si="70"/>
        <v>0.75</v>
      </c>
      <c r="J68" s="8">
        <f t="shared" si="70"/>
        <v>0.63043478260869568</v>
      </c>
      <c r="K68" s="8">
        <f t="shared" si="70"/>
        <v>0.73913043478260865</v>
      </c>
      <c r="L68" s="8">
        <f t="shared" si="70"/>
        <v>0.6344827586206897</v>
      </c>
      <c r="M68" s="8">
        <f t="shared" si="70"/>
        <v>0.93142857142857138</v>
      </c>
      <c r="N68" s="8">
        <f t="shared" si="70"/>
        <v>0.72549019607843135</v>
      </c>
      <c r="O68" s="8">
        <f t="shared" si="70"/>
        <v>0.7192982456140351</v>
      </c>
      <c r="P68" s="8">
        <f t="shared" si="70"/>
        <v>0.94202898550724634</v>
      </c>
      <c r="Q68" s="8">
        <f t="shared" si="70"/>
        <v>0.89795918367346939</v>
      </c>
      <c r="R68" s="8">
        <f t="shared" si="70"/>
        <v>0.53703703703703709</v>
      </c>
      <c r="S68" s="8">
        <f t="shared" si="70"/>
        <v>1.1538461538461537</v>
      </c>
      <c r="T68" s="8">
        <f t="shared" si="70"/>
        <v>1.3333333333333333</v>
      </c>
      <c r="U68" s="8">
        <f t="shared" si="70"/>
        <v>0</v>
      </c>
      <c r="V68" s="8">
        <f t="shared" si="70"/>
        <v>0.65217391304347827</v>
      </c>
      <c r="W68" s="8">
        <f t="shared" si="70"/>
        <v>1.3214285714285714</v>
      </c>
      <c r="X68" s="8">
        <f t="shared" si="70"/>
        <v>1.2413793103448276</v>
      </c>
      <c r="Y68" s="8">
        <f t="shared" si="70"/>
        <v>0.77777777777777779</v>
      </c>
      <c r="Z68" s="8">
        <f t="shared" si="70"/>
        <v>0.79722222222222228</v>
      </c>
      <c r="AA68" s="8">
        <f t="shared" si="70"/>
        <v>0.78947368421052633</v>
      </c>
      <c r="AB68" s="8">
        <f t="shared" si="70"/>
        <v>0.79844961240310075</v>
      </c>
      <c r="AC68" s="8">
        <f t="shared" si="70"/>
        <v>0.33663366336633666</v>
      </c>
      <c r="AD68" s="8">
        <f t="shared" si="70"/>
        <v>1.2121212121212122</v>
      </c>
      <c r="AE68" s="8">
        <f t="shared" si="70"/>
        <v>0</v>
      </c>
      <c r="AF68" s="8" t="str">
        <f t="shared" si="70"/>
        <v/>
      </c>
      <c r="AG68" s="8" t="str">
        <f t="shared" si="70"/>
        <v/>
      </c>
      <c r="AH68" s="8">
        <f t="shared" si="70"/>
        <v>0.67469879518072284</v>
      </c>
      <c r="AI68" s="8">
        <f t="shared" si="70"/>
        <v>0.7816091954022989</v>
      </c>
      <c r="AN68" s="8">
        <f t="shared" ref="AN68:BD68" si="71">IFERROR(AN59/AN50,"")</f>
        <v>0.83333333333333337</v>
      </c>
      <c r="AO68" s="8" t="str">
        <f t="shared" si="71"/>
        <v/>
      </c>
      <c r="AP68" s="8" t="str">
        <f t="shared" si="71"/>
        <v/>
      </c>
      <c r="AQ68" s="8" t="str">
        <f t="shared" si="71"/>
        <v/>
      </c>
      <c r="AR68" s="8" t="str">
        <f t="shared" si="71"/>
        <v/>
      </c>
      <c r="AS68" s="8" t="str">
        <f t="shared" si="71"/>
        <v/>
      </c>
      <c r="AT68" s="8" t="str">
        <f t="shared" si="71"/>
        <v/>
      </c>
      <c r="AU68" s="8" t="str">
        <f t="shared" si="71"/>
        <v/>
      </c>
      <c r="AV68" s="8" t="str">
        <f t="shared" si="71"/>
        <v/>
      </c>
      <c r="AW68" s="8" t="str">
        <f t="shared" si="71"/>
        <v/>
      </c>
      <c r="AX68" s="8" t="str">
        <f t="shared" si="71"/>
        <v/>
      </c>
      <c r="AY68" s="8" t="str">
        <f t="shared" si="71"/>
        <v/>
      </c>
      <c r="AZ68" s="8">
        <f t="shared" si="71"/>
        <v>0.83333333333333337</v>
      </c>
      <c r="BA68" s="8">
        <f t="shared" si="71"/>
        <v>0.83333333333333337</v>
      </c>
      <c r="BB68" s="8" t="str">
        <f t="shared" si="71"/>
        <v/>
      </c>
      <c r="BC68" s="8" t="str">
        <f t="shared" si="71"/>
        <v/>
      </c>
      <c r="BD68" s="8" t="str">
        <f t="shared" si="71"/>
        <v/>
      </c>
    </row>
    <row r="69" spans="1:56" x14ac:dyDescent="0.25">
      <c r="A69" s="17" t="s">
        <v>208</v>
      </c>
      <c r="B69" s="8" t="str">
        <f t="shared" ref="B69:L69" si="72">IFERROR(B60/B51,"")</f>
        <v/>
      </c>
      <c r="C69" s="8" t="str">
        <f t="shared" si="72"/>
        <v/>
      </c>
      <c r="D69" s="8" t="str">
        <f t="shared" si="72"/>
        <v/>
      </c>
      <c r="E69" s="8" t="str">
        <f t="shared" si="72"/>
        <v/>
      </c>
      <c r="F69" s="8" t="str">
        <f t="shared" si="72"/>
        <v/>
      </c>
      <c r="G69" s="8" t="str">
        <f t="shared" si="72"/>
        <v/>
      </c>
      <c r="H69" s="8" t="str">
        <f t="shared" si="72"/>
        <v/>
      </c>
      <c r="I69" s="8" t="str">
        <f t="shared" si="72"/>
        <v/>
      </c>
      <c r="J69" s="8" t="str">
        <f t="shared" si="72"/>
        <v/>
      </c>
      <c r="K69" s="8" t="str">
        <f t="shared" si="72"/>
        <v/>
      </c>
      <c r="L69" s="8" t="str">
        <f t="shared" si="72"/>
        <v/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N69" s="8"/>
      <c r="AO69" s="8" t="str">
        <f t="shared" ref="AO69:BD69" si="73">IFERROR(AO60/AO51,"")</f>
        <v/>
      </c>
      <c r="AP69" s="8">
        <f t="shared" si="73"/>
        <v>0.76744186046511631</v>
      </c>
      <c r="AQ69" s="8">
        <f t="shared" si="73"/>
        <v>0.46551724137931033</v>
      </c>
      <c r="AR69" s="8">
        <f t="shared" si="73"/>
        <v>1.3584905660377358</v>
      </c>
      <c r="AS69" s="8">
        <f t="shared" si="73"/>
        <v>1.3888888888888888</v>
      </c>
      <c r="AT69" s="8">
        <f t="shared" si="73"/>
        <v>2</v>
      </c>
      <c r="AU69" s="8" t="str">
        <f t="shared" si="73"/>
        <v/>
      </c>
      <c r="AV69" s="8" t="str">
        <f t="shared" si="73"/>
        <v/>
      </c>
      <c r="AW69" s="8" t="str">
        <f t="shared" si="73"/>
        <v/>
      </c>
      <c r="AX69" s="8" t="str">
        <f t="shared" si="73"/>
        <v/>
      </c>
      <c r="AY69" s="8" t="str">
        <f t="shared" si="73"/>
        <v/>
      </c>
      <c r="AZ69" s="8">
        <f t="shared" si="73"/>
        <v>1.175</v>
      </c>
      <c r="BA69" s="8">
        <f t="shared" si="73"/>
        <v>0.76744186046511631</v>
      </c>
      <c r="BB69" s="8">
        <f t="shared" si="73"/>
        <v>1.1144278606965174</v>
      </c>
      <c r="BC69" s="8">
        <f t="shared" si="73"/>
        <v>2</v>
      </c>
      <c r="BD69" s="8" t="str">
        <f t="shared" si="73"/>
        <v/>
      </c>
    </row>
    <row r="70" spans="1:56" x14ac:dyDescent="0.25">
      <c r="A70" s="17" t="s">
        <v>201</v>
      </c>
      <c r="B70" s="8" t="str">
        <f t="shared" ref="B70:L70" si="74">IFERROR(B61/B52,"")</f>
        <v/>
      </c>
      <c r="C70" s="8" t="str">
        <f t="shared" si="74"/>
        <v/>
      </c>
      <c r="D70" s="8" t="str">
        <f t="shared" si="74"/>
        <v/>
      </c>
      <c r="E70" s="8" t="str">
        <f t="shared" si="74"/>
        <v/>
      </c>
      <c r="F70" s="8" t="str">
        <f t="shared" si="74"/>
        <v/>
      </c>
      <c r="G70" s="8" t="str">
        <f t="shared" si="74"/>
        <v/>
      </c>
      <c r="H70" s="8" t="str">
        <f t="shared" si="74"/>
        <v/>
      </c>
      <c r="I70" s="8" t="str">
        <f t="shared" si="74"/>
        <v/>
      </c>
      <c r="J70" s="8" t="str">
        <f t="shared" si="74"/>
        <v/>
      </c>
      <c r="K70" s="8" t="str">
        <f t="shared" si="74"/>
        <v/>
      </c>
      <c r="L70" s="8" t="str">
        <f t="shared" si="74"/>
        <v/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N70" s="8"/>
      <c r="AO70" s="8">
        <f t="shared" ref="AO70:BD70" si="75">IFERROR(AO61/AO52,"")</f>
        <v>0.1111111111111111</v>
      </c>
      <c r="AP70" s="8">
        <f t="shared" si="75"/>
        <v>0.30769230769230771</v>
      </c>
      <c r="AQ70" s="8">
        <f t="shared" si="75"/>
        <v>1.4285714285714286</v>
      </c>
      <c r="AR70" s="8">
        <f t="shared" si="75"/>
        <v>0.66666666666666663</v>
      </c>
      <c r="AS70" s="8">
        <f t="shared" si="75"/>
        <v>0.4</v>
      </c>
      <c r="AT70" s="8">
        <f>IFERROR(AT61/AT52,"")</f>
        <v>1.375</v>
      </c>
      <c r="AU70" s="8" t="str">
        <f t="shared" si="75"/>
        <v/>
      </c>
      <c r="AV70" s="8" t="str">
        <f t="shared" si="75"/>
        <v/>
      </c>
      <c r="AW70" s="8" t="str">
        <f t="shared" si="75"/>
        <v/>
      </c>
      <c r="AX70" s="8" t="str">
        <f t="shared" si="75"/>
        <v/>
      </c>
      <c r="AY70" s="8" t="str">
        <f t="shared" si="75"/>
        <v/>
      </c>
      <c r="AZ70" s="8">
        <f t="shared" si="75"/>
        <v>0.73239436619718312</v>
      </c>
      <c r="BA70" s="8">
        <f t="shared" si="75"/>
        <v>0.21739130434782608</v>
      </c>
      <c r="BB70" s="8">
        <f t="shared" si="75"/>
        <v>0.9</v>
      </c>
      <c r="BC70" s="8">
        <f t="shared" si="75"/>
        <v>1.375</v>
      </c>
      <c r="BD70" s="8" t="str">
        <f t="shared" si="75"/>
        <v/>
      </c>
    </row>
    <row r="71" spans="1:56" x14ac:dyDescent="0.25">
      <c r="B71" s="12">
        <f t="shared" ref="B71:AI71" si="76">IFERROR(B62/B53,"")</f>
        <v>0.9668874172185431</v>
      </c>
      <c r="C71" s="12">
        <f t="shared" si="76"/>
        <v>0.946524064171123</v>
      </c>
      <c r="D71" s="12">
        <f t="shared" si="76"/>
        <v>0.95256916996047436</v>
      </c>
      <c r="E71" s="12">
        <f t="shared" si="76"/>
        <v>0.87854251012145745</v>
      </c>
      <c r="F71" s="12">
        <f t="shared" si="76"/>
        <v>0.9184149184149184</v>
      </c>
      <c r="G71" s="12">
        <f t="shared" si="76"/>
        <v>0.9259896729776248</v>
      </c>
      <c r="H71" s="12">
        <f t="shared" si="76"/>
        <v>0.96422182468694095</v>
      </c>
      <c r="I71" s="12">
        <f t="shared" si="76"/>
        <v>0.92954990215264188</v>
      </c>
      <c r="J71" s="12">
        <f t="shared" si="76"/>
        <v>0.88820826952526799</v>
      </c>
      <c r="K71" s="12">
        <f t="shared" si="76"/>
        <v>0.97633872976338731</v>
      </c>
      <c r="L71" s="12">
        <f t="shared" si="76"/>
        <v>0.91881918819188191</v>
      </c>
      <c r="M71" s="12">
        <f t="shared" si="76"/>
        <v>0.90342405618964006</v>
      </c>
      <c r="N71" s="12">
        <f t="shared" si="76"/>
        <v>0.88695652173913042</v>
      </c>
      <c r="O71" s="12">
        <f t="shared" si="76"/>
        <v>1.152136752136752</v>
      </c>
      <c r="P71" s="12">
        <f t="shared" si="76"/>
        <v>0.93593919652551572</v>
      </c>
      <c r="Q71" s="12">
        <f t="shared" si="76"/>
        <v>1</v>
      </c>
      <c r="R71" s="12">
        <f t="shared" si="76"/>
        <v>0.98058252427184467</v>
      </c>
      <c r="S71" s="12">
        <f t="shared" si="76"/>
        <v>0.97516198704103674</v>
      </c>
      <c r="T71" s="12">
        <f t="shared" si="76"/>
        <v>1.0468540829986612</v>
      </c>
      <c r="U71" s="12">
        <f t="shared" si="76"/>
        <v>0.98457583547557836</v>
      </c>
      <c r="V71" s="12">
        <f t="shared" si="76"/>
        <v>1.0244755244755244</v>
      </c>
      <c r="W71" s="12">
        <f t="shared" si="76"/>
        <v>0.99690641918020106</v>
      </c>
      <c r="X71" s="12">
        <f t="shared" si="76"/>
        <v>1.029252437703142</v>
      </c>
      <c r="Y71" s="12">
        <f t="shared" si="76"/>
        <v>1.0167958656330749</v>
      </c>
      <c r="Z71" s="12">
        <f t="shared" si="76"/>
        <v>0.99473585260387287</v>
      </c>
      <c r="AA71" s="12">
        <f t="shared" si="76"/>
        <v>0.98880976602238047</v>
      </c>
      <c r="AB71" s="12">
        <f t="shared" si="76"/>
        <v>0.98426707597851115</v>
      </c>
      <c r="AC71" s="12">
        <f t="shared" si="76"/>
        <v>1.0147155003270112</v>
      </c>
      <c r="AD71" s="12">
        <f t="shared" si="76"/>
        <v>1.0130180658873538</v>
      </c>
      <c r="AE71" s="12">
        <f t="shared" si="76"/>
        <v>0.93394375408763897</v>
      </c>
      <c r="AF71" s="12">
        <f t="shared" si="76"/>
        <v>0.95577889447236186</v>
      </c>
      <c r="AG71" s="12">
        <f t="shared" si="76"/>
        <v>0.9082446808510638</v>
      </c>
      <c r="AH71" s="12">
        <f t="shared" si="76"/>
        <v>0.92513058618688337</v>
      </c>
      <c r="AI71" s="12">
        <f t="shared" si="76"/>
        <v>0.92828816920026436</v>
      </c>
      <c r="AN71" s="12">
        <f t="shared" ref="AN71:BD71" si="77">IFERROR(AN62/AN53,"")</f>
        <v>1.1304347826086956</v>
      </c>
      <c r="AO71" s="12">
        <f t="shared" si="77"/>
        <v>0.95019157088122608</v>
      </c>
      <c r="AP71" s="12">
        <f t="shared" si="77"/>
        <v>0.88056930693069302</v>
      </c>
      <c r="AQ71" s="12">
        <f t="shared" si="77"/>
        <v>1.0254777070063694</v>
      </c>
      <c r="AR71" s="12">
        <f t="shared" si="77"/>
        <v>1.5163776493256262</v>
      </c>
      <c r="AS71" s="12">
        <f t="shared" si="77"/>
        <v>1.4925883694412772</v>
      </c>
      <c r="AT71" s="12">
        <f>IFERROR(AT62/AT53,"")</f>
        <v>1.6206140350877194</v>
      </c>
      <c r="AU71" s="12" t="str">
        <f t="shared" si="77"/>
        <v/>
      </c>
      <c r="AV71" s="12" t="str">
        <f t="shared" si="77"/>
        <v/>
      </c>
      <c r="AW71" s="12" t="str">
        <f t="shared" si="77"/>
        <v/>
      </c>
      <c r="AX71" s="12" t="str">
        <f t="shared" si="77"/>
        <v/>
      </c>
      <c r="AY71" s="12" t="str">
        <f t="shared" si="77"/>
        <v/>
      </c>
      <c r="AZ71" s="12">
        <f t="shared" si="77"/>
        <v>1.181853734845522</v>
      </c>
      <c r="BA71" s="12">
        <f t="shared" si="77"/>
        <v>0.9523411371237458</v>
      </c>
      <c r="BB71" s="12">
        <f t="shared" si="77"/>
        <v>1.315357931251971</v>
      </c>
      <c r="BC71" s="12">
        <f t="shared" si="77"/>
        <v>1.6206140350877194</v>
      </c>
      <c r="BD71" s="12" t="str">
        <f t="shared" si="77"/>
        <v/>
      </c>
    </row>
    <row r="73" spans="1:56" x14ac:dyDescent="0.25">
      <c r="A73" s="9" t="s">
        <v>64</v>
      </c>
      <c r="B73" s="18">
        <v>1501</v>
      </c>
      <c r="C73" s="18">
        <v>1502</v>
      </c>
      <c r="D73" s="18">
        <v>1503</v>
      </c>
      <c r="E73" s="18">
        <v>1504</v>
      </c>
      <c r="F73" s="18">
        <v>1505</v>
      </c>
      <c r="G73" s="18">
        <v>1506</v>
      </c>
      <c r="H73" s="18">
        <v>1507</v>
      </c>
      <c r="I73" s="18">
        <v>1508</v>
      </c>
      <c r="J73" s="18">
        <v>1509</v>
      </c>
      <c r="K73" s="18">
        <v>1510</v>
      </c>
      <c r="L73" s="18">
        <v>1511</v>
      </c>
      <c r="M73" s="18">
        <v>1512</v>
      </c>
      <c r="N73" s="18">
        <v>1601</v>
      </c>
      <c r="O73" s="18">
        <v>1602</v>
      </c>
      <c r="P73" s="18">
        <v>1603</v>
      </c>
      <c r="Q73" s="18">
        <v>1604</v>
      </c>
      <c r="R73" s="18">
        <v>1605</v>
      </c>
      <c r="S73" s="18">
        <v>1606</v>
      </c>
      <c r="T73" s="18">
        <v>1607</v>
      </c>
      <c r="U73" s="18">
        <v>1608</v>
      </c>
      <c r="V73" s="18">
        <v>1609</v>
      </c>
      <c r="W73" s="18">
        <v>1610</v>
      </c>
      <c r="X73" s="18">
        <v>1611</v>
      </c>
      <c r="Y73" s="18">
        <v>1612</v>
      </c>
      <c r="Z73" s="19" t="s">
        <v>52</v>
      </c>
      <c r="AA73" s="19" t="s">
        <v>56</v>
      </c>
      <c r="AB73" s="19" t="s">
        <v>57</v>
      </c>
      <c r="AC73" s="19" t="s">
        <v>58</v>
      </c>
      <c r="AD73" s="19" t="s">
        <v>59</v>
      </c>
      <c r="AE73" s="20" t="s">
        <v>53</v>
      </c>
      <c r="AF73" s="20" t="s">
        <v>60</v>
      </c>
      <c r="AG73" s="20" t="s">
        <v>61</v>
      </c>
      <c r="AH73" s="20" t="s">
        <v>62</v>
      </c>
      <c r="AI73" s="20" t="s">
        <v>63</v>
      </c>
      <c r="AN73" s="18">
        <v>1701</v>
      </c>
      <c r="AO73" s="18">
        <v>1702</v>
      </c>
      <c r="AP73" s="18">
        <v>1703</v>
      </c>
      <c r="AQ73" s="18">
        <v>1704</v>
      </c>
      <c r="AR73" s="18">
        <v>1705</v>
      </c>
      <c r="AS73" s="18">
        <v>1706</v>
      </c>
      <c r="AT73" s="18">
        <v>1707</v>
      </c>
      <c r="AU73" s="18">
        <v>1708</v>
      </c>
      <c r="AV73" s="18">
        <v>1709</v>
      </c>
      <c r="AW73" s="18">
        <v>1710</v>
      </c>
      <c r="AX73" s="18">
        <v>1711</v>
      </c>
      <c r="AY73" s="18">
        <v>1712</v>
      </c>
      <c r="AZ73" s="19" t="s">
        <v>184</v>
      </c>
      <c r="BA73" s="19" t="s">
        <v>185</v>
      </c>
      <c r="BB73" s="19" t="s">
        <v>186</v>
      </c>
      <c r="BC73" s="19" t="s">
        <v>187</v>
      </c>
      <c r="BD73" s="19" t="s">
        <v>188</v>
      </c>
    </row>
    <row r="74" spans="1:56" x14ac:dyDescent="0.25">
      <c r="A74" s="17" t="s">
        <v>71</v>
      </c>
      <c r="B74">
        <v>50</v>
      </c>
      <c r="C74">
        <v>55</v>
      </c>
      <c r="D74">
        <v>63</v>
      </c>
      <c r="E74">
        <v>62</v>
      </c>
      <c r="F74">
        <v>60</v>
      </c>
      <c r="G74">
        <v>56</v>
      </c>
      <c r="H74">
        <v>53</v>
      </c>
      <c r="I74">
        <v>48</v>
      </c>
      <c r="J74">
        <v>43</v>
      </c>
      <c r="T74" s="21">
        <v>24</v>
      </c>
      <c r="U74" s="21"/>
      <c r="V74" s="21"/>
      <c r="W74" s="21"/>
      <c r="X74" s="21"/>
      <c r="Y74" s="21"/>
      <c r="Z74" s="11">
        <f>INDEX(N74:Y74,$A$3)</f>
        <v>24</v>
      </c>
      <c r="AA74" s="11">
        <f>P74</f>
        <v>0</v>
      </c>
      <c r="AB74" s="11">
        <f>S74</f>
        <v>0</v>
      </c>
      <c r="AC74" s="21">
        <f>V74</f>
        <v>0</v>
      </c>
      <c r="AD74" s="21">
        <f>Y74</f>
        <v>0</v>
      </c>
      <c r="AE74" s="21">
        <f t="shared" ref="AE74:AE79" si="78">INDEX(B74:M74,$A$3)</f>
        <v>53</v>
      </c>
      <c r="AF74" s="21">
        <f t="shared" ref="AF74:AF79" si="79">D74</f>
        <v>63</v>
      </c>
      <c r="AG74" s="21">
        <f t="shared" ref="AG74:AG79" si="80">G74</f>
        <v>56</v>
      </c>
      <c r="AH74" s="21">
        <f t="shared" ref="AH74:AH79" si="81">J74</f>
        <v>43</v>
      </c>
      <c r="AI74" s="21">
        <f t="shared" ref="AI74:AI79" si="82">M74</f>
        <v>0</v>
      </c>
      <c r="AR74" s="11">
        <f>'[18]MTD performance of BCA'!$G$17</f>
        <v>17</v>
      </c>
      <c r="AS74">
        <f>'[19]MTD performance of BCA'!$G$16</f>
        <v>20</v>
      </c>
      <c r="AT74" s="21">
        <f>'[20]MTD performance of BCA'!$G$17</f>
        <v>10</v>
      </c>
      <c r="AU74" s="21"/>
      <c r="AV74" s="21"/>
      <c r="AW74" s="21"/>
      <c r="AX74" s="21"/>
      <c r="AY74" s="21"/>
      <c r="AZ74" s="21">
        <f t="shared" ref="AZ74:AZ79" si="83">INDEX(AN74:AY74,$A$3)</f>
        <v>10</v>
      </c>
      <c r="BA74" s="21">
        <f>INDEX(AN74:AY74,$A$3)</f>
        <v>10</v>
      </c>
      <c r="BB74" s="21">
        <f t="shared" ref="BB74:BB79" si="84">AS74</f>
        <v>20</v>
      </c>
      <c r="BC74" s="21">
        <f t="shared" ref="BC74:BC79" si="85">AV74</f>
        <v>0</v>
      </c>
      <c r="BD74" s="21">
        <f t="shared" ref="BD74:BD79" si="86">AY74</f>
        <v>0</v>
      </c>
    </row>
    <row r="75" spans="1:56" x14ac:dyDescent="0.25">
      <c r="A75" s="17" t="s">
        <v>47</v>
      </c>
      <c r="B75">
        <v>133</v>
      </c>
      <c r="C75">
        <v>136</v>
      </c>
      <c r="D75">
        <v>136</v>
      </c>
      <c r="E75">
        <v>145</v>
      </c>
      <c r="F75">
        <v>140</v>
      </c>
      <c r="G75">
        <v>139</v>
      </c>
      <c r="H75">
        <v>147</v>
      </c>
      <c r="I75">
        <v>147</v>
      </c>
      <c r="J75">
        <v>157</v>
      </c>
      <c r="K75">
        <v>169</v>
      </c>
      <c r="L75">
        <v>167</v>
      </c>
      <c r="M75">
        <v>170</v>
      </c>
      <c r="N75">
        <v>171</v>
      </c>
      <c r="O75">
        <v>167</v>
      </c>
      <c r="P75">
        <v>168</v>
      </c>
      <c r="Q75">
        <v>183</v>
      </c>
      <c r="R75">
        <v>180</v>
      </c>
      <c r="S75">
        <v>181</v>
      </c>
      <c r="T75" s="21">
        <v>183</v>
      </c>
      <c r="U75" s="21">
        <f>[21]Sheet3!$G$8</f>
        <v>182</v>
      </c>
      <c r="V75" s="21">
        <v>166</v>
      </c>
      <c r="W75" s="21">
        <f>'[22]MTD performance of BCA'!$I$13</f>
        <v>205</v>
      </c>
      <c r="X75" s="21">
        <f>'[23]MTD performance of BCA'!$I$13</f>
        <v>185</v>
      </c>
      <c r="Y75" s="21">
        <f>'[24]MTD performance of BCA'!$H$13</f>
        <v>183</v>
      </c>
      <c r="Z75" s="11">
        <f>INDEX(N75:Y75,$A$3)</f>
        <v>183</v>
      </c>
      <c r="AA75" s="11">
        <f>P75</f>
        <v>168</v>
      </c>
      <c r="AB75" s="11">
        <f>S75</f>
        <v>181</v>
      </c>
      <c r="AC75" s="21">
        <f>V75</f>
        <v>166</v>
      </c>
      <c r="AD75" s="21">
        <f>Y75</f>
        <v>183</v>
      </c>
      <c r="AE75" s="21">
        <f t="shared" si="78"/>
        <v>147</v>
      </c>
      <c r="AF75" s="21">
        <f t="shared" si="79"/>
        <v>136</v>
      </c>
      <c r="AG75" s="21">
        <f t="shared" si="80"/>
        <v>139</v>
      </c>
      <c r="AH75" s="21">
        <f t="shared" si="81"/>
        <v>157</v>
      </c>
      <c r="AI75" s="21">
        <f t="shared" si="82"/>
        <v>170</v>
      </c>
      <c r="AN75">
        <f>'[25]MTD performance of BCA'!$G$14</f>
        <v>177</v>
      </c>
      <c r="AO75">
        <f>'[26]MTD performance of BCA'!$G$14</f>
        <v>171</v>
      </c>
      <c r="AP75">
        <f>'[27]MTD performance of BCA'!$G$15</f>
        <v>181</v>
      </c>
      <c r="AQ75">
        <f>'[28]MTD performance of BCA'!$G$14</f>
        <v>176</v>
      </c>
      <c r="AR75">
        <f>'[18]MTD performance of BCA'!$G$15</f>
        <v>191</v>
      </c>
      <c r="AS75">
        <f>'[19]MTD performance of BCA'!$G$14</f>
        <v>208</v>
      </c>
      <c r="AT75" s="21">
        <f>'[20]MTD performance of BCA'!$G$13</f>
        <v>193</v>
      </c>
      <c r="AU75" s="21"/>
      <c r="AV75" s="21"/>
      <c r="AW75" s="21"/>
      <c r="AX75" s="21"/>
      <c r="AY75" s="21"/>
      <c r="AZ75" s="21">
        <f t="shared" si="83"/>
        <v>193</v>
      </c>
      <c r="BA75" s="21">
        <f t="shared" ref="BA75:BA79" si="87">INDEX(AN75:AY75,$A$3)</f>
        <v>193</v>
      </c>
      <c r="BB75" s="21">
        <f t="shared" si="84"/>
        <v>208</v>
      </c>
      <c r="BC75" s="21">
        <f t="shared" si="85"/>
        <v>0</v>
      </c>
      <c r="BD75" s="21">
        <f t="shared" si="86"/>
        <v>0</v>
      </c>
    </row>
    <row r="76" spans="1:56" x14ac:dyDescent="0.25">
      <c r="A76" s="17" t="s">
        <v>116</v>
      </c>
      <c r="T76" s="21"/>
      <c r="U76" s="21">
        <f>[21]Sheet3!$G$13</f>
        <v>138</v>
      </c>
      <c r="V76" s="21">
        <v>148</v>
      </c>
      <c r="W76" s="21">
        <f>'[22]MTD performance of BCA'!$I$14</f>
        <v>225</v>
      </c>
      <c r="X76" s="21">
        <f>'[23]MTD performance of BCA'!$I$14</f>
        <v>182</v>
      </c>
      <c r="Y76" s="21">
        <f>'[24]MTD performance of BCA'!$H$14</f>
        <v>202</v>
      </c>
      <c r="Z76" s="11">
        <f>INDEX(N76:Y76,$A$3)</f>
        <v>0</v>
      </c>
      <c r="AA76" s="11">
        <f>P76</f>
        <v>0</v>
      </c>
      <c r="AB76" s="11">
        <f>S76</f>
        <v>0</v>
      </c>
      <c r="AC76" s="21">
        <f>V76</f>
        <v>148</v>
      </c>
      <c r="AD76" s="21">
        <f>Y76</f>
        <v>202</v>
      </c>
      <c r="AE76" s="21">
        <f t="shared" si="78"/>
        <v>0</v>
      </c>
      <c r="AF76" s="21">
        <f t="shared" si="79"/>
        <v>0</v>
      </c>
      <c r="AG76" s="21">
        <f t="shared" si="80"/>
        <v>0</v>
      </c>
      <c r="AH76" s="21">
        <f t="shared" si="81"/>
        <v>0</v>
      </c>
      <c r="AI76" s="21">
        <f t="shared" si="82"/>
        <v>0</v>
      </c>
      <c r="AN76">
        <f>'[25]MTD performance of BCA'!$G$13</f>
        <v>188</v>
      </c>
      <c r="AO76">
        <f>'[26]MTD performance of BCA'!$G$13</f>
        <v>201</v>
      </c>
      <c r="AP76">
        <f>'[27]MTD performance of BCA'!$G$14</f>
        <v>223</v>
      </c>
      <c r="AQ76">
        <f>'[28]MTD performance of BCA'!$G$15</f>
        <v>199</v>
      </c>
      <c r="AR76">
        <f>'[18]MTD performance of BCA'!$G$14</f>
        <v>204</v>
      </c>
      <c r="AS76">
        <f>'[19]MTD performance of BCA'!$G$15</f>
        <v>200</v>
      </c>
      <c r="AT76" s="21">
        <f>'[20]MTD performance of BCA'!$G$14</f>
        <v>167</v>
      </c>
      <c r="AU76" s="21"/>
      <c r="AV76" s="21"/>
      <c r="AW76" s="21"/>
      <c r="AX76" s="21"/>
      <c r="AY76" s="21"/>
      <c r="AZ76" s="21">
        <f t="shared" si="83"/>
        <v>167</v>
      </c>
      <c r="BA76" s="21">
        <f t="shared" si="87"/>
        <v>167</v>
      </c>
      <c r="BB76" s="21">
        <f t="shared" si="84"/>
        <v>200</v>
      </c>
      <c r="BC76" s="21">
        <f t="shared" si="85"/>
        <v>0</v>
      </c>
      <c r="BD76" s="21">
        <f t="shared" si="86"/>
        <v>0</v>
      </c>
    </row>
    <row r="77" spans="1:56" x14ac:dyDescent="0.25">
      <c r="A77" s="17" t="s">
        <v>48</v>
      </c>
      <c r="H77">
        <v>17</v>
      </c>
      <c r="I77">
        <v>22</v>
      </c>
      <c r="J77">
        <v>39</v>
      </c>
      <c r="K77">
        <v>72</v>
      </c>
      <c r="L77">
        <v>78</v>
      </c>
      <c r="M77">
        <v>79</v>
      </c>
      <c r="N77">
        <v>78</v>
      </c>
      <c r="O77">
        <v>76</v>
      </c>
      <c r="P77">
        <v>68</v>
      </c>
      <c r="Q77">
        <v>58</v>
      </c>
      <c r="R77">
        <v>53</v>
      </c>
      <c r="S77">
        <v>59</v>
      </c>
      <c r="T77" s="21">
        <v>151</v>
      </c>
      <c r="U77" s="21">
        <f>+[21]Sheet3!$G$15+[21]Sheet3!$G$16</f>
        <v>74</v>
      </c>
      <c r="V77" s="21">
        <v>81</v>
      </c>
      <c r="W77" s="21">
        <f>'[22]MTD performance of BCA'!$I$15</f>
        <v>74</v>
      </c>
      <c r="X77" s="21">
        <f>'[23]MTD performance of BCA'!$I$15</f>
        <v>66</v>
      </c>
      <c r="Y77" s="21">
        <f>'[24]MTD performance of BCA'!$H$15</f>
        <v>19</v>
      </c>
      <c r="Z77" s="11">
        <f>INDEX(N77:Y77,$A$3)</f>
        <v>151</v>
      </c>
      <c r="AA77" s="11">
        <f>P77</f>
        <v>68</v>
      </c>
      <c r="AB77" s="11">
        <f>S77</f>
        <v>59</v>
      </c>
      <c r="AC77" s="21">
        <f>V77</f>
        <v>81</v>
      </c>
      <c r="AD77" s="21">
        <f>Y77</f>
        <v>19</v>
      </c>
      <c r="AE77" s="21">
        <f t="shared" si="78"/>
        <v>17</v>
      </c>
      <c r="AF77" s="21">
        <f t="shared" si="79"/>
        <v>0</v>
      </c>
      <c r="AG77" s="21">
        <f t="shared" si="80"/>
        <v>0</v>
      </c>
      <c r="AH77" s="21">
        <f t="shared" si="81"/>
        <v>39</v>
      </c>
      <c r="AI77" s="21">
        <f t="shared" si="82"/>
        <v>79</v>
      </c>
      <c r="AT77" s="21"/>
      <c r="AU77" s="21"/>
      <c r="AV77" s="21"/>
      <c r="AW77" s="21"/>
      <c r="AX77" s="21"/>
      <c r="AY77" s="21"/>
      <c r="AZ77" s="21">
        <f t="shared" si="83"/>
        <v>0</v>
      </c>
      <c r="BA77" s="21">
        <f t="shared" si="87"/>
        <v>0</v>
      </c>
      <c r="BB77" s="21">
        <f t="shared" si="84"/>
        <v>0</v>
      </c>
      <c r="BC77" s="21">
        <f t="shared" si="85"/>
        <v>0</v>
      </c>
      <c r="BD77" s="21">
        <f t="shared" si="86"/>
        <v>0</v>
      </c>
    </row>
    <row r="78" spans="1:56" x14ac:dyDescent="0.25">
      <c r="A78" s="17" t="s">
        <v>208</v>
      </c>
      <c r="T78" s="21"/>
      <c r="U78" s="21"/>
      <c r="V78" s="21"/>
      <c r="W78" s="21"/>
      <c r="X78" s="21"/>
      <c r="Y78" s="21"/>
      <c r="Z78" s="11"/>
      <c r="AA78" s="11"/>
      <c r="AB78" s="11"/>
      <c r="AC78" s="21"/>
      <c r="AD78" s="21"/>
      <c r="AE78" s="21">
        <f t="shared" si="78"/>
        <v>0</v>
      </c>
      <c r="AF78" s="21">
        <f t="shared" si="79"/>
        <v>0</v>
      </c>
      <c r="AG78" s="21">
        <f t="shared" si="80"/>
        <v>0</v>
      </c>
      <c r="AH78" s="21">
        <f t="shared" si="81"/>
        <v>0</v>
      </c>
      <c r="AI78" s="21">
        <f t="shared" si="82"/>
        <v>0</v>
      </c>
      <c r="AP78">
        <f>'[27]MTD performance of BCA'!$G$13</f>
        <v>15</v>
      </c>
      <c r="AQ78">
        <f>'[28]MTD performance of BCA'!$G$13</f>
        <v>28</v>
      </c>
      <c r="AR78">
        <f>'[18]MTD performance of BCA'!$G$13</f>
        <v>39</v>
      </c>
      <c r="AS78">
        <f>'[19]MTD performance of BCA'!$G$13</f>
        <v>41</v>
      </c>
      <c r="AT78" s="21">
        <f>'[20]MTD performance of BCA'!$G$15</f>
        <v>38</v>
      </c>
      <c r="AU78" s="21"/>
      <c r="AV78" s="21"/>
      <c r="AW78" s="21"/>
      <c r="AX78" s="21"/>
      <c r="AY78" s="21"/>
      <c r="AZ78" s="21">
        <f t="shared" si="83"/>
        <v>38</v>
      </c>
      <c r="BA78" s="21">
        <f t="shared" ref="BA78" si="88">INDEX(AN78:AY78,$A$3)</f>
        <v>38</v>
      </c>
      <c r="BB78" s="21">
        <f t="shared" si="84"/>
        <v>41</v>
      </c>
      <c r="BC78" s="21">
        <f t="shared" si="85"/>
        <v>0</v>
      </c>
      <c r="BD78" s="21">
        <f t="shared" si="86"/>
        <v>0</v>
      </c>
    </row>
    <row r="79" spans="1:56" x14ac:dyDescent="0.25">
      <c r="A79" s="17" t="s">
        <v>201</v>
      </c>
      <c r="T79" s="21"/>
      <c r="U79" s="21"/>
      <c r="V79" s="21"/>
      <c r="W79" s="21"/>
      <c r="X79" s="21"/>
      <c r="Y79" s="21"/>
      <c r="Z79" s="11"/>
      <c r="AA79" s="11"/>
      <c r="AB79" s="11"/>
      <c r="AC79" s="21"/>
      <c r="AD79" s="21"/>
      <c r="AE79" s="21">
        <f t="shared" si="78"/>
        <v>0</v>
      </c>
      <c r="AF79" s="21">
        <f t="shared" si="79"/>
        <v>0</v>
      </c>
      <c r="AG79" s="21">
        <f t="shared" si="80"/>
        <v>0</v>
      </c>
      <c r="AH79" s="21">
        <f t="shared" si="81"/>
        <v>0</v>
      </c>
      <c r="AI79" s="21">
        <f t="shared" si="82"/>
        <v>0</v>
      </c>
      <c r="AN79">
        <f>'[25]MTD performance of BCA'!$G$15</f>
        <v>12</v>
      </c>
      <c r="AO79">
        <f>'[26]MTD performance of BCA'!$G$15</f>
        <v>13</v>
      </c>
      <c r="AP79">
        <f>'[27]MTD performance of BCA'!$G$16</f>
        <v>16</v>
      </c>
      <c r="AQ79">
        <f>'[28]MTD performance of BCA'!$G$16</f>
        <v>13</v>
      </c>
      <c r="AR79">
        <f>'[18]MTD performance of BCA'!$G$16</f>
        <v>30</v>
      </c>
      <c r="AS79">
        <f>'[19]MTD performance of BCA'!$G$17</f>
        <v>26</v>
      </c>
      <c r="AT79" s="21">
        <f>'[20]MTD performance of BCA'!$G$16</f>
        <v>23</v>
      </c>
      <c r="AU79" s="21"/>
      <c r="AV79" s="21"/>
      <c r="AW79" s="21"/>
      <c r="AX79" s="21"/>
      <c r="AY79" s="21"/>
      <c r="AZ79" s="21">
        <f t="shared" si="83"/>
        <v>23</v>
      </c>
      <c r="BA79" s="21">
        <f t="shared" si="87"/>
        <v>23</v>
      </c>
      <c r="BB79" s="21">
        <f t="shared" si="84"/>
        <v>26</v>
      </c>
      <c r="BC79" s="21">
        <f t="shared" si="85"/>
        <v>0</v>
      </c>
      <c r="BD79" s="21">
        <f t="shared" si="86"/>
        <v>0</v>
      </c>
    </row>
    <row r="80" spans="1:56" x14ac:dyDescent="0.25">
      <c r="B80" s="13">
        <f>SUM(B74:B79)</f>
        <v>183</v>
      </c>
      <c r="C80" s="13">
        <f t="shared" ref="C80:AI80" si="89">SUM(C74:C79)</f>
        <v>191</v>
      </c>
      <c r="D80" s="13">
        <f t="shared" si="89"/>
        <v>199</v>
      </c>
      <c r="E80" s="13">
        <f t="shared" si="89"/>
        <v>207</v>
      </c>
      <c r="F80" s="13">
        <f t="shared" si="89"/>
        <v>200</v>
      </c>
      <c r="G80" s="13">
        <f t="shared" si="89"/>
        <v>195</v>
      </c>
      <c r="H80" s="13">
        <f t="shared" si="89"/>
        <v>217</v>
      </c>
      <c r="I80" s="13">
        <f t="shared" si="89"/>
        <v>217</v>
      </c>
      <c r="J80" s="13">
        <f t="shared" si="89"/>
        <v>239</v>
      </c>
      <c r="K80" s="13">
        <f t="shared" si="89"/>
        <v>241</v>
      </c>
      <c r="L80" s="13">
        <f t="shared" si="89"/>
        <v>245</v>
      </c>
      <c r="M80" s="13">
        <f t="shared" si="89"/>
        <v>249</v>
      </c>
      <c r="N80" s="13">
        <f t="shared" si="89"/>
        <v>249</v>
      </c>
      <c r="O80" s="13">
        <f t="shared" si="89"/>
        <v>243</v>
      </c>
      <c r="P80" s="13">
        <f t="shared" si="89"/>
        <v>236</v>
      </c>
      <c r="Q80" s="13">
        <f t="shared" si="89"/>
        <v>241</v>
      </c>
      <c r="R80" s="13">
        <f t="shared" si="89"/>
        <v>233</v>
      </c>
      <c r="S80" s="13">
        <f t="shared" si="89"/>
        <v>240</v>
      </c>
      <c r="T80" s="22">
        <f>T75</f>
        <v>183</v>
      </c>
      <c r="U80" s="22">
        <f t="shared" si="89"/>
        <v>394</v>
      </c>
      <c r="V80" s="22">
        <f t="shared" si="89"/>
        <v>395</v>
      </c>
      <c r="W80" s="22">
        <f t="shared" si="89"/>
        <v>504</v>
      </c>
      <c r="X80" s="22">
        <f t="shared" si="89"/>
        <v>433</v>
      </c>
      <c r="Y80" s="22">
        <f t="shared" si="89"/>
        <v>404</v>
      </c>
      <c r="Z80" s="13">
        <f t="shared" si="89"/>
        <v>358</v>
      </c>
      <c r="AA80" s="13">
        <f t="shared" si="89"/>
        <v>236</v>
      </c>
      <c r="AB80" s="13">
        <f t="shared" si="89"/>
        <v>240</v>
      </c>
      <c r="AC80" s="22">
        <f t="shared" si="89"/>
        <v>395</v>
      </c>
      <c r="AD80" s="22">
        <f t="shared" si="89"/>
        <v>404</v>
      </c>
      <c r="AE80" s="22">
        <f t="shared" si="89"/>
        <v>217</v>
      </c>
      <c r="AF80" s="22">
        <f t="shared" si="89"/>
        <v>199</v>
      </c>
      <c r="AG80" s="22">
        <f t="shared" si="89"/>
        <v>195</v>
      </c>
      <c r="AH80" s="22">
        <f t="shared" si="89"/>
        <v>239</v>
      </c>
      <c r="AI80" s="22">
        <f t="shared" si="89"/>
        <v>249</v>
      </c>
      <c r="AN80" s="13">
        <f>SUM(AN74:AN79)</f>
        <v>377</v>
      </c>
      <c r="AO80" s="13">
        <f t="shared" ref="AO80:AS80" si="90">SUM(AO74:AO79)</f>
        <v>385</v>
      </c>
      <c r="AP80" s="13">
        <f t="shared" si="90"/>
        <v>435</v>
      </c>
      <c r="AQ80" s="13">
        <f t="shared" si="90"/>
        <v>416</v>
      </c>
      <c r="AR80" s="13">
        <f t="shared" si="90"/>
        <v>481</v>
      </c>
      <c r="AS80" s="13">
        <f t="shared" si="90"/>
        <v>495</v>
      </c>
      <c r="AT80" s="22">
        <f>AT75</f>
        <v>193</v>
      </c>
      <c r="AU80" s="22">
        <f t="shared" ref="AU80:BD80" si="91">SUM(AU74:AU79)</f>
        <v>0</v>
      </c>
      <c r="AV80" s="22">
        <f t="shared" si="91"/>
        <v>0</v>
      </c>
      <c r="AW80" s="22">
        <f t="shared" si="91"/>
        <v>0</v>
      </c>
      <c r="AX80" s="22">
        <f t="shared" si="91"/>
        <v>0</v>
      </c>
      <c r="AY80" s="22">
        <f t="shared" si="91"/>
        <v>0</v>
      </c>
      <c r="AZ80" s="22">
        <f t="shared" si="91"/>
        <v>431</v>
      </c>
      <c r="BA80" s="22">
        <f t="shared" si="91"/>
        <v>431</v>
      </c>
      <c r="BB80" s="22">
        <f t="shared" si="91"/>
        <v>495</v>
      </c>
      <c r="BC80" s="22">
        <f t="shared" si="91"/>
        <v>0</v>
      </c>
      <c r="BD80" s="22">
        <f t="shared" si="91"/>
        <v>0</v>
      </c>
    </row>
    <row r="82" spans="1:56" x14ac:dyDescent="0.25">
      <c r="A82" s="9" t="s">
        <v>65</v>
      </c>
      <c r="B82" s="18">
        <v>1501</v>
      </c>
      <c r="C82" s="18">
        <v>1502</v>
      </c>
      <c r="D82" s="18">
        <v>1503</v>
      </c>
      <c r="E82" s="18">
        <v>1504</v>
      </c>
      <c r="F82" s="18">
        <v>1505</v>
      </c>
      <c r="G82" s="18">
        <v>1506</v>
      </c>
      <c r="H82" s="18">
        <v>1507</v>
      </c>
      <c r="I82" s="18">
        <v>1508</v>
      </c>
      <c r="J82" s="18">
        <v>1509</v>
      </c>
      <c r="K82" s="18">
        <v>1510</v>
      </c>
      <c r="L82" s="18">
        <v>1511</v>
      </c>
      <c r="M82" s="18">
        <v>1512</v>
      </c>
      <c r="N82" s="18">
        <v>1601</v>
      </c>
      <c r="O82" s="18">
        <v>1602</v>
      </c>
      <c r="P82" s="18">
        <v>1603</v>
      </c>
      <c r="Q82" s="18">
        <v>1604</v>
      </c>
      <c r="R82" s="18">
        <v>1605</v>
      </c>
      <c r="S82" s="18">
        <v>1606</v>
      </c>
      <c r="T82" s="18">
        <v>1607</v>
      </c>
      <c r="U82" s="18">
        <v>1608</v>
      </c>
      <c r="V82" s="18">
        <v>1609</v>
      </c>
      <c r="W82" s="18">
        <v>1610</v>
      </c>
      <c r="X82" s="18">
        <v>1611</v>
      </c>
      <c r="Y82" s="18">
        <v>1612</v>
      </c>
      <c r="Z82" s="19" t="s">
        <v>52</v>
      </c>
      <c r="AA82" s="19" t="s">
        <v>56</v>
      </c>
      <c r="AB82" s="19" t="s">
        <v>57</v>
      </c>
      <c r="AC82" s="19" t="s">
        <v>58</v>
      </c>
      <c r="AD82" s="19" t="s">
        <v>59</v>
      </c>
      <c r="AE82" s="20" t="s">
        <v>53</v>
      </c>
      <c r="AF82" s="20" t="s">
        <v>60</v>
      </c>
      <c r="AG82" s="20" t="s">
        <v>61</v>
      </c>
      <c r="AH82" s="20" t="s">
        <v>62</v>
      </c>
      <c r="AI82" s="20" t="s">
        <v>63</v>
      </c>
      <c r="AN82" s="18">
        <v>1701</v>
      </c>
      <c r="AO82" s="18">
        <v>1702</v>
      </c>
      <c r="AP82" s="18">
        <v>1703</v>
      </c>
      <c r="AQ82" s="18">
        <v>1704</v>
      </c>
      <c r="AR82" s="18">
        <v>1705</v>
      </c>
      <c r="AS82" s="18">
        <v>1706</v>
      </c>
      <c r="AT82" s="18">
        <v>1707</v>
      </c>
      <c r="AU82" s="18">
        <v>1708</v>
      </c>
      <c r="AV82" s="18">
        <v>1709</v>
      </c>
      <c r="AW82" s="18">
        <v>1710</v>
      </c>
      <c r="AX82" s="18">
        <v>1711</v>
      </c>
      <c r="AY82" s="18">
        <v>1712</v>
      </c>
      <c r="AZ82" s="19" t="s">
        <v>184</v>
      </c>
      <c r="BA82" s="19" t="s">
        <v>185</v>
      </c>
      <c r="BB82" s="19" t="s">
        <v>186</v>
      </c>
      <c r="BC82" s="19" t="s">
        <v>187</v>
      </c>
      <c r="BD82" s="19" t="s">
        <v>188</v>
      </c>
    </row>
    <row r="83" spans="1:56" x14ac:dyDescent="0.25">
      <c r="A83" s="17" t="s">
        <v>71</v>
      </c>
      <c r="B83">
        <v>31</v>
      </c>
      <c r="C83">
        <v>21</v>
      </c>
      <c r="D83">
        <v>38</v>
      </c>
      <c r="E83">
        <v>44</v>
      </c>
      <c r="F83">
        <v>41</v>
      </c>
      <c r="G83">
        <v>37</v>
      </c>
      <c r="H83">
        <v>37</v>
      </c>
      <c r="I83">
        <v>36</v>
      </c>
      <c r="J83">
        <v>34</v>
      </c>
      <c r="T83" s="21"/>
      <c r="U83" s="21"/>
      <c r="V83" s="21"/>
      <c r="W83" s="21"/>
      <c r="X83" s="21"/>
      <c r="Y83" s="21"/>
      <c r="Z83" s="11">
        <f>SUM($N83:INDEX($N83:$Y83,$A$3))</f>
        <v>0</v>
      </c>
      <c r="AA83" s="11">
        <f>SUM(N83:P83)</f>
        <v>0</v>
      </c>
      <c r="AB83" s="11">
        <f>SUM(Q83:S83)</f>
        <v>0</v>
      </c>
      <c r="AC83" s="21">
        <f>SUM(T83:V83)</f>
        <v>0</v>
      </c>
      <c r="AD83" s="21">
        <f>SUM(W83:Y83)</f>
        <v>0</v>
      </c>
      <c r="AE83" s="21">
        <f>SUM($B83:INDEX($B83:$M83,$A$3))</f>
        <v>249</v>
      </c>
      <c r="AF83" s="21">
        <f>SUM(B83:D83)</f>
        <v>90</v>
      </c>
      <c r="AG83" s="21">
        <f>SUM(E83:G83)</f>
        <v>122</v>
      </c>
      <c r="AH83" s="21">
        <f>SUM(H83:J83)</f>
        <v>107</v>
      </c>
      <c r="AI83" s="21">
        <f>SUM(K83:M83)</f>
        <v>0</v>
      </c>
      <c r="AR83" s="11">
        <f>'[18]MTD performance of BCA'!$H$17</f>
        <v>3</v>
      </c>
      <c r="AS83">
        <f>'[19]MTD performance of BCA'!$H$16</f>
        <v>2</v>
      </c>
      <c r="AT83" s="21">
        <f>'[20]MTD performance of BCA'!$H$17</f>
        <v>4</v>
      </c>
      <c r="AU83" s="21"/>
      <c r="AV83" s="21"/>
      <c r="AW83" s="21"/>
      <c r="AX83" s="21"/>
      <c r="AY83" s="21"/>
      <c r="AZ83" s="21">
        <f>SUM($AN83:INDEX($AN83:$AY83,$A$3))</f>
        <v>9</v>
      </c>
      <c r="BA83" s="21">
        <f t="shared" ref="BA83:BA88" si="92">SUM(AN83:AP83)</f>
        <v>0</v>
      </c>
      <c r="BB83" s="21">
        <f t="shared" ref="BB83:BB88" si="93">SUM(AQ83:AS83)</f>
        <v>5</v>
      </c>
      <c r="BC83" s="21">
        <f t="shared" ref="BC83:BC88" si="94">SUM(AT83:AV83)</f>
        <v>4</v>
      </c>
      <c r="BD83" s="21">
        <f t="shared" ref="BD83:BD88" si="95">SUM(AW83:AY83)</f>
        <v>0</v>
      </c>
    </row>
    <row r="84" spans="1:56" x14ac:dyDescent="0.25">
      <c r="A84" s="17" t="s">
        <v>47</v>
      </c>
      <c r="B84">
        <v>84</v>
      </c>
      <c r="C84">
        <v>59</v>
      </c>
      <c r="D84">
        <v>87</v>
      </c>
      <c r="E84">
        <v>91</v>
      </c>
      <c r="F84">
        <v>103</v>
      </c>
      <c r="G84">
        <v>98</v>
      </c>
      <c r="H84">
        <v>105</v>
      </c>
      <c r="I84">
        <v>111</v>
      </c>
      <c r="J84">
        <v>117</v>
      </c>
      <c r="K84">
        <v>136</v>
      </c>
      <c r="L84">
        <v>141</v>
      </c>
      <c r="M84">
        <v>142</v>
      </c>
      <c r="N84">
        <v>132</v>
      </c>
      <c r="O84">
        <v>129</v>
      </c>
      <c r="P84">
        <v>143</v>
      </c>
      <c r="Q84">
        <v>150</v>
      </c>
      <c r="R84">
        <v>146</v>
      </c>
      <c r="S84">
        <v>146</v>
      </c>
      <c r="T84" s="21">
        <v>145</v>
      </c>
      <c r="U84" s="21">
        <v>156</v>
      </c>
      <c r="V84" s="21">
        <v>148</v>
      </c>
      <c r="W84" s="21">
        <f>[12]Active!$H$13</f>
        <v>158</v>
      </c>
      <c r="X84" s="21">
        <f>[13]Active!$H$13</f>
        <v>149</v>
      </c>
      <c r="Y84" s="21">
        <f>[14]Active!$H$13</f>
        <v>171</v>
      </c>
      <c r="Z84" s="11">
        <f>SUM($N84:INDEX($N84:$Y84,$A$3))</f>
        <v>991</v>
      </c>
      <c r="AA84" s="11">
        <f>SUM(N84:P84)</f>
        <v>404</v>
      </c>
      <c r="AB84" s="11">
        <f>SUM(Q84:S84)</f>
        <v>442</v>
      </c>
      <c r="AC84" s="21">
        <f>SUM(T84:V84)</f>
        <v>449</v>
      </c>
      <c r="AD84" s="21">
        <f>SUM(W84:Y84)</f>
        <v>478</v>
      </c>
      <c r="AE84" s="21">
        <f>SUM($B84:INDEX($B84:$M84,$A$3))</f>
        <v>627</v>
      </c>
      <c r="AF84" s="21">
        <f>SUM(B84:D84)</f>
        <v>230</v>
      </c>
      <c r="AG84" s="21">
        <f>SUM(E84:G84)</f>
        <v>292</v>
      </c>
      <c r="AH84" s="21">
        <f>SUM(H84:J84)</f>
        <v>333</v>
      </c>
      <c r="AI84" s="21">
        <f>SUM(K84:M84)</f>
        <v>419</v>
      </c>
      <c r="AN84" s="21">
        <f>'[25]MTD performance of BCA'!$H$14</f>
        <v>147</v>
      </c>
      <c r="AO84" s="21">
        <f>'[26]MTD performance of BCA'!$H$14</f>
        <v>145</v>
      </c>
      <c r="AP84" s="21">
        <f>'[27]MTD performance of BCA'!$H$15</f>
        <v>146</v>
      </c>
      <c r="AQ84" s="215">
        <v>158</v>
      </c>
      <c r="AR84" s="21">
        <f>'[18]MTD performance of BCA'!$H$15</f>
        <v>154</v>
      </c>
      <c r="AS84" s="21">
        <f>'[19]MTD performance of BCA'!$H$14</f>
        <v>150</v>
      </c>
      <c r="AT84" s="21">
        <f>'[20]MTD performance of BCA'!$H$13</f>
        <v>151</v>
      </c>
      <c r="AU84" s="21"/>
      <c r="AV84" s="21"/>
      <c r="AW84" s="21"/>
      <c r="AX84" s="21"/>
      <c r="AY84" s="21"/>
      <c r="AZ84" s="21">
        <f>SUM($AN84:INDEX($AN84:$AY84,$A$3))</f>
        <v>1051</v>
      </c>
      <c r="BA84" s="21">
        <f t="shared" si="92"/>
        <v>438</v>
      </c>
      <c r="BB84" s="21">
        <f t="shared" si="93"/>
        <v>462</v>
      </c>
      <c r="BC84" s="21">
        <f t="shared" si="94"/>
        <v>151</v>
      </c>
      <c r="BD84" s="21">
        <f t="shared" si="95"/>
        <v>0</v>
      </c>
    </row>
    <row r="85" spans="1:56" x14ac:dyDescent="0.25">
      <c r="A85" s="17" t="s">
        <v>143</v>
      </c>
      <c r="T85" s="21"/>
      <c r="U85" s="21">
        <v>100</v>
      </c>
      <c r="V85" s="21">
        <v>91</v>
      </c>
      <c r="W85" s="21">
        <f>[12]Active!$H$8</f>
        <v>130</v>
      </c>
      <c r="X85" s="21">
        <f>[13]Active!$H$8</f>
        <v>112</v>
      </c>
      <c r="Y85" s="21">
        <f>[14]Active!$H$8</f>
        <v>141</v>
      </c>
      <c r="Z85" s="11">
        <f>SUM($N85:INDEX($N85:$Y85,$A$3))</f>
        <v>0</v>
      </c>
      <c r="AA85" s="11">
        <f>SUM(N85:P85)</f>
        <v>0</v>
      </c>
      <c r="AB85" s="11">
        <f>SUM(Q85:S85)</f>
        <v>0</v>
      </c>
      <c r="AC85" s="21">
        <f>SUM(T85:V85)</f>
        <v>191</v>
      </c>
      <c r="AD85" s="21">
        <f>SUM(W85:Y85)</f>
        <v>383</v>
      </c>
      <c r="AE85" s="21">
        <f>SUM($B85:INDEX($B85:$M85,$A$3))</f>
        <v>0</v>
      </c>
      <c r="AF85" s="21">
        <f>SUM(B85:D85)</f>
        <v>0</v>
      </c>
      <c r="AG85" s="21">
        <f>SUM(E85:G85)</f>
        <v>0</v>
      </c>
      <c r="AH85" s="21">
        <f>SUM(H85:J85)</f>
        <v>0</v>
      </c>
      <c r="AI85" s="21">
        <f>SUM(K85:M85)</f>
        <v>0</v>
      </c>
      <c r="AN85" s="21">
        <f>'[25]MTD performance of BCA'!$H$13</f>
        <v>84</v>
      </c>
      <c r="AO85" s="21">
        <f>'[26]MTD performance of BCA'!$H$13</f>
        <v>111</v>
      </c>
      <c r="AP85" s="21">
        <f>'[27]MTD performance of BCA'!$H$14</f>
        <v>134</v>
      </c>
      <c r="AQ85" s="21">
        <f>'[28]MTD performance of BCA'!$H$15</f>
        <v>121</v>
      </c>
      <c r="AR85" s="21">
        <f>'[18]MTD performance of BCA'!$H$14</f>
        <v>99</v>
      </c>
      <c r="AS85" s="21">
        <f>'[19]MTD performance of BCA'!$H$15</f>
        <v>81</v>
      </c>
      <c r="AT85" s="21">
        <f>'[20]MTD performance of BCA'!$H$14</f>
        <v>49</v>
      </c>
      <c r="AU85" s="21"/>
      <c r="AV85" s="21"/>
      <c r="AW85" s="21"/>
      <c r="AX85" s="21"/>
      <c r="AY85" s="21"/>
      <c r="AZ85" s="21">
        <f>SUM($AN85:INDEX($AN85:$AY85,$A$3))</f>
        <v>679</v>
      </c>
      <c r="BA85" s="21">
        <f t="shared" si="92"/>
        <v>329</v>
      </c>
      <c r="BB85" s="21">
        <f t="shared" si="93"/>
        <v>301</v>
      </c>
      <c r="BC85" s="21">
        <f t="shared" si="94"/>
        <v>49</v>
      </c>
      <c r="BD85" s="21">
        <f t="shared" si="95"/>
        <v>0</v>
      </c>
    </row>
    <row r="86" spans="1:56" x14ac:dyDescent="0.25">
      <c r="A86" s="17" t="s">
        <v>48</v>
      </c>
      <c r="H86">
        <v>1</v>
      </c>
      <c r="I86">
        <v>17</v>
      </c>
      <c r="J86">
        <v>19</v>
      </c>
      <c r="K86">
        <v>46</v>
      </c>
      <c r="L86">
        <v>58</v>
      </c>
      <c r="M86">
        <v>54</v>
      </c>
      <c r="N86">
        <v>45</v>
      </c>
      <c r="O86">
        <v>38</v>
      </c>
      <c r="P86">
        <v>38</v>
      </c>
      <c r="Q86">
        <v>26</v>
      </c>
      <c r="R86">
        <v>22</v>
      </c>
      <c r="S86">
        <v>17</v>
      </c>
      <c r="T86" s="21"/>
      <c r="U86" s="21">
        <v>42</v>
      </c>
      <c r="V86" s="21">
        <v>36</v>
      </c>
      <c r="W86" s="21">
        <f>[12]Active!$H$5</f>
        <v>41</v>
      </c>
      <c r="X86" s="21">
        <f>[13]Active!$H$5</f>
        <v>25</v>
      </c>
      <c r="Y86" s="21">
        <f>[14]Active!$H$5</f>
        <v>13</v>
      </c>
      <c r="Z86" s="11">
        <f>SUM($N86:INDEX($N86:$Y86,$A$3))</f>
        <v>186</v>
      </c>
      <c r="AA86" s="11">
        <f>SUM(N86:P86)</f>
        <v>121</v>
      </c>
      <c r="AB86" s="11">
        <f>SUM(Q86:S86)</f>
        <v>65</v>
      </c>
      <c r="AC86" s="21">
        <f>SUM(T86:V86)</f>
        <v>78</v>
      </c>
      <c r="AD86" s="21">
        <f>SUM(W86:Y86)</f>
        <v>79</v>
      </c>
      <c r="AE86" s="21">
        <f>SUM($B86:INDEX($B86:$M86,$A$3))</f>
        <v>1</v>
      </c>
      <c r="AF86" s="21">
        <f>SUM(B86:D86)</f>
        <v>0</v>
      </c>
      <c r="AG86" s="21">
        <f>SUM(E86:G86)</f>
        <v>0</v>
      </c>
      <c r="AH86" s="21">
        <f>SUM(H86:J86)</f>
        <v>37</v>
      </c>
      <c r="AI86" s="21">
        <f>SUM(K86:M86)</f>
        <v>158</v>
      </c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>
        <f>SUM($AN86:INDEX($AN86:$AY86,$A$3))</f>
        <v>0</v>
      </c>
      <c r="BA86" s="21">
        <f t="shared" si="92"/>
        <v>0</v>
      </c>
      <c r="BB86" s="21">
        <f t="shared" si="93"/>
        <v>0</v>
      </c>
      <c r="BC86" s="21">
        <f t="shared" si="94"/>
        <v>0</v>
      </c>
      <c r="BD86" s="21">
        <f t="shared" si="95"/>
        <v>0</v>
      </c>
    </row>
    <row r="87" spans="1:56" x14ac:dyDescent="0.25">
      <c r="A87" s="17" t="s">
        <v>208</v>
      </c>
      <c r="T87" s="21"/>
      <c r="U87" s="21"/>
      <c r="V87" s="21"/>
      <c r="W87" s="21"/>
      <c r="X87" s="21"/>
      <c r="Y87" s="21"/>
      <c r="Z87" s="11"/>
      <c r="AA87" s="11"/>
      <c r="AB87" s="11"/>
      <c r="AC87" s="21"/>
      <c r="AD87" s="21"/>
      <c r="AE87" s="21"/>
      <c r="AF87" s="21"/>
      <c r="AG87" s="21"/>
      <c r="AH87" s="21"/>
      <c r="AI87" s="21"/>
      <c r="AN87" s="21"/>
      <c r="AO87" s="21"/>
      <c r="AP87" s="21">
        <f>'[27]MTD performance of BCA'!$H$13</f>
        <v>10</v>
      </c>
      <c r="AQ87" s="21">
        <f>'[28]MTD performance of BCA'!$H$13</f>
        <v>16</v>
      </c>
      <c r="AR87" s="21">
        <f>'[18]MTD performance of BCA'!$H$13</f>
        <v>20</v>
      </c>
      <c r="AS87" s="21">
        <f>'[19]MTD performance of BCA'!$H$13</f>
        <v>22</v>
      </c>
      <c r="AT87" s="21">
        <f>'[20]MTD performance of BCA'!$H$15</f>
        <v>15</v>
      </c>
      <c r="AU87" s="21"/>
      <c r="AV87" s="21"/>
      <c r="AW87" s="21"/>
      <c r="AX87" s="21"/>
      <c r="AY87" s="21"/>
      <c r="AZ87" s="21">
        <f>SUM($AN87:INDEX($AN87:$AY87,$A$3))</f>
        <v>83</v>
      </c>
      <c r="BA87" s="21">
        <f t="shared" ref="BA87" si="96">SUM(AN87:AP87)</f>
        <v>10</v>
      </c>
      <c r="BB87" s="21">
        <f t="shared" si="93"/>
        <v>58</v>
      </c>
      <c r="BC87" s="21">
        <f t="shared" si="94"/>
        <v>15</v>
      </c>
      <c r="BD87" s="21">
        <f t="shared" si="95"/>
        <v>0</v>
      </c>
    </row>
    <row r="88" spans="1:56" x14ac:dyDescent="0.25">
      <c r="A88" s="17" t="s">
        <v>201</v>
      </c>
      <c r="T88" s="21"/>
      <c r="U88" s="21"/>
      <c r="V88" s="21"/>
      <c r="W88" s="21"/>
      <c r="X88" s="21"/>
      <c r="Y88" s="21"/>
      <c r="Z88" s="11"/>
      <c r="AA88" s="11"/>
      <c r="AB88" s="11"/>
      <c r="AC88" s="21"/>
      <c r="AD88" s="21"/>
      <c r="AE88" s="21"/>
      <c r="AF88" s="21"/>
      <c r="AG88" s="21"/>
      <c r="AH88" s="21"/>
      <c r="AI88" s="21"/>
      <c r="AN88" s="21">
        <v>1</v>
      </c>
      <c r="AO88" s="21">
        <f>'[26]MTD performance of BCA'!$H$15</f>
        <v>4</v>
      </c>
      <c r="AP88" s="21">
        <f>'[27]MTD performance of BCA'!$H$16</f>
        <v>5</v>
      </c>
      <c r="AQ88" s="21">
        <f>'[28]MTD performance of BCA'!$H$16</f>
        <v>5</v>
      </c>
      <c r="AR88" s="21">
        <f>'[18]MTD performance of BCA'!$H$16</f>
        <v>6</v>
      </c>
      <c r="AS88" s="21">
        <f>'[19]MTD performance of BCA'!$H$17</f>
        <v>5</v>
      </c>
      <c r="AT88" s="21">
        <f>'[20]MTD performance of BCA'!$H$16</f>
        <v>4</v>
      </c>
      <c r="AU88" s="21"/>
      <c r="AV88" s="21"/>
      <c r="AW88" s="21"/>
      <c r="AX88" s="21"/>
      <c r="AY88" s="21"/>
      <c r="AZ88" s="21">
        <f>SUM($AN88:INDEX($AN88:$AY88,$A$3))</f>
        <v>30</v>
      </c>
      <c r="BA88" s="21">
        <f t="shared" si="92"/>
        <v>10</v>
      </c>
      <c r="BB88" s="21">
        <f t="shared" si="93"/>
        <v>16</v>
      </c>
      <c r="BC88" s="21">
        <f t="shared" si="94"/>
        <v>4</v>
      </c>
      <c r="BD88" s="21">
        <f t="shared" si="95"/>
        <v>0</v>
      </c>
    </row>
    <row r="89" spans="1:56" x14ac:dyDescent="0.25">
      <c r="B89" s="13">
        <f>SUM(B83:B88)</f>
        <v>115</v>
      </c>
      <c r="C89" s="13">
        <f t="shared" ref="C89:AI89" si="97">SUM(C83:C88)</f>
        <v>80</v>
      </c>
      <c r="D89" s="13">
        <f t="shared" si="97"/>
        <v>125</v>
      </c>
      <c r="E89" s="13">
        <f t="shared" si="97"/>
        <v>135</v>
      </c>
      <c r="F89" s="13">
        <f t="shared" si="97"/>
        <v>144</v>
      </c>
      <c r="G89" s="13">
        <f t="shared" si="97"/>
        <v>135</v>
      </c>
      <c r="H89" s="13">
        <f t="shared" si="97"/>
        <v>143</v>
      </c>
      <c r="I89" s="13">
        <f t="shared" si="97"/>
        <v>164</v>
      </c>
      <c r="J89" s="13">
        <f t="shared" si="97"/>
        <v>170</v>
      </c>
      <c r="K89" s="13">
        <f t="shared" si="97"/>
        <v>182</v>
      </c>
      <c r="L89" s="13">
        <f t="shared" si="97"/>
        <v>199</v>
      </c>
      <c r="M89" s="13">
        <f t="shared" si="97"/>
        <v>196</v>
      </c>
      <c r="N89" s="13">
        <f t="shared" si="97"/>
        <v>177</v>
      </c>
      <c r="O89" s="13">
        <f t="shared" si="97"/>
        <v>167</v>
      </c>
      <c r="P89" s="13">
        <f t="shared" si="97"/>
        <v>181</v>
      </c>
      <c r="Q89" s="13">
        <f t="shared" si="97"/>
        <v>176</v>
      </c>
      <c r="R89" s="13">
        <f t="shared" si="97"/>
        <v>168</v>
      </c>
      <c r="S89" s="13">
        <f t="shared" si="97"/>
        <v>163</v>
      </c>
      <c r="T89" s="22">
        <f t="shared" si="97"/>
        <v>145</v>
      </c>
      <c r="U89" s="22">
        <f t="shared" si="97"/>
        <v>298</v>
      </c>
      <c r="V89" s="22">
        <f t="shared" si="97"/>
        <v>275</v>
      </c>
      <c r="W89" s="22">
        <f t="shared" si="97"/>
        <v>329</v>
      </c>
      <c r="X89" s="22">
        <f t="shared" si="97"/>
        <v>286</v>
      </c>
      <c r="Y89" s="22">
        <f t="shared" si="97"/>
        <v>325</v>
      </c>
      <c r="Z89" s="13">
        <f t="shared" si="97"/>
        <v>1177</v>
      </c>
      <c r="AA89" s="13">
        <f t="shared" si="97"/>
        <v>525</v>
      </c>
      <c r="AB89" s="13">
        <f t="shared" si="97"/>
        <v>507</v>
      </c>
      <c r="AC89" s="22">
        <f t="shared" si="97"/>
        <v>718</v>
      </c>
      <c r="AD89" s="22">
        <f t="shared" si="97"/>
        <v>940</v>
      </c>
      <c r="AE89" s="22">
        <f>SUM(AE83:AE88)</f>
        <v>877</v>
      </c>
      <c r="AF89" s="22">
        <f t="shared" si="97"/>
        <v>320</v>
      </c>
      <c r="AG89" s="22">
        <f t="shared" si="97"/>
        <v>414</v>
      </c>
      <c r="AH89" s="22">
        <f t="shared" si="97"/>
        <v>477</v>
      </c>
      <c r="AI89" s="22">
        <f t="shared" si="97"/>
        <v>577</v>
      </c>
      <c r="AN89" s="22">
        <f t="shared" ref="AN89:BD89" si="98">SUM(AN83:AN88)</f>
        <v>232</v>
      </c>
      <c r="AO89" s="22">
        <f t="shared" si="98"/>
        <v>260</v>
      </c>
      <c r="AP89" s="22">
        <f t="shared" si="98"/>
        <v>295</v>
      </c>
      <c r="AQ89" s="22">
        <f t="shared" si="98"/>
        <v>300</v>
      </c>
      <c r="AR89" s="22">
        <f t="shared" si="98"/>
        <v>282</v>
      </c>
      <c r="AS89" s="22">
        <f t="shared" si="98"/>
        <v>260</v>
      </c>
      <c r="AT89" s="22">
        <f t="shared" si="98"/>
        <v>223</v>
      </c>
      <c r="AU89" s="22">
        <f t="shared" si="98"/>
        <v>0</v>
      </c>
      <c r="AV89" s="22">
        <f t="shared" si="98"/>
        <v>0</v>
      </c>
      <c r="AW89" s="22">
        <f t="shared" si="98"/>
        <v>0</v>
      </c>
      <c r="AX89" s="22">
        <f t="shared" si="98"/>
        <v>0</v>
      </c>
      <c r="AY89" s="22">
        <f t="shared" si="98"/>
        <v>0</v>
      </c>
      <c r="AZ89" s="13">
        <f t="shared" si="98"/>
        <v>1852</v>
      </c>
      <c r="BA89" s="13">
        <f t="shared" si="98"/>
        <v>787</v>
      </c>
      <c r="BB89" s="22">
        <f t="shared" si="98"/>
        <v>842</v>
      </c>
      <c r="BC89" s="22">
        <f t="shared" si="98"/>
        <v>223</v>
      </c>
      <c r="BD89" s="22">
        <f t="shared" si="98"/>
        <v>0</v>
      </c>
    </row>
    <row r="91" spans="1:56" x14ac:dyDescent="0.25">
      <c r="A91" s="9" t="s">
        <v>66</v>
      </c>
      <c r="B91" s="18">
        <v>1501</v>
      </c>
      <c r="C91" s="18">
        <v>1502</v>
      </c>
      <c r="D91" s="18">
        <v>1503</v>
      </c>
      <c r="E91" s="18">
        <v>1504</v>
      </c>
      <c r="F91" s="18">
        <v>1505</v>
      </c>
      <c r="G91" s="18">
        <v>1506</v>
      </c>
      <c r="H91" s="18">
        <v>1507</v>
      </c>
      <c r="I91" s="18">
        <v>1508</v>
      </c>
      <c r="J91" s="18">
        <v>1509</v>
      </c>
      <c r="K91" s="18">
        <v>1510</v>
      </c>
      <c r="L91" s="18">
        <v>1511</v>
      </c>
      <c r="M91" s="18">
        <v>1512</v>
      </c>
      <c r="N91" s="18">
        <v>1601</v>
      </c>
      <c r="O91" s="18">
        <v>1602</v>
      </c>
      <c r="P91" s="18">
        <v>1603</v>
      </c>
      <c r="Q91" s="18">
        <v>1604</v>
      </c>
      <c r="R91" s="18">
        <v>1605</v>
      </c>
      <c r="S91" s="18">
        <v>1606</v>
      </c>
      <c r="T91" s="18">
        <v>1607</v>
      </c>
      <c r="U91" s="18">
        <v>1608</v>
      </c>
      <c r="V91" s="18">
        <v>1609</v>
      </c>
      <c r="W91" s="18">
        <v>1610</v>
      </c>
      <c r="X91" s="18">
        <v>1611</v>
      </c>
      <c r="Y91" s="18">
        <v>1612</v>
      </c>
      <c r="Z91" s="19" t="s">
        <v>52</v>
      </c>
      <c r="AA91" s="19" t="s">
        <v>56</v>
      </c>
      <c r="AB91" s="19" t="s">
        <v>57</v>
      </c>
      <c r="AC91" s="19" t="s">
        <v>58</v>
      </c>
      <c r="AD91" s="19" t="s">
        <v>59</v>
      </c>
      <c r="AE91" s="20" t="s">
        <v>53</v>
      </c>
      <c r="AF91" s="20" t="s">
        <v>60</v>
      </c>
      <c r="AG91" s="20" t="s">
        <v>61</v>
      </c>
      <c r="AH91" s="20" t="s">
        <v>62</v>
      </c>
      <c r="AI91" s="20" t="s">
        <v>63</v>
      </c>
      <c r="AN91" s="18">
        <v>1701</v>
      </c>
      <c r="AO91" s="18">
        <v>1702</v>
      </c>
      <c r="AP91" s="18">
        <v>1703</v>
      </c>
      <c r="AQ91" s="18">
        <v>1704</v>
      </c>
      <c r="AR91" s="18">
        <v>1705</v>
      </c>
      <c r="AS91" s="18">
        <v>1706</v>
      </c>
      <c r="AT91" s="18">
        <v>1707</v>
      </c>
      <c r="AU91" s="18">
        <v>1708</v>
      </c>
      <c r="AV91" s="18">
        <v>1709</v>
      </c>
      <c r="AW91" s="18">
        <v>1710</v>
      </c>
      <c r="AX91" s="18">
        <v>1711</v>
      </c>
      <c r="AY91" s="18">
        <v>1712</v>
      </c>
      <c r="AZ91" s="19" t="s">
        <v>184</v>
      </c>
      <c r="BA91" s="19" t="s">
        <v>185</v>
      </c>
      <c r="BB91" s="19" t="s">
        <v>186</v>
      </c>
      <c r="BC91" s="19" t="s">
        <v>187</v>
      </c>
      <c r="BD91" s="19" t="s">
        <v>188</v>
      </c>
    </row>
    <row r="92" spans="1:56" x14ac:dyDescent="0.25">
      <c r="A92" s="17" t="s">
        <v>71</v>
      </c>
      <c r="B92" s="23">
        <f t="shared" ref="B92:Y92" si="99">IFERROR(B83/B74,0)</f>
        <v>0.62</v>
      </c>
      <c r="C92" s="23">
        <f t="shared" si="99"/>
        <v>0.38181818181818183</v>
      </c>
      <c r="D92" s="23">
        <f t="shared" si="99"/>
        <v>0.60317460317460314</v>
      </c>
      <c r="E92" s="23">
        <f t="shared" si="99"/>
        <v>0.70967741935483875</v>
      </c>
      <c r="F92" s="23">
        <f t="shared" si="99"/>
        <v>0.68333333333333335</v>
      </c>
      <c r="G92" s="23">
        <f t="shared" si="99"/>
        <v>0.6607142857142857</v>
      </c>
      <c r="H92" s="23">
        <f t="shared" si="99"/>
        <v>0.69811320754716977</v>
      </c>
      <c r="I92" s="23">
        <f t="shared" si="99"/>
        <v>0.75</v>
      </c>
      <c r="J92" s="23">
        <f t="shared" si="99"/>
        <v>0.79069767441860461</v>
      </c>
      <c r="K92" s="23">
        <f t="shared" si="99"/>
        <v>0</v>
      </c>
      <c r="L92" s="23">
        <f t="shared" si="99"/>
        <v>0</v>
      </c>
      <c r="M92" s="23">
        <f t="shared" si="99"/>
        <v>0</v>
      </c>
      <c r="N92" s="23">
        <f t="shared" si="99"/>
        <v>0</v>
      </c>
      <c r="O92" s="23">
        <f t="shared" si="99"/>
        <v>0</v>
      </c>
      <c r="P92" s="23">
        <f t="shared" si="99"/>
        <v>0</v>
      </c>
      <c r="Q92" s="23">
        <f t="shared" si="99"/>
        <v>0</v>
      </c>
      <c r="R92" s="23">
        <f t="shared" si="99"/>
        <v>0</v>
      </c>
      <c r="S92" s="23">
        <f t="shared" si="99"/>
        <v>0</v>
      </c>
      <c r="T92" s="23">
        <f t="shared" si="99"/>
        <v>0</v>
      </c>
      <c r="U92" s="23">
        <f t="shared" si="99"/>
        <v>0</v>
      </c>
      <c r="V92" s="23">
        <f t="shared" si="99"/>
        <v>0</v>
      </c>
      <c r="W92" s="23">
        <f t="shared" si="99"/>
        <v>0</v>
      </c>
      <c r="X92" s="23">
        <f t="shared" si="99"/>
        <v>0</v>
      </c>
      <c r="Y92" s="23">
        <f t="shared" si="99"/>
        <v>0</v>
      </c>
      <c r="Z92" s="15">
        <f>IFERROR(Z83/Z74,"")</f>
        <v>0</v>
      </c>
      <c r="AA92" s="15" t="str">
        <f>IFERROR(AA83/AA74,"")</f>
        <v/>
      </c>
      <c r="AB92" s="15" t="str">
        <f>IFERROR(AB83/AB74,"")</f>
        <v/>
      </c>
      <c r="AC92" s="15" t="str">
        <f>IFERROR(AC83/AC74,"")</f>
        <v/>
      </c>
      <c r="AD92" s="15" t="str">
        <f>IFERROR(AD83/AD74,"")</f>
        <v/>
      </c>
      <c r="AE92" s="15">
        <f>IFERROR(AE83/SUM($B74:INDEX($B74:$M74,$A$3)),"")</f>
        <v>0.62406015037593987</v>
      </c>
      <c r="AF92" s="15">
        <f>IFERROR(AF83/SUM(B74:D74),"")</f>
        <v>0.5357142857142857</v>
      </c>
      <c r="AG92" s="15">
        <f>IFERROR(AG83/SUM(E74:G74),"")</f>
        <v>0.6853932584269663</v>
      </c>
      <c r="AH92" s="15">
        <f>IFERROR(AH83/SUM(H74:J74),"")</f>
        <v>0.74305555555555558</v>
      </c>
      <c r="AI92" s="15" t="str">
        <f>IFERROR(AI83/SUM(K74:M74),"")</f>
        <v/>
      </c>
      <c r="AN92" s="23">
        <f t="shared" ref="AN92:AY92" si="100">IFERROR(AN83/AN74,0)</f>
        <v>0</v>
      </c>
      <c r="AO92" s="23">
        <f t="shared" si="100"/>
        <v>0</v>
      </c>
      <c r="AP92" s="23">
        <f t="shared" si="100"/>
        <v>0</v>
      </c>
      <c r="AQ92" s="23">
        <f t="shared" si="100"/>
        <v>0</v>
      </c>
      <c r="AR92" s="23">
        <f t="shared" si="100"/>
        <v>0.17647058823529413</v>
      </c>
      <c r="AS92" s="23">
        <f t="shared" si="100"/>
        <v>0.1</v>
      </c>
      <c r="AT92" s="23">
        <f t="shared" si="100"/>
        <v>0.4</v>
      </c>
      <c r="AU92" s="23">
        <f t="shared" si="100"/>
        <v>0</v>
      </c>
      <c r="AV92" s="23">
        <f t="shared" si="100"/>
        <v>0</v>
      </c>
      <c r="AW92" s="23">
        <f t="shared" si="100"/>
        <v>0</v>
      </c>
      <c r="AX92" s="23">
        <f t="shared" si="100"/>
        <v>0</v>
      </c>
      <c r="AY92" s="23">
        <f t="shared" si="100"/>
        <v>0</v>
      </c>
      <c r="AZ92" s="15">
        <f>IFERROR(AZ83/AZ74,"")</f>
        <v>0.9</v>
      </c>
      <c r="BA92" s="15">
        <f>IFERROR(BA83/BA74,"")</f>
        <v>0</v>
      </c>
      <c r="BB92" s="15">
        <f>IFERROR(BB83/BB74,"")</f>
        <v>0.25</v>
      </c>
      <c r="BC92" s="15" t="str">
        <f>IFERROR(BC83/BC74,"")</f>
        <v/>
      </c>
      <c r="BD92" s="15" t="str">
        <f>IFERROR(BD83/BD74,"")</f>
        <v/>
      </c>
    </row>
    <row r="93" spans="1:56" x14ac:dyDescent="0.25">
      <c r="A93" s="17" t="s">
        <v>47</v>
      </c>
      <c r="B93" s="23">
        <f t="shared" ref="B93:Y93" si="101">IFERROR(B84/B75,0)</f>
        <v>0.63157894736842102</v>
      </c>
      <c r="C93" s="23">
        <f t="shared" si="101"/>
        <v>0.43382352941176472</v>
      </c>
      <c r="D93" s="23">
        <f t="shared" si="101"/>
        <v>0.63970588235294112</v>
      </c>
      <c r="E93" s="23">
        <f t="shared" si="101"/>
        <v>0.62758620689655176</v>
      </c>
      <c r="F93" s="23">
        <f t="shared" si="101"/>
        <v>0.73571428571428577</v>
      </c>
      <c r="G93" s="23">
        <f t="shared" si="101"/>
        <v>0.70503597122302153</v>
      </c>
      <c r="H93" s="23">
        <f t="shared" si="101"/>
        <v>0.7142857142857143</v>
      </c>
      <c r="I93" s="23">
        <f t="shared" si="101"/>
        <v>0.75510204081632648</v>
      </c>
      <c r="J93" s="23">
        <f t="shared" si="101"/>
        <v>0.74522292993630568</v>
      </c>
      <c r="K93" s="23">
        <f t="shared" si="101"/>
        <v>0.80473372781065089</v>
      </c>
      <c r="L93" s="23">
        <f t="shared" si="101"/>
        <v>0.84431137724550898</v>
      </c>
      <c r="M93" s="23">
        <f t="shared" si="101"/>
        <v>0.83529411764705885</v>
      </c>
      <c r="N93" s="23">
        <f t="shared" si="101"/>
        <v>0.77192982456140347</v>
      </c>
      <c r="O93" s="23">
        <f t="shared" si="101"/>
        <v>0.77245508982035926</v>
      </c>
      <c r="P93" s="23">
        <f t="shared" si="101"/>
        <v>0.85119047619047616</v>
      </c>
      <c r="Q93" s="23">
        <f t="shared" si="101"/>
        <v>0.81967213114754101</v>
      </c>
      <c r="R93" s="23">
        <f t="shared" si="101"/>
        <v>0.81111111111111112</v>
      </c>
      <c r="S93" s="23">
        <f t="shared" si="101"/>
        <v>0.8066298342541437</v>
      </c>
      <c r="T93" s="23">
        <f t="shared" si="101"/>
        <v>0.79234972677595628</v>
      </c>
      <c r="U93" s="23">
        <f t="shared" si="101"/>
        <v>0.8571428571428571</v>
      </c>
      <c r="V93" s="23">
        <f t="shared" si="101"/>
        <v>0.89156626506024095</v>
      </c>
      <c r="W93" s="23">
        <f t="shared" si="101"/>
        <v>0.77073170731707319</v>
      </c>
      <c r="X93" s="23">
        <f t="shared" si="101"/>
        <v>0.80540540540540539</v>
      </c>
      <c r="Y93" s="23">
        <f t="shared" si="101"/>
        <v>0.93442622950819676</v>
      </c>
      <c r="Z93" s="15">
        <f>IFERROR(Z84/SUM($N75:INDEX($N75:$Y75,$A$3)),"")</f>
        <v>0.80373073803730744</v>
      </c>
      <c r="AA93" s="15">
        <f>IFERROR(AA84/SUM(N75:P75),"")</f>
        <v>0.79841897233201586</v>
      </c>
      <c r="AB93" s="15">
        <f>IFERROR(AB84/SUM(Q75:S75),"")</f>
        <v>0.8125</v>
      </c>
      <c r="AC93" s="15">
        <f t="shared" ref="AC93:AD95" si="102">IFERROR(AC84/AC75,"")</f>
        <v>2.7048192771084336</v>
      </c>
      <c r="AD93" s="15">
        <f t="shared" si="102"/>
        <v>2.6120218579234971</v>
      </c>
      <c r="AE93" s="15">
        <f>IFERROR(AE84/SUM($B75:INDEX($B75:$M75,$A$3)),"")</f>
        <v>0.64241803278688525</v>
      </c>
      <c r="AF93" s="15">
        <f>IFERROR(AF84/SUM(B75:D75),"")</f>
        <v>0.5679012345679012</v>
      </c>
      <c r="AG93" s="15">
        <f>IFERROR(AG84/SUM(E75:G75),"")</f>
        <v>0.68867924528301883</v>
      </c>
      <c r="AH93" s="15">
        <f>IFERROR(AH84/SUM(H75:J75),"")</f>
        <v>0.73835920177383596</v>
      </c>
      <c r="AI93" s="15">
        <f>IFERROR(AI84/SUM(K75:M75),"")</f>
        <v>0.82806324110671936</v>
      </c>
      <c r="AN93" s="23">
        <f t="shared" ref="AN93:AY93" si="103">IFERROR(AN84/AN75,0)</f>
        <v>0.83050847457627119</v>
      </c>
      <c r="AO93" s="23">
        <f t="shared" si="103"/>
        <v>0.84795321637426901</v>
      </c>
      <c r="AP93" s="23">
        <f t="shared" si="103"/>
        <v>0.8066298342541437</v>
      </c>
      <c r="AQ93" s="23">
        <f t="shared" si="103"/>
        <v>0.89772727272727271</v>
      </c>
      <c r="AR93" s="23">
        <f t="shared" si="103"/>
        <v>0.80628272251308897</v>
      </c>
      <c r="AS93" s="23">
        <f t="shared" si="103"/>
        <v>0.72115384615384615</v>
      </c>
      <c r="AT93" s="23">
        <f t="shared" si="103"/>
        <v>0.78238341968911918</v>
      </c>
      <c r="AU93" s="23">
        <f t="shared" si="103"/>
        <v>0</v>
      </c>
      <c r="AV93" s="23">
        <f t="shared" si="103"/>
        <v>0</v>
      </c>
      <c r="AW93" s="23">
        <f t="shared" si="103"/>
        <v>0</v>
      </c>
      <c r="AX93" s="23">
        <f t="shared" si="103"/>
        <v>0</v>
      </c>
      <c r="AY93" s="23">
        <f t="shared" si="103"/>
        <v>0</v>
      </c>
      <c r="AZ93" s="15">
        <f>IFERROR(AZ84/SUM($AN75:INDEX($AN75:$AY75,$A$3)),"")</f>
        <v>0.81033153430994598</v>
      </c>
      <c r="BA93" s="15">
        <f>IFERROR(BA84/SUM(AN75:AP75),"")</f>
        <v>0.82797731568998112</v>
      </c>
      <c r="BB93" s="15">
        <f>IFERROR(BB84/SUM(AQ75:AS75),"")</f>
        <v>0.8034782608695652</v>
      </c>
      <c r="BC93" s="15" t="str">
        <f t="shared" ref="BC93:BD93" si="104">IFERROR(BC84/BC75,"")</f>
        <v/>
      </c>
      <c r="BD93" s="15" t="str">
        <f t="shared" si="104"/>
        <v/>
      </c>
    </row>
    <row r="94" spans="1:56" x14ac:dyDescent="0.25">
      <c r="A94" s="17" t="s">
        <v>116</v>
      </c>
      <c r="B94" s="23">
        <f t="shared" ref="B94:Y94" si="105">IFERROR(B85/B76,0)</f>
        <v>0</v>
      </c>
      <c r="C94" s="23">
        <f t="shared" si="105"/>
        <v>0</v>
      </c>
      <c r="D94" s="23">
        <f t="shared" si="105"/>
        <v>0</v>
      </c>
      <c r="E94" s="23">
        <f t="shared" si="105"/>
        <v>0</v>
      </c>
      <c r="F94" s="23">
        <f t="shared" si="105"/>
        <v>0</v>
      </c>
      <c r="G94" s="23">
        <f t="shared" si="105"/>
        <v>0</v>
      </c>
      <c r="H94" s="23">
        <f t="shared" si="105"/>
        <v>0</v>
      </c>
      <c r="I94" s="23">
        <f t="shared" si="105"/>
        <v>0</v>
      </c>
      <c r="J94" s="23">
        <f t="shared" si="105"/>
        <v>0</v>
      </c>
      <c r="K94" s="23">
        <f t="shared" si="105"/>
        <v>0</v>
      </c>
      <c r="L94" s="23">
        <f t="shared" si="105"/>
        <v>0</v>
      </c>
      <c r="M94" s="23">
        <f t="shared" si="105"/>
        <v>0</v>
      </c>
      <c r="N94" s="23">
        <f t="shared" si="105"/>
        <v>0</v>
      </c>
      <c r="O94" s="23">
        <f t="shared" si="105"/>
        <v>0</v>
      </c>
      <c r="P94" s="23">
        <f t="shared" si="105"/>
        <v>0</v>
      </c>
      <c r="Q94" s="23">
        <f t="shared" si="105"/>
        <v>0</v>
      </c>
      <c r="R94" s="23">
        <f t="shared" si="105"/>
        <v>0</v>
      </c>
      <c r="S94" s="23">
        <f t="shared" si="105"/>
        <v>0</v>
      </c>
      <c r="T94" s="23">
        <f t="shared" si="105"/>
        <v>0</v>
      </c>
      <c r="U94" s="23">
        <f t="shared" si="105"/>
        <v>0.72463768115942029</v>
      </c>
      <c r="V94" s="23">
        <f t="shared" si="105"/>
        <v>0.61486486486486491</v>
      </c>
      <c r="W94" s="23">
        <f t="shared" si="105"/>
        <v>0.57777777777777772</v>
      </c>
      <c r="X94" s="23">
        <f t="shared" si="105"/>
        <v>0.61538461538461542</v>
      </c>
      <c r="Y94" s="23">
        <f t="shared" si="105"/>
        <v>0.69801980198019797</v>
      </c>
      <c r="Z94" s="15" t="str">
        <f>IFERROR(Z85/SUM($N76:INDEX($N76:$Y76,$A$3)),"")</f>
        <v/>
      </c>
      <c r="AA94" s="15" t="str">
        <f>IFERROR(AA85/SUM(N76:P76),"")</f>
        <v/>
      </c>
      <c r="AB94" s="15" t="str">
        <f>IFERROR(AB85/SUM(Q76:S76),"")</f>
        <v/>
      </c>
      <c r="AC94" s="15">
        <f t="shared" si="102"/>
        <v>1.2905405405405406</v>
      </c>
      <c r="AD94" s="15">
        <f t="shared" si="102"/>
        <v>1.8960396039603959</v>
      </c>
      <c r="AE94" s="15" t="str">
        <f>IFERROR(AE85/SUM($B76:INDEX($B76:$M76,$A$3)),"")</f>
        <v/>
      </c>
      <c r="AF94" s="15" t="str">
        <f>IFERROR(AF85/SUM(B76:D76),"")</f>
        <v/>
      </c>
      <c r="AG94" s="15" t="str">
        <f>IFERROR(AG85/SUM(E76:G76),"")</f>
        <v/>
      </c>
      <c r="AH94" s="15" t="str">
        <f>IFERROR(AH85/SUM(H76:J76),"")</f>
        <v/>
      </c>
      <c r="AI94" s="15" t="str">
        <f>IFERROR(AI85/SUM(K76:M76),"")</f>
        <v/>
      </c>
      <c r="AN94" s="23">
        <f t="shared" ref="AN94:AY94" si="106">IFERROR(AN85/AN76,0)</f>
        <v>0.44680851063829785</v>
      </c>
      <c r="AO94" s="23">
        <f t="shared" si="106"/>
        <v>0.55223880597014929</v>
      </c>
      <c r="AP94" s="23">
        <f t="shared" si="106"/>
        <v>0.60089686098654704</v>
      </c>
      <c r="AQ94" s="23">
        <f t="shared" si="106"/>
        <v>0.60804020100502509</v>
      </c>
      <c r="AR94" s="23">
        <f t="shared" si="106"/>
        <v>0.48529411764705882</v>
      </c>
      <c r="AS94" s="23">
        <f t="shared" si="106"/>
        <v>0.40500000000000003</v>
      </c>
      <c r="AT94" s="23">
        <f t="shared" si="106"/>
        <v>0.29341317365269459</v>
      </c>
      <c r="AU94" s="23">
        <f t="shared" si="106"/>
        <v>0</v>
      </c>
      <c r="AV94" s="23">
        <f t="shared" si="106"/>
        <v>0</v>
      </c>
      <c r="AW94" s="23">
        <f t="shared" si="106"/>
        <v>0</v>
      </c>
      <c r="AX94" s="23">
        <f t="shared" si="106"/>
        <v>0</v>
      </c>
      <c r="AY94" s="23">
        <f t="shared" si="106"/>
        <v>0</v>
      </c>
      <c r="AZ94" s="15">
        <f>IFERROR(AZ85/SUM($AN76:INDEX($AN76:$AY76,$A$3)),"")</f>
        <v>0.49131693198263388</v>
      </c>
      <c r="BA94" s="15">
        <f>IFERROR(BA85/SUM(AN76:AP76),"")</f>
        <v>0.53758169934640521</v>
      </c>
      <c r="BB94" s="15">
        <f>IFERROR(BB85/SUM(AQ76:AS76),"")</f>
        <v>0.49917081260364843</v>
      </c>
      <c r="BC94" s="15" t="str">
        <f t="shared" ref="BC94:BD94" si="107">IFERROR(BC85/BC76,"")</f>
        <v/>
      </c>
      <c r="BD94" s="15" t="str">
        <f t="shared" si="107"/>
        <v/>
      </c>
    </row>
    <row r="95" spans="1:56" x14ac:dyDescent="0.25">
      <c r="A95" s="17" t="s">
        <v>48</v>
      </c>
      <c r="B95" s="23">
        <f t="shared" ref="B95:Y95" si="108">IFERROR(B86/B77,0)</f>
        <v>0</v>
      </c>
      <c r="C95" s="23">
        <f t="shared" si="108"/>
        <v>0</v>
      </c>
      <c r="D95" s="23">
        <f t="shared" si="108"/>
        <v>0</v>
      </c>
      <c r="E95" s="23">
        <f t="shared" si="108"/>
        <v>0</v>
      </c>
      <c r="F95" s="23">
        <f t="shared" si="108"/>
        <v>0</v>
      </c>
      <c r="G95" s="23">
        <f t="shared" si="108"/>
        <v>0</v>
      </c>
      <c r="H95" s="23">
        <f t="shared" si="108"/>
        <v>5.8823529411764705E-2</v>
      </c>
      <c r="I95" s="23">
        <f t="shared" si="108"/>
        <v>0.77272727272727271</v>
      </c>
      <c r="J95" s="23">
        <f t="shared" si="108"/>
        <v>0.48717948717948717</v>
      </c>
      <c r="K95" s="23">
        <f t="shared" si="108"/>
        <v>0.63888888888888884</v>
      </c>
      <c r="L95" s="23">
        <f t="shared" si="108"/>
        <v>0.74358974358974361</v>
      </c>
      <c r="M95" s="23">
        <f t="shared" si="108"/>
        <v>0.68354430379746833</v>
      </c>
      <c r="N95" s="23">
        <f t="shared" si="108"/>
        <v>0.57692307692307687</v>
      </c>
      <c r="O95" s="23">
        <f t="shared" si="108"/>
        <v>0.5</v>
      </c>
      <c r="P95" s="23">
        <f t="shared" si="108"/>
        <v>0.55882352941176472</v>
      </c>
      <c r="Q95" s="23">
        <f t="shared" si="108"/>
        <v>0.44827586206896552</v>
      </c>
      <c r="R95" s="23">
        <f t="shared" si="108"/>
        <v>0.41509433962264153</v>
      </c>
      <c r="S95" s="23">
        <f t="shared" si="108"/>
        <v>0.28813559322033899</v>
      </c>
      <c r="T95" s="23">
        <f t="shared" si="108"/>
        <v>0</v>
      </c>
      <c r="U95" s="23">
        <f t="shared" si="108"/>
        <v>0.56756756756756754</v>
      </c>
      <c r="V95" s="23">
        <f t="shared" si="108"/>
        <v>0.44444444444444442</v>
      </c>
      <c r="W95" s="23">
        <f t="shared" si="108"/>
        <v>0.55405405405405406</v>
      </c>
      <c r="X95" s="23">
        <f t="shared" si="108"/>
        <v>0.37878787878787878</v>
      </c>
      <c r="Y95" s="23">
        <f t="shared" si="108"/>
        <v>0.68421052631578949</v>
      </c>
      <c r="Z95" s="15">
        <f>IFERROR(Z86/SUM($N77:INDEX($N77:$Y77,$A$3)),"")</f>
        <v>0.34254143646408841</v>
      </c>
      <c r="AA95" s="15">
        <f>IFERROR(AA86/SUM(N77:P77),"")</f>
        <v>0.54504504504504503</v>
      </c>
      <c r="AB95" s="15">
        <f>IFERROR(AB86/SUM(Q77:S77),"")</f>
        <v>0.38235294117647056</v>
      </c>
      <c r="AC95" s="15">
        <f t="shared" si="102"/>
        <v>0.96296296296296291</v>
      </c>
      <c r="AD95" s="15">
        <f t="shared" si="102"/>
        <v>4.1578947368421053</v>
      </c>
      <c r="AE95" s="15">
        <f>IFERROR(AE86/SUM($B77:INDEX($B77:$M77,$A$3)),"")</f>
        <v>5.8823529411764705E-2</v>
      </c>
      <c r="AF95" s="15" t="str">
        <f>IFERROR(AF86/SUM(B77:D77),"")</f>
        <v/>
      </c>
      <c r="AG95" s="15" t="str">
        <f>IFERROR(AG86/SUM(E77:G77),"")</f>
        <v/>
      </c>
      <c r="AH95" s="15">
        <f>IFERROR(AH86/SUM(H77:J77),"")</f>
        <v>0.47435897435897434</v>
      </c>
      <c r="AI95" s="15">
        <f>IFERROR(AI86/SUM(K77:M77),"")</f>
        <v>0.68995633187772931</v>
      </c>
      <c r="AN95" s="23">
        <f t="shared" ref="AN95:AY95" si="109">IFERROR(AN86/AN77,0)</f>
        <v>0</v>
      </c>
      <c r="AO95" s="23">
        <f t="shared" si="109"/>
        <v>0</v>
      </c>
      <c r="AP95" s="23">
        <f t="shared" si="109"/>
        <v>0</v>
      </c>
      <c r="AQ95" s="23">
        <f t="shared" si="109"/>
        <v>0</v>
      </c>
      <c r="AR95" s="23">
        <f t="shared" si="109"/>
        <v>0</v>
      </c>
      <c r="AS95" s="23">
        <f t="shared" si="109"/>
        <v>0</v>
      </c>
      <c r="AT95" s="23">
        <f t="shared" si="109"/>
        <v>0</v>
      </c>
      <c r="AU95" s="23">
        <f t="shared" si="109"/>
        <v>0</v>
      </c>
      <c r="AV95" s="23">
        <f t="shared" si="109"/>
        <v>0</v>
      </c>
      <c r="AW95" s="23">
        <f t="shared" si="109"/>
        <v>0</v>
      </c>
      <c r="AX95" s="23">
        <f t="shared" si="109"/>
        <v>0</v>
      </c>
      <c r="AY95" s="23">
        <f t="shared" si="109"/>
        <v>0</v>
      </c>
      <c r="AZ95" s="15" t="str">
        <f>IFERROR(AZ86/SUM($AN77:INDEX($AN77:$AY77,$A$3)),"")</f>
        <v/>
      </c>
      <c r="BA95" s="15" t="str">
        <f>IFERROR(BA86/SUM(AN77:AP77),"")</f>
        <v/>
      </c>
      <c r="BB95" s="15" t="str">
        <f>IFERROR(BB86/SUM(AQ77:AS77),"")</f>
        <v/>
      </c>
      <c r="BC95" s="15" t="str">
        <f>IFERROR(BC86/BC77,"")</f>
        <v/>
      </c>
      <c r="BD95" s="15" t="str">
        <f>IFERROR(BD86/BD77,"")</f>
        <v/>
      </c>
    </row>
    <row r="96" spans="1:56" x14ac:dyDescent="0.25">
      <c r="A96" s="17" t="s">
        <v>208</v>
      </c>
      <c r="B96" s="23">
        <f t="shared" ref="B96:L96" si="110">IFERROR(B87/B77,0)</f>
        <v>0</v>
      </c>
      <c r="C96" s="23">
        <f t="shared" si="110"/>
        <v>0</v>
      </c>
      <c r="D96" s="23">
        <f t="shared" si="110"/>
        <v>0</v>
      </c>
      <c r="E96" s="23">
        <f t="shared" si="110"/>
        <v>0</v>
      </c>
      <c r="F96" s="23">
        <f t="shared" si="110"/>
        <v>0</v>
      </c>
      <c r="G96" s="23">
        <f t="shared" si="110"/>
        <v>0</v>
      </c>
      <c r="H96" s="23">
        <f t="shared" si="110"/>
        <v>0</v>
      </c>
      <c r="I96" s="23">
        <f t="shared" si="110"/>
        <v>0</v>
      </c>
      <c r="J96" s="23">
        <f t="shared" si="110"/>
        <v>0</v>
      </c>
      <c r="K96" s="23">
        <f t="shared" si="110"/>
        <v>0</v>
      </c>
      <c r="L96" s="23">
        <f t="shared" si="110"/>
        <v>0</v>
      </c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N96" s="23"/>
      <c r="AO96" s="23"/>
      <c r="AP96" s="23">
        <f>IFERROR(AP87/AP78,0)</f>
        <v>0.66666666666666663</v>
      </c>
      <c r="AQ96" s="23"/>
      <c r="AR96" s="23"/>
      <c r="AS96" s="23"/>
      <c r="AT96" s="23"/>
      <c r="AU96" s="23"/>
      <c r="AV96" s="23"/>
      <c r="AW96" s="23"/>
      <c r="AX96" s="23"/>
      <c r="AY96" s="23"/>
      <c r="AZ96" s="15"/>
      <c r="BA96" s="15"/>
      <c r="BB96" s="15"/>
      <c r="BC96" s="15"/>
      <c r="BD96" s="15"/>
    </row>
    <row r="97" spans="1:56" x14ac:dyDescent="0.25">
      <c r="A97" s="17" t="s">
        <v>201</v>
      </c>
      <c r="B97" s="23">
        <f t="shared" ref="B97:Y97" si="111">IFERROR(B88/B79,0)</f>
        <v>0</v>
      </c>
      <c r="C97" s="23">
        <f t="shared" si="111"/>
        <v>0</v>
      </c>
      <c r="D97" s="23">
        <f t="shared" si="111"/>
        <v>0</v>
      </c>
      <c r="E97" s="23">
        <f t="shared" si="111"/>
        <v>0</v>
      </c>
      <c r="F97" s="23">
        <f t="shared" si="111"/>
        <v>0</v>
      </c>
      <c r="G97" s="23">
        <f t="shared" si="111"/>
        <v>0</v>
      </c>
      <c r="H97" s="23">
        <f t="shared" si="111"/>
        <v>0</v>
      </c>
      <c r="I97" s="23">
        <f t="shared" si="111"/>
        <v>0</v>
      </c>
      <c r="J97" s="23">
        <f t="shared" si="111"/>
        <v>0</v>
      </c>
      <c r="K97" s="23">
        <f t="shared" si="111"/>
        <v>0</v>
      </c>
      <c r="L97" s="23">
        <f t="shared" si="111"/>
        <v>0</v>
      </c>
      <c r="M97" s="23">
        <f t="shared" si="111"/>
        <v>0</v>
      </c>
      <c r="N97" s="23">
        <f t="shared" si="111"/>
        <v>0</v>
      </c>
      <c r="O97" s="23">
        <f t="shared" si="111"/>
        <v>0</v>
      </c>
      <c r="P97" s="23">
        <f t="shared" si="111"/>
        <v>0</v>
      </c>
      <c r="Q97" s="23">
        <f t="shared" si="111"/>
        <v>0</v>
      </c>
      <c r="R97" s="23">
        <f t="shared" si="111"/>
        <v>0</v>
      </c>
      <c r="S97" s="23">
        <f t="shared" si="111"/>
        <v>0</v>
      </c>
      <c r="T97" s="23">
        <f t="shared" si="111"/>
        <v>0</v>
      </c>
      <c r="U97" s="23">
        <f t="shared" si="111"/>
        <v>0</v>
      </c>
      <c r="V97" s="23">
        <f t="shared" si="111"/>
        <v>0</v>
      </c>
      <c r="W97" s="23">
        <f t="shared" si="111"/>
        <v>0</v>
      </c>
      <c r="X97" s="23">
        <f t="shared" si="111"/>
        <v>0</v>
      </c>
      <c r="Y97" s="23">
        <f t="shared" si="111"/>
        <v>0</v>
      </c>
      <c r="Z97" s="15" t="str">
        <f>IFERROR(Z88/SUM($N79:INDEX($N79:$Y79,$A$3)),"")</f>
        <v/>
      </c>
      <c r="AA97" s="15" t="str">
        <f>IFERROR(AA88/SUM(N79:P79),"")</f>
        <v/>
      </c>
      <c r="AB97" s="15" t="str">
        <f>IFERROR(AB88/SUM(Q79:S79),"")</f>
        <v/>
      </c>
      <c r="AC97" s="15" t="str">
        <f>IFERROR(AC88/AC79,"")</f>
        <v/>
      </c>
      <c r="AD97" s="15" t="str">
        <f>IFERROR(AD88/AD79,"")</f>
        <v/>
      </c>
      <c r="AE97" s="15" t="str">
        <f>IFERROR(AE88/SUM($B79:INDEX($B79:$M79,$A$3)),"")</f>
        <v/>
      </c>
      <c r="AF97" s="15" t="str">
        <f>IFERROR(AF88/SUM(B79:D79),"")</f>
        <v/>
      </c>
      <c r="AG97" s="15" t="str">
        <f>IFERROR(AG88/SUM(E79:G79),"")</f>
        <v/>
      </c>
      <c r="AH97" s="15" t="str">
        <f>IFERROR(AH88/SUM(H79:J79),"")</f>
        <v/>
      </c>
      <c r="AI97" s="15" t="str">
        <f>IFERROR(AI88/SUM(K79:M79),"")</f>
        <v/>
      </c>
      <c r="AN97" s="23">
        <f>IFERROR(AN88/AN79,0)</f>
        <v>8.3333333333333329E-2</v>
      </c>
      <c r="AO97" s="23">
        <f>IFERROR(AO88/AO79,0)</f>
        <v>0.30769230769230771</v>
      </c>
      <c r="AP97" s="23">
        <f>IFERROR(AP88/AP79,0)</f>
        <v>0.3125</v>
      </c>
      <c r="AQ97" s="23">
        <f t="shared" ref="AQ97:AY97" si="112">IFERROR(AQ88/AQ79,0)</f>
        <v>0.38461538461538464</v>
      </c>
      <c r="AR97" s="23">
        <f t="shared" si="112"/>
        <v>0.2</v>
      </c>
      <c r="AS97" s="23">
        <f t="shared" si="112"/>
        <v>0.19230769230769232</v>
      </c>
      <c r="AT97" s="23">
        <f t="shared" si="112"/>
        <v>0.17391304347826086</v>
      </c>
      <c r="AU97" s="23">
        <f t="shared" si="112"/>
        <v>0</v>
      </c>
      <c r="AV97" s="23">
        <f t="shared" si="112"/>
        <v>0</v>
      </c>
      <c r="AW97" s="23">
        <f t="shared" si="112"/>
        <v>0</v>
      </c>
      <c r="AX97" s="23">
        <f t="shared" si="112"/>
        <v>0</v>
      </c>
      <c r="AY97" s="23">
        <f t="shared" si="112"/>
        <v>0</v>
      </c>
      <c r="AZ97" s="15">
        <f>IFERROR(AZ88/SUM($AN79:INDEX($AN79:$AY79,$A$3)),"")</f>
        <v>0.22556390977443608</v>
      </c>
      <c r="BA97" s="15">
        <f>IFERROR(BA88/SUM(AN79:AP79),"")</f>
        <v>0.24390243902439024</v>
      </c>
      <c r="BB97" s="15">
        <f>IFERROR(BB88/SUM(AQ79:AS79),"")</f>
        <v>0.2318840579710145</v>
      </c>
      <c r="BC97" s="15" t="str">
        <f>IFERROR(BC88/BC79,"")</f>
        <v/>
      </c>
      <c r="BD97" s="15" t="str">
        <f>IFERROR(BD88/BD79,"")</f>
        <v/>
      </c>
    </row>
    <row r="98" spans="1:56" x14ac:dyDescent="0.25">
      <c r="B98" s="24">
        <f t="shared" ref="B98:AD98" si="113">IFERROR(B89/B80,"")</f>
        <v>0.62841530054644812</v>
      </c>
      <c r="C98" s="24">
        <f t="shared" si="113"/>
        <v>0.41884816753926701</v>
      </c>
      <c r="D98" s="24">
        <f t="shared" si="113"/>
        <v>0.62814070351758799</v>
      </c>
      <c r="E98" s="24">
        <f t="shared" si="113"/>
        <v>0.65217391304347827</v>
      </c>
      <c r="F98" s="24">
        <f t="shared" si="113"/>
        <v>0.72</v>
      </c>
      <c r="G98" s="24">
        <f t="shared" si="113"/>
        <v>0.69230769230769229</v>
      </c>
      <c r="H98" s="24">
        <f t="shared" si="113"/>
        <v>0.65898617511520741</v>
      </c>
      <c r="I98" s="24">
        <f t="shared" si="113"/>
        <v>0.75576036866359442</v>
      </c>
      <c r="J98" s="24">
        <f t="shared" si="113"/>
        <v>0.71129707112970708</v>
      </c>
      <c r="K98" s="24">
        <f t="shared" si="113"/>
        <v>0.75518672199170123</v>
      </c>
      <c r="L98" s="24">
        <f t="shared" si="113"/>
        <v>0.81224489795918364</v>
      </c>
      <c r="M98" s="24">
        <f t="shared" si="113"/>
        <v>0.78714859437751006</v>
      </c>
      <c r="N98" s="24">
        <f t="shared" si="113"/>
        <v>0.71084337349397586</v>
      </c>
      <c r="O98" s="24">
        <f t="shared" si="113"/>
        <v>0.68724279835390945</v>
      </c>
      <c r="P98" s="24">
        <f t="shared" si="113"/>
        <v>0.76694915254237284</v>
      </c>
      <c r="Q98" s="24">
        <f t="shared" si="113"/>
        <v>0.73029045643153523</v>
      </c>
      <c r="R98" s="24">
        <f t="shared" si="113"/>
        <v>0.72103004291845496</v>
      </c>
      <c r="S98" s="24">
        <f t="shared" si="113"/>
        <v>0.6791666666666667</v>
      </c>
      <c r="T98" s="24">
        <f t="shared" si="113"/>
        <v>0.79234972677595628</v>
      </c>
      <c r="U98" s="24">
        <f t="shared" si="113"/>
        <v>0.75634517766497467</v>
      </c>
      <c r="V98" s="24">
        <f t="shared" si="113"/>
        <v>0.69620253164556967</v>
      </c>
      <c r="W98" s="24">
        <f t="shared" si="113"/>
        <v>0.65277777777777779</v>
      </c>
      <c r="X98" s="24">
        <f t="shared" si="113"/>
        <v>0.66050808314087761</v>
      </c>
      <c r="Y98" s="24">
        <f t="shared" si="113"/>
        <v>0.8044554455445545</v>
      </c>
      <c r="Z98" s="16">
        <f>IFERROR(Z89/SUM($N80:INDEX($N80:$Y80,$A$3)),"")</f>
        <v>0.72430769230769232</v>
      </c>
      <c r="AA98" s="16">
        <f>IFERROR(AA89/SUM(N80:P80),"")</f>
        <v>0.72115384615384615</v>
      </c>
      <c r="AB98" s="16">
        <f>IFERROR(AB89/SUM(Q80:S80),"")</f>
        <v>0.71008403361344541</v>
      </c>
      <c r="AC98" s="15">
        <f t="shared" si="113"/>
        <v>1.8177215189873417</v>
      </c>
      <c r="AD98" s="15">
        <f t="shared" si="113"/>
        <v>2.3267326732673266</v>
      </c>
      <c r="AE98" s="15">
        <f>IFERROR(AE89/SUM($B80:INDEX($B80:$M80,$A$3)),"")</f>
        <v>0.63002873563218387</v>
      </c>
      <c r="AF98" s="15">
        <f>IFERROR(AF89/SUM(B80:D80),"")</f>
        <v>0.55846422338568935</v>
      </c>
      <c r="AG98" s="15">
        <f>IFERROR(AG89/SUM(E80:G80),"")</f>
        <v>0.68770764119601324</v>
      </c>
      <c r="AH98" s="15">
        <f>IFERROR(AH89/SUM(H80:J80),"")</f>
        <v>0.70876671619613674</v>
      </c>
      <c r="AI98" s="15">
        <f>IFERROR(AI89/SUM(K80:M80),"")</f>
        <v>0.78503401360544223</v>
      </c>
      <c r="AN98" s="24">
        <f t="shared" ref="AN98:AY98" si="114">IFERROR(AN89/AN80,"")</f>
        <v>0.61538461538461542</v>
      </c>
      <c r="AO98" s="24">
        <f t="shared" si="114"/>
        <v>0.67532467532467533</v>
      </c>
      <c r="AP98" s="24">
        <f t="shared" si="114"/>
        <v>0.67816091954022983</v>
      </c>
      <c r="AQ98" s="24">
        <f t="shared" si="114"/>
        <v>0.72115384615384615</v>
      </c>
      <c r="AR98" s="24">
        <f t="shared" si="114"/>
        <v>0.58627858627858631</v>
      </c>
      <c r="AS98" s="24">
        <f t="shared" si="114"/>
        <v>0.5252525252525253</v>
      </c>
      <c r="AT98" s="24">
        <f t="shared" si="114"/>
        <v>1.1554404145077721</v>
      </c>
      <c r="AU98" s="24" t="str">
        <f t="shared" si="114"/>
        <v/>
      </c>
      <c r="AV98" s="24" t="str">
        <f t="shared" si="114"/>
        <v/>
      </c>
      <c r="AW98" s="24" t="str">
        <f t="shared" si="114"/>
        <v/>
      </c>
      <c r="AX98" s="24" t="str">
        <f t="shared" si="114"/>
        <v/>
      </c>
      <c r="AY98" s="24" t="str">
        <f t="shared" si="114"/>
        <v/>
      </c>
      <c r="AZ98" s="16">
        <f>IFERROR(AZ89/SUM($AN80:INDEX($AN80:$AY80,$A$3)),"")</f>
        <v>0.6657081236520489</v>
      </c>
      <c r="BA98" s="16">
        <f>IFERROR(BA89/SUM(AN80:AP80),"")</f>
        <v>0.65747702589807855</v>
      </c>
      <c r="BB98" s="16">
        <f>IFERROR(BB89/SUM(AQ80:AS80),"")</f>
        <v>0.60488505747126442</v>
      </c>
      <c r="BC98" s="15" t="str">
        <f t="shared" ref="BC98:BD98" si="115">IFERROR(BC89/BC80,"")</f>
        <v/>
      </c>
      <c r="BD98" s="15" t="str">
        <f t="shared" si="115"/>
        <v/>
      </c>
    </row>
    <row r="100" spans="1:56" s="9" customFormat="1" x14ac:dyDescent="0.25">
      <c r="A100" s="9" t="s">
        <v>67</v>
      </c>
      <c r="B100" s="18">
        <v>1501</v>
      </c>
      <c r="C100" s="18">
        <v>1502</v>
      </c>
      <c r="D100" s="18">
        <v>1503</v>
      </c>
      <c r="E100" s="18">
        <v>1504</v>
      </c>
      <c r="F100" s="18">
        <v>1505</v>
      </c>
      <c r="G100" s="18">
        <v>1506</v>
      </c>
      <c r="H100" s="18">
        <v>1507</v>
      </c>
      <c r="I100" s="18">
        <v>1508</v>
      </c>
      <c r="J100" s="18">
        <v>1509</v>
      </c>
      <c r="K100" s="18">
        <v>1510</v>
      </c>
      <c r="L100" s="18">
        <v>1511</v>
      </c>
      <c r="M100" s="18">
        <v>1512</v>
      </c>
      <c r="N100" s="18">
        <v>1601</v>
      </c>
      <c r="O100" s="18">
        <v>1602</v>
      </c>
      <c r="P100" s="18">
        <v>1603</v>
      </c>
      <c r="Q100" s="18">
        <v>1604</v>
      </c>
      <c r="R100" s="18">
        <v>1605</v>
      </c>
      <c r="S100" s="18">
        <v>1606</v>
      </c>
      <c r="T100" s="18">
        <v>1607</v>
      </c>
      <c r="U100" s="18">
        <v>1608</v>
      </c>
      <c r="V100" s="18">
        <v>1609</v>
      </c>
      <c r="W100" s="18">
        <v>1610</v>
      </c>
      <c r="X100" s="18">
        <v>1611</v>
      </c>
      <c r="Y100" s="18">
        <v>1612</v>
      </c>
      <c r="Z100" s="19" t="s">
        <v>52</v>
      </c>
      <c r="AA100" s="19" t="s">
        <v>56</v>
      </c>
      <c r="AB100" s="19" t="s">
        <v>57</v>
      </c>
      <c r="AC100" s="19" t="s">
        <v>58</v>
      </c>
      <c r="AD100" s="19" t="s">
        <v>59</v>
      </c>
      <c r="AE100" s="20" t="s">
        <v>53</v>
      </c>
      <c r="AF100" s="20" t="s">
        <v>60</v>
      </c>
      <c r="AG100" s="20" t="s">
        <v>61</v>
      </c>
      <c r="AH100" s="20" t="s">
        <v>62</v>
      </c>
      <c r="AI100" s="20" t="s">
        <v>63</v>
      </c>
      <c r="AN100" s="18">
        <v>1701</v>
      </c>
      <c r="AO100" s="18">
        <v>1702</v>
      </c>
      <c r="AP100" s="18">
        <v>1703</v>
      </c>
      <c r="AQ100" s="18">
        <v>1704</v>
      </c>
      <c r="AR100" s="18">
        <v>1705</v>
      </c>
      <c r="AS100" s="18">
        <v>1706</v>
      </c>
      <c r="AT100" s="18">
        <v>1707</v>
      </c>
      <c r="AU100" s="18">
        <v>1708</v>
      </c>
      <c r="AV100" s="18">
        <v>1709</v>
      </c>
      <c r="AW100" s="18">
        <v>1710</v>
      </c>
      <c r="AX100" s="18">
        <v>1711</v>
      </c>
      <c r="AY100" s="18">
        <v>1712</v>
      </c>
      <c r="AZ100" s="19" t="s">
        <v>184</v>
      </c>
      <c r="BA100" s="19" t="s">
        <v>185</v>
      </c>
      <c r="BB100" s="19" t="s">
        <v>186</v>
      </c>
      <c r="BC100" s="19" t="s">
        <v>187</v>
      </c>
      <c r="BD100" s="19" t="s">
        <v>188</v>
      </c>
    </row>
    <row r="101" spans="1:56" x14ac:dyDescent="0.25">
      <c r="A101" s="17" t="s">
        <v>71</v>
      </c>
      <c r="B101" s="8">
        <f t="shared" ref="B101:AI101" si="116">IFERROR(B47/B83,"")</f>
        <v>2.5161290322580645</v>
      </c>
      <c r="C101" s="8">
        <f t="shared" si="116"/>
        <v>2.6666666666666665</v>
      </c>
      <c r="D101" s="8">
        <f t="shared" si="116"/>
        <v>2.4473684210526314</v>
      </c>
      <c r="E101" s="8">
        <f t="shared" si="116"/>
        <v>2.4090909090909092</v>
      </c>
      <c r="F101" s="8">
        <f t="shared" si="116"/>
        <v>1.7804878048780488</v>
      </c>
      <c r="G101" s="8">
        <f t="shared" si="116"/>
        <v>2.5945945945945947</v>
      </c>
      <c r="H101" s="8">
        <f t="shared" si="116"/>
        <v>2.1081081081081079</v>
      </c>
      <c r="I101" s="8">
        <f t="shared" si="116"/>
        <v>2.1666666666666665</v>
      </c>
      <c r="J101" s="8">
        <f t="shared" si="116"/>
        <v>3.4117647058823528</v>
      </c>
      <c r="K101" s="8" t="str">
        <f t="shared" si="116"/>
        <v/>
      </c>
      <c r="L101" s="8" t="str">
        <f t="shared" si="116"/>
        <v/>
      </c>
      <c r="M101" s="8" t="str">
        <f t="shared" si="116"/>
        <v/>
      </c>
      <c r="N101" s="8" t="str">
        <f t="shared" si="116"/>
        <v/>
      </c>
      <c r="O101" s="8" t="str">
        <f t="shared" si="116"/>
        <v/>
      </c>
      <c r="P101" s="8" t="str">
        <f t="shared" si="116"/>
        <v/>
      </c>
      <c r="Q101" s="8" t="str">
        <f t="shared" si="116"/>
        <v/>
      </c>
      <c r="R101" s="8" t="str">
        <f t="shared" si="116"/>
        <v/>
      </c>
      <c r="S101" s="8" t="str">
        <f t="shared" si="116"/>
        <v/>
      </c>
      <c r="T101" s="8" t="str">
        <f t="shared" si="116"/>
        <v/>
      </c>
      <c r="U101" s="8" t="str">
        <f t="shared" si="116"/>
        <v/>
      </c>
      <c r="V101" s="8" t="str">
        <f t="shared" si="116"/>
        <v/>
      </c>
      <c r="W101" s="8" t="str">
        <f t="shared" si="116"/>
        <v/>
      </c>
      <c r="X101" s="8" t="str">
        <f t="shared" si="116"/>
        <v/>
      </c>
      <c r="Y101" s="8" t="str">
        <f t="shared" si="116"/>
        <v/>
      </c>
      <c r="Z101" s="8" t="str">
        <f t="shared" si="116"/>
        <v/>
      </c>
      <c r="AA101" s="8" t="str">
        <f t="shared" si="116"/>
        <v/>
      </c>
      <c r="AB101" s="8" t="str">
        <f t="shared" si="116"/>
        <v/>
      </c>
      <c r="AC101" s="8" t="str">
        <f t="shared" si="116"/>
        <v/>
      </c>
      <c r="AD101" s="8" t="str">
        <f t="shared" si="116"/>
        <v/>
      </c>
      <c r="AE101" s="8">
        <f t="shared" si="116"/>
        <v>2.3293172690763053</v>
      </c>
      <c r="AF101" s="8">
        <f t="shared" si="116"/>
        <v>2.5222222222222221</v>
      </c>
      <c r="AG101" s="8">
        <f t="shared" si="116"/>
        <v>2.2540983606557377</v>
      </c>
      <c r="AH101" s="8">
        <f t="shared" si="116"/>
        <v>2.542056074766355</v>
      </c>
      <c r="AI101" s="8" t="str">
        <f t="shared" si="116"/>
        <v/>
      </c>
      <c r="AN101" s="8" t="str">
        <f t="shared" ref="AN101:BD101" si="117">IFERROR(AN47/AN83,"")</f>
        <v/>
      </c>
      <c r="AO101" s="8" t="str">
        <f t="shared" si="117"/>
        <v/>
      </c>
      <c r="AP101" s="8" t="str">
        <f t="shared" si="117"/>
        <v/>
      </c>
      <c r="AQ101" s="8" t="str">
        <f t="shared" si="117"/>
        <v/>
      </c>
      <c r="AR101" s="8">
        <f t="shared" si="117"/>
        <v>1.3333333333333333</v>
      </c>
      <c r="AS101" s="8">
        <f t="shared" si="117"/>
        <v>2</v>
      </c>
      <c r="AT101" s="8">
        <f t="shared" si="117"/>
        <v>1.5</v>
      </c>
      <c r="AU101" s="8" t="str">
        <f t="shared" si="117"/>
        <v/>
      </c>
      <c r="AV101" s="8" t="str">
        <f t="shared" si="117"/>
        <v/>
      </c>
      <c r="AW101" s="8" t="str">
        <f t="shared" si="117"/>
        <v/>
      </c>
      <c r="AX101" s="8" t="str">
        <f t="shared" si="117"/>
        <v/>
      </c>
      <c r="AY101" s="8" t="str">
        <f t="shared" si="117"/>
        <v/>
      </c>
      <c r="AZ101" s="8">
        <f t="shared" si="117"/>
        <v>1.4444444444444444</v>
      </c>
      <c r="BA101" s="8" t="str">
        <f t="shared" si="117"/>
        <v/>
      </c>
      <c r="BB101" s="8">
        <f t="shared" si="117"/>
        <v>1.4</v>
      </c>
      <c r="BC101" s="8">
        <f t="shared" si="117"/>
        <v>1.5</v>
      </c>
      <c r="BD101" s="8" t="str">
        <f t="shared" si="117"/>
        <v/>
      </c>
    </row>
    <row r="102" spans="1:56" x14ac:dyDescent="0.25">
      <c r="A102" s="17" t="s">
        <v>47</v>
      </c>
      <c r="B102" s="8">
        <f t="shared" ref="B102:AI102" si="118">IFERROR(B48/B84,"")</f>
        <v>2.6666666666666665</v>
      </c>
      <c r="C102" s="8">
        <f t="shared" si="118"/>
        <v>2.2203389830508473</v>
      </c>
      <c r="D102" s="8">
        <f t="shared" si="118"/>
        <v>4.7471264367816088</v>
      </c>
      <c r="E102" s="8">
        <f t="shared" si="118"/>
        <v>4.2637362637362637</v>
      </c>
      <c r="F102" s="8">
        <f t="shared" si="118"/>
        <v>3.4563106796116503</v>
      </c>
      <c r="G102" s="8">
        <f t="shared" si="118"/>
        <v>4.9489795918367347</v>
      </c>
      <c r="H102" s="8">
        <f t="shared" si="118"/>
        <v>4.5714285714285712</v>
      </c>
      <c r="I102" s="8">
        <f t="shared" si="118"/>
        <v>3.5765765765765765</v>
      </c>
      <c r="J102" s="8">
        <f t="shared" si="118"/>
        <v>4.1965811965811968</v>
      </c>
      <c r="K102" s="8">
        <f t="shared" si="118"/>
        <v>5.1544117647058822</v>
      </c>
      <c r="L102" s="8">
        <f t="shared" si="118"/>
        <v>6.666666666666667</v>
      </c>
      <c r="M102" s="8">
        <f t="shared" si="118"/>
        <v>6.788732394366197</v>
      </c>
      <c r="N102" s="8">
        <f t="shared" si="118"/>
        <v>2.7196969696969697</v>
      </c>
      <c r="O102" s="8">
        <f t="shared" si="118"/>
        <v>4.0930232558139537</v>
      </c>
      <c r="P102" s="8">
        <f t="shared" si="118"/>
        <v>5.965034965034965</v>
      </c>
      <c r="Q102" s="8">
        <f t="shared" si="118"/>
        <v>4.6933333333333334</v>
      </c>
      <c r="R102" s="8">
        <f t="shared" si="118"/>
        <v>5.9794520547945202</v>
      </c>
      <c r="S102" s="8">
        <f t="shared" si="118"/>
        <v>6.1780821917808222</v>
      </c>
      <c r="T102" s="8">
        <f t="shared" si="118"/>
        <v>5.1310344827586203</v>
      </c>
      <c r="U102" s="8">
        <f t="shared" si="118"/>
        <v>5.8076923076923075</v>
      </c>
      <c r="V102" s="8">
        <f t="shared" si="118"/>
        <v>6.1013513513513518</v>
      </c>
      <c r="W102" s="8">
        <f t="shared" si="118"/>
        <v>6.0696202531645573</v>
      </c>
      <c r="X102" s="8">
        <f t="shared" si="118"/>
        <v>4.651006711409396</v>
      </c>
      <c r="Y102" s="8">
        <f t="shared" si="118"/>
        <v>7.3450292397660819</v>
      </c>
      <c r="Z102" s="8">
        <f t="shared" si="118"/>
        <v>5.0080726538849643</v>
      </c>
      <c r="AA102" s="8">
        <f t="shared" si="118"/>
        <v>4.3069306930693072</v>
      </c>
      <c r="AB102" s="8">
        <f t="shared" si="118"/>
        <v>5.6085972850678729</v>
      </c>
      <c r="AC102" s="8">
        <f t="shared" si="118"/>
        <v>5.6859688195991094</v>
      </c>
      <c r="AD102" s="8">
        <f t="shared" si="118"/>
        <v>6.0836820083682008</v>
      </c>
      <c r="AE102" s="8">
        <f t="shared" si="118"/>
        <v>3.9505582137161084</v>
      </c>
      <c r="AF102" s="8">
        <f t="shared" si="118"/>
        <v>3.3391304347826085</v>
      </c>
      <c r="AG102" s="8">
        <f t="shared" si="118"/>
        <v>4.2089041095890414</v>
      </c>
      <c r="AH102" s="8">
        <f t="shared" si="118"/>
        <v>4.1081081081081079</v>
      </c>
      <c r="AI102" s="8">
        <f t="shared" si="118"/>
        <v>6.2171837708830546</v>
      </c>
      <c r="AN102" s="8">
        <f t="shared" ref="AN102:BD102" si="119">IFERROR(AN48/AN84,"")</f>
        <v>3.5442176870748301</v>
      </c>
      <c r="AO102" s="8">
        <f t="shared" si="119"/>
        <v>7.5655172413793101</v>
      </c>
      <c r="AP102" s="8">
        <f t="shared" si="119"/>
        <v>8.3013698630136989</v>
      </c>
      <c r="AQ102" s="8">
        <f t="shared" si="119"/>
        <v>6.037974683544304</v>
      </c>
      <c r="AR102" s="8">
        <f t="shared" si="119"/>
        <v>5.0454545454545459</v>
      </c>
      <c r="AS102" s="8">
        <f t="shared" si="119"/>
        <v>4.6399999999999997</v>
      </c>
      <c r="AT102" s="8">
        <f t="shared" si="119"/>
        <v>5.1192052980132452</v>
      </c>
      <c r="AU102" s="8" t="str">
        <f t="shared" si="119"/>
        <v/>
      </c>
      <c r="AV102" s="8" t="str">
        <f t="shared" si="119"/>
        <v/>
      </c>
      <c r="AW102" s="8" t="str">
        <f t="shared" si="119"/>
        <v/>
      </c>
      <c r="AX102" s="8" t="str">
        <f t="shared" si="119"/>
        <v/>
      </c>
      <c r="AY102" s="8" t="str">
        <f t="shared" si="119"/>
        <v/>
      </c>
      <c r="AZ102" s="8">
        <f t="shared" si="119"/>
        <v>5.7373929590865842</v>
      </c>
      <c r="BA102" s="8">
        <f t="shared" si="119"/>
        <v>6.4611872146118721</v>
      </c>
      <c r="BB102" s="8">
        <f t="shared" si="119"/>
        <v>5.2532467532467528</v>
      </c>
      <c r="BC102" s="8">
        <f t="shared" si="119"/>
        <v>5.1192052980132452</v>
      </c>
      <c r="BD102" s="8" t="str">
        <f t="shared" si="119"/>
        <v/>
      </c>
    </row>
    <row r="103" spans="1:56" x14ac:dyDescent="0.25">
      <c r="A103" s="17" t="s">
        <v>116</v>
      </c>
      <c r="B103" s="8" t="str">
        <f t="shared" ref="B103:AI103" si="120">IFERROR(B49/B85,"")</f>
        <v/>
      </c>
      <c r="C103" s="8" t="str">
        <f t="shared" si="120"/>
        <v/>
      </c>
      <c r="D103" s="8" t="str">
        <f t="shared" si="120"/>
        <v/>
      </c>
      <c r="E103" s="8" t="str">
        <f t="shared" si="120"/>
        <v/>
      </c>
      <c r="F103" s="8" t="str">
        <f t="shared" si="120"/>
        <v/>
      </c>
      <c r="G103" s="8" t="str">
        <f t="shared" si="120"/>
        <v/>
      </c>
      <c r="H103" s="8" t="str">
        <f t="shared" si="120"/>
        <v/>
      </c>
      <c r="I103" s="8" t="str">
        <f t="shared" si="120"/>
        <v/>
      </c>
      <c r="J103" s="8" t="str">
        <f t="shared" si="120"/>
        <v/>
      </c>
      <c r="K103" s="8" t="str">
        <f t="shared" si="120"/>
        <v/>
      </c>
      <c r="L103" s="8" t="str">
        <f t="shared" si="120"/>
        <v/>
      </c>
      <c r="M103" s="8" t="str">
        <f t="shared" si="120"/>
        <v/>
      </c>
      <c r="N103" s="8" t="str">
        <f t="shared" si="120"/>
        <v/>
      </c>
      <c r="O103" s="8" t="str">
        <f t="shared" si="120"/>
        <v/>
      </c>
      <c r="P103" s="8" t="str">
        <f t="shared" si="120"/>
        <v/>
      </c>
      <c r="Q103" s="8" t="str">
        <f t="shared" si="120"/>
        <v/>
      </c>
      <c r="R103" s="8" t="str">
        <f t="shared" si="120"/>
        <v/>
      </c>
      <c r="S103" s="8" t="str">
        <f t="shared" si="120"/>
        <v/>
      </c>
      <c r="T103" s="8" t="str">
        <f t="shared" si="120"/>
        <v/>
      </c>
      <c r="U103" s="8">
        <f t="shared" si="120"/>
        <v>2.1</v>
      </c>
      <c r="V103" s="8">
        <f t="shared" si="120"/>
        <v>2.1428571428571428</v>
      </c>
      <c r="W103" s="8">
        <f t="shared" si="120"/>
        <v>2.3538461538461539</v>
      </c>
      <c r="X103" s="8">
        <f t="shared" si="120"/>
        <v>1.7946428571428572</v>
      </c>
      <c r="Y103" s="8">
        <f t="shared" si="120"/>
        <v>2.0070921985815602</v>
      </c>
      <c r="Z103" s="8" t="str">
        <f t="shared" si="120"/>
        <v/>
      </c>
      <c r="AA103" s="8" t="str">
        <f t="shared" si="120"/>
        <v/>
      </c>
      <c r="AB103" s="8" t="str">
        <f t="shared" si="120"/>
        <v/>
      </c>
      <c r="AC103" s="8">
        <f t="shared" si="120"/>
        <v>2.1204188481675392</v>
      </c>
      <c r="AD103" s="8">
        <f t="shared" si="120"/>
        <v>2.0626631853785899</v>
      </c>
      <c r="AE103" s="8" t="str">
        <f t="shared" si="120"/>
        <v/>
      </c>
      <c r="AF103" s="8" t="str">
        <f t="shared" si="120"/>
        <v/>
      </c>
      <c r="AG103" s="8" t="str">
        <f t="shared" si="120"/>
        <v/>
      </c>
      <c r="AH103" s="8" t="str">
        <f t="shared" si="120"/>
        <v/>
      </c>
      <c r="AI103" s="8" t="str">
        <f t="shared" si="120"/>
        <v/>
      </c>
      <c r="AN103" s="8">
        <f t="shared" ref="AN103:BD103" si="121">IFERROR(AN49/AN85,"")</f>
        <v>1.7976190476190477</v>
      </c>
      <c r="AO103" s="8">
        <f t="shared" si="121"/>
        <v>1.7927927927927927</v>
      </c>
      <c r="AP103" s="8">
        <f t="shared" si="121"/>
        <v>2.5970149253731343</v>
      </c>
      <c r="AQ103" s="8">
        <f t="shared" si="121"/>
        <v>1.9090909090909092</v>
      </c>
      <c r="AR103" s="8">
        <f t="shared" si="121"/>
        <v>1.8484848484848484</v>
      </c>
      <c r="AS103" s="8">
        <f t="shared" si="121"/>
        <v>1.0123456790123457</v>
      </c>
      <c r="AT103" s="8">
        <f t="shared" si="121"/>
        <v>1.8163265306122449</v>
      </c>
      <c r="AU103" s="8" t="str">
        <f t="shared" si="121"/>
        <v/>
      </c>
      <c r="AV103" s="8" t="str">
        <f t="shared" si="121"/>
        <v/>
      </c>
      <c r="AW103" s="8" t="str">
        <f t="shared" si="121"/>
        <v/>
      </c>
      <c r="AX103" s="8" t="str">
        <f t="shared" si="121"/>
        <v/>
      </c>
      <c r="AY103" s="8" t="str">
        <f t="shared" si="121"/>
        <v/>
      </c>
      <c r="AZ103" s="8">
        <f t="shared" si="121"/>
        <v>1.8895434462444771</v>
      </c>
      <c r="BA103" s="8">
        <f t="shared" si="121"/>
        <v>2.1215805471124618</v>
      </c>
      <c r="BB103" s="8">
        <f t="shared" si="121"/>
        <v>1.6478405315614617</v>
      </c>
      <c r="BC103" s="8">
        <f t="shared" si="121"/>
        <v>1.8163265306122449</v>
      </c>
      <c r="BD103" s="8" t="str">
        <f t="shared" si="121"/>
        <v/>
      </c>
    </row>
    <row r="104" spans="1:56" x14ac:dyDescent="0.25">
      <c r="A104" s="17" t="s">
        <v>48</v>
      </c>
      <c r="B104" s="8" t="str">
        <f t="shared" ref="B104:AI104" si="122">IFERROR(B50/B86,"")</f>
        <v/>
      </c>
      <c r="C104" s="8" t="str">
        <f t="shared" si="122"/>
        <v/>
      </c>
      <c r="D104" s="8" t="str">
        <f t="shared" si="122"/>
        <v/>
      </c>
      <c r="E104" s="8" t="str">
        <f t="shared" si="122"/>
        <v/>
      </c>
      <c r="F104" s="8" t="str">
        <f t="shared" si="122"/>
        <v/>
      </c>
      <c r="G104" s="8" t="str">
        <f t="shared" si="122"/>
        <v/>
      </c>
      <c r="H104" s="8">
        <f t="shared" si="122"/>
        <v>1</v>
      </c>
      <c r="I104" s="8">
        <f t="shared" si="122"/>
        <v>2.1176470588235294</v>
      </c>
      <c r="J104" s="8">
        <f t="shared" si="122"/>
        <v>2.4210526315789473</v>
      </c>
      <c r="K104" s="8">
        <f t="shared" si="122"/>
        <v>2.5</v>
      </c>
      <c r="L104" s="8">
        <f t="shared" si="122"/>
        <v>2.5</v>
      </c>
      <c r="M104" s="8">
        <f t="shared" si="122"/>
        <v>3.2407407407407409</v>
      </c>
      <c r="N104" s="8">
        <f t="shared" si="122"/>
        <v>2.2666666666666666</v>
      </c>
      <c r="O104" s="8">
        <f t="shared" si="122"/>
        <v>1.5</v>
      </c>
      <c r="P104" s="8">
        <f t="shared" si="122"/>
        <v>1.8157894736842106</v>
      </c>
      <c r="Q104" s="8">
        <f t="shared" si="122"/>
        <v>1.8846153846153846</v>
      </c>
      <c r="R104" s="8">
        <f t="shared" si="122"/>
        <v>2.4545454545454546</v>
      </c>
      <c r="S104" s="8">
        <f t="shared" si="122"/>
        <v>1.5294117647058822</v>
      </c>
      <c r="T104" s="8" t="str">
        <f t="shared" si="122"/>
        <v/>
      </c>
      <c r="U104" s="8">
        <f t="shared" si="122"/>
        <v>1.2380952380952381</v>
      </c>
      <c r="V104" s="8">
        <f t="shared" si="122"/>
        <v>1.2777777777777777</v>
      </c>
      <c r="W104" s="8">
        <f t="shared" si="122"/>
        <v>0.68292682926829273</v>
      </c>
      <c r="X104" s="8">
        <f t="shared" si="122"/>
        <v>1.1599999999999999</v>
      </c>
      <c r="Y104" s="8">
        <f t="shared" si="122"/>
        <v>0.69230769230769229</v>
      </c>
      <c r="Z104" s="8">
        <f t="shared" si="122"/>
        <v>1.935483870967742</v>
      </c>
      <c r="AA104" s="8">
        <f t="shared" si="122"/>
        <v>1.884297520661157</v>
      </c>
      <c r="AB104" s="8">
        <f t="shared" si="122"/>
        <v>1.9846153846153847</v>
      </c>
      <c r="AC104" s="8">
        <f t="shared" si="122"/>
        <v>1.2948717948717949</v>
      </c>
      <c r="AD104" s="8">
        <f t="shared" si="122"/>
        <v>0.83544303797468356</v>
      </c>
      <c r="AE104" s="8">
        <f t="shared" si="122"/>
        <v>1</v>
      </c>
      <c r="AF104" s="8" t="str">
        <f t="shared" si="122"/>
        <v/>
      </c>
      <c r="AG104" s="8" t="str">
        <f t="shared" si="122"/>
        <v/>
      </c>
      <c r="AH104" s="8">
        <f t="shared" si="122"/>
        <v>2.2432432432432434</v>
      </c>
      <c r="AI104" s="8">
        <f t="shared" si="122"/>
        <v>2.7531645569620253</v>
      </c>
      <c r="AN104" s="8" t="str">
        <f t="shared" ref="AN104:BD104" si="123">IFERROR(AN50/AN86,"")</f>
        <v/>
      </c>
      <c r="AO104" s="8" t="str">
        <f t="shared" si="123"/>
        <v/>
      </c>
      <c r="AP104" s="8" t="str">
        <f t="shared" si="123"/>
        <v/>
      </c>
      <c r="AQ104" s="8" t="str">
        <f t="shared" si="123"/>
        <v/>
      </c>
      <c r="AR104" s="8" t="str">
        <f t="shared" si="123"/>
        <v/>
      </c>
      <c r="AS104" s="8" t="str">
        <f t="shared" si="123"/>
        <v/>
      </c>
      <c r="AT104" s="8" t="str">
        <f t="shared" si="123"/>
        <v/>
      </c>
      <c r="AU104" s="8" t="str">
        <f t="shared" si="123"/>
        <v/>
      </c>
      <c r="AV104" s="8" t="str">
        <f t="shared" si="123"/>
        <v/>
      </c>
      <c r="AW104" s="8" t="str">
        <f t="shared" si="123"/>
        <v/>
      </c>
      <c r="AX104" s="8" t="str">
        <f t="shared" si="123"/>
        <v/>
      </c>
      <c r="AY104" s="8" t="str">
        <f t="shared" si="123"/>
        <v/>
      </c>
      <c r="AZ104" s="8" t="str">
        <f t="shared" si="123"/>
        <v/>
      </c>
      <c r="BA104" s="8" t="str">
        <f t="shared" si="123"/>
        <v/>
      </c>
      <c r="BB104" s="8" t="str">
        <f t="shared" si="123"/>
        <v/>
      </c>
      <c r="BC104" s="8" t="str">
        <f t="shared" si="123"/>
        <v/>
      </c>
      <c r="BD104" s="8" t="str">
        <f t="shared" si="123"/>
        <v/>
      </c>
    </row>
    <row r="105" spans="1:56" x14ac:dyDescent="0.25">
      <c r="A105" s="17" t="s">
        <v>208</v>
      </c>
      <c r="B105" s="8" t="str">
        <f t="shared" ref="B105:AI105" si="124">IFERROR(B51/B87,"")</f>
        <v/>
      </c>
      <c r="C105" s="8" t="str">
        <f t="shared" si="124"/>
        <v/>
      </c>
      <c r="D105" s="8" t="str">
        <f t="shared" si="124"/>
        <v/>
      </c>
      <c r="E105" s="8" t="str">
        <f t="shared" si="124"/>
        <v/>
      </c>
      <c r="F105" s="8" t="str">
        <f t="shared" si="124"/>
        <v/>
      </c>
      <c r="G105" s="8" t="str">
        <f t="shared" si="124"/>
        <v/>
      </c>
      <c r="H105" s="8" t="str">
        <f t="shared" si="124"/>
        <v/>
      </c>
      <c r="I105" s="8" t="str">
        <f t="shared" si="124"/>
        <v/>
      </c>
      <c r="J105" s="8" t="str">
        <f t="shared" si="124"/>
        <v/>
      </c>
      <c r="K105" s="8" t="str">
        <f t="shared" si="124"/>
        <v/>
      </c>
      <c r="L105" s="8" t="str">
        <f t="shared" si="124"/>
        <v/>
      </c>
      <c r="M105" s="8" t="str">
        <f t="shared" si="124"/>
        <v/>
      </c>
      <c r="N105" s="8" t="str">
        <f t="shared" si="124"/>
        <v/>
      </c>
      <c r="O105" s="8" t="str">
        <f t="shared" si="124"/>
        <v/>
      </c>
      <c r="P105" s="8" t="str">
        <f t="shared" si="124"/>
        <v/>
      </c>
      <c r="Q105" s="8" t="str">
        <f t="shared" si="124"/>
        <v/>
      </c>
      <c r="R105" s="8" t="str">
        <f t="shared" si="124"/>
        <v/>
      </c>
      <c r="S105" s="8" t="str">
        <f t="shared" si="124"/>
        <v/>
      </c>
      <c r="T105" s="8" t="str">
        <f t="shared" si="124"/>
        <v/>
      </c>
      <c r="U105" s="8" t="str">
        <f t="shared" si="124"/>
        <v/>
      </c>
      <c r="V105" s="8" t="str">
        <f t="shared" si="124"/>
        <v/>
      </c>
      <c r="W105" s="8" t="str">
        <f t="shared" si="124"/>
        <v/>
      </c>
      <c r="X105" s="8" t="str">
        <f t="shared" si="124"/>
        <v/>
      </c>
      <c r="Y105" s="8" t="str">
        <f t="shared" si="124"/>
        <v/>
      </c>
      <c r="Z105" s="8" t="str">
        <f t="shared" si="124"/>
        <v/>
      </c>
      <c r="AA105" s="8" t="str">
        <f t="shared" si="124"/>
        <v/>
      </c>
      <c r="AB105" s="8" t="str">
        <f t="shared" si="124"/>
        <v/>
      </c>
      <c r="AC105" s="8" t="str">
        <f t="shared" si="124"/>
        <v/>
      </c>
      <c r="AD105" s="8" t="str">
        <f t="shared" si="124"/>
        <v/>
      </c>
      <c r="AE105" s="8" t="str">
        <f t="shared" si="124"/>
        <v/>
      </c>
      <c r="AF105" s="8" t="str">
        <f t="shared" si="124"/>
        <v/>
      </c>
      <c r="AG105" s="8" t="str">
        <f t="shared" si="124"/>
        <v/>
      </c>
      <c r="AH105" s="8" t="str">
        <f t="shared" si="124"/>
        <v/>
      </c>
      <c r="AI105" s="8" t="str">
        <f t="shared" si="124"/>
        <v/>
      </c>
      <c r="AN105" s="8" t="str">
        <f t="shared" ref="AN105:BD105" si="125">IFERROR(AN51/AN87,"")</f>
        <v/>
      </c>
      <c r="AO105" s="8" t="str">
        <f t="shared" si="125"/>
        <v/>
      </c>
      <c r="AP105" s="8">
        <f t="shared" si="125"/>
        <v>4.3</v>
      </c>
      <c r="AQ105" s="8">
        <f t="shared" si="125"/>
        <v>3.625</v>
      </c>
      <c r="AR105" s="8">
        <f t="shared" si="125"/>
        <v>2.65</v>
      </c>
      <c r="AS105" s="8">
        <f t="shared" si="125"/>
        <v>4.0909090909090908</v>
      </c>
      <c r="AT105" s="8">
        <f t="shared" si="125"/>
        <v>2.4</v>
      </c>
      <c r="AU105" s="8" t="str">
        <f t="shared" si="125"/>
        <v/>
      </c>
      <c r="AV105" s="8" t="str">
        <f t="shared" si="125"/>
        <v/>
      </c>
      <c r="AW105" s="8" t="str">
        <f t="shared" si="125"/>
        <v/>
      </c>
      <c r="AX105" s="8" t="str">
        <f t="shared" si="125"/>
        <v/>
      </c>
      <c r="AY105" s="8" t="str">
        <f t="shared" si="125"/>
        <v/>
      </c>
      <c r="AZ105" s="8">
        <f t="shared" si="125"/>
        <v>3.3734939759036147</v>
      </c>
      <c r="BA105" s="8">
        <f t="shared" si="125"/>
        <v>4.3</v>
      </c>
      <c r="BB105" s="8">
        <f t="shared" si="125"/>
        <v>3.4655172413793105</v>
      </c>
      <c r="BC105" s="8">
        <f t="shared" si="125"/>
        <v>2.4</v>
      </c>
      <c r="BD105" s="8" t="str">
        <f t="shared" si="125"/>
        <v/>
      </c>
    </row>
    <row r="106" spans="1:56" x14ac:dyDescent="0.25">
      <c r="A106" s="17" t="s">
        <v>201</v>
      </c>
      <c r="B106" s="8" t="str">
        <f t="shared" ref="B106:AI106" si="126">IFERROR(B52/B88,"")</f>
        <v/>
      </c>
      <c r="C106" s="8" t="str">
        <f t="shared" si="126"/>
        <v/>
      </c>
      <c r="D106" s="8" t="str">
        <f t="shared" si="126"/>
        <v/>
      </c>
      <c r="E106" s="8" t="str">
        <f t="shared" si="126"/>
        <v/>
      </c>
      <c r="F106" s="8" t="str">
        <f t="shared" si="126"/>
        <v/>
      </c>
      <c r="G106" s="8" t="str">
        <f t="shared" si="126"/>
        <v/>
      </c>
      <c r="H106" s="8" t="str">
        <f t="shared" si="126"/>
        <v/>
      </c>
      <c r="I106" s="8" t="str">
        <f t="shared" si="126"/>
        <v/>
      </c>
      <c r="J106" s="8" t="str">
        <f t="shared" si="126"/>
        <v/>
      </c>
      <c r="K106" s="8" t="str">
        <f t="shared" si="126"/>
        <v/>
      </c>
      <c r="L106" s="8" t="str">
        <f t="shared" si="126"/>
        <v/>
      </c>
      <c r="M106" s="8" t="str">
        <f t="shared" si="126"/>
        <v/>
      </c>
      <c r="N106" s="8" t="str">
        <f t="shared" si="126"/>
        <v/>
      </c>
      <c r="O106" s="8" t="str">
        <f t="shared" si="126"/>
        <v/>
      </c>
      <c r="P106" s="8" t="str">
        <f t="shared" si="126"/>
        <v/>
      </c>
      <c r="Q106" s="8" t="str">
        <f t="shared" si="126"/>
        <v/>
      </c>
      <c r="R106" s="8" t="str">
        <f t="shared" si="126"/>
        <v/>
      </c>
      <c r="S106" s="8" t="str">
        <f t="shared" si="126"/>
        <v/>
      </c>
      <c r="T106" s="8" t="str">
        <f t="shared" si="126"/>
        <v/>
      </c>
      <c r="U106" s="8" t="str">
        <f t="shared" si="126"/>
        <v/>
      </c>
      <c r="V106" s="8" t="str">
        <f t="shared" si="126"/>
        <v/>
      </c>
      <c r="W106" s="8" t="str">
        <f t="shared" si="126"/>
        <v/>
      </c>
      <c r="X106" s="8" t="str">
        <f t="shared" si="126"/>
        <v/>
      </c>
      <c r="Y106" s="8" t="str">
        <f t="shared" si="126"/>
        <v/>
      </c>
      <c r="Z106" s="8" t="str">
        <f t="shared" si="126"/>
        <v/>
      </c>
      <c r="AA106" s="8" t="str">
        <f t="shared" si="126"/>
        <v/>
      </c>
      <c r="AB106" s="8" t="str">
        <f t="shared" si="126"/>
        <v/>
      </c>
      <c r="AC106" s="8" t="str">
        <f t="shared" si="126"/>
        <v/>
      </c>
      <c r="AD106" s="8" t="str">
        <f t="shared" si="126"/>
        <v/>
      </c>
      <c r="AE106" s="8" t="str">
        <f t="shared" si="126"/>
        <v/>
      </c>
      <c r="AF106" s="8" t="str">
        <f t="shared" si="126"/>
        <v/>
      </c>
      <c r="AG106" s="8" t="str">
        <f t="shared" si="126"/>
        <v/>
      </c>
      <c r="AH106" s="8" t="str">
        <f t="shared" si="126"/>
        <v/>
      </c>
      <c r="AI106" s="8" t="str">
        <f t="shared" si="126"/>
        <v/>
      </c>
      <c r="AN106" s="8">
        <f t="shared" ref="AN106:BD106" si="127">IFERROR(AN52/AN88,"")</f>
        <v>1</v>
      </c>
      <c r="AO106" s="8">
        <f t="shared" si="127"/>
        <v>2.25</v>
      </c>
      <c r="AP106" s="8">
        <f t="shared" si="127"/>
        <v>2.6</v>
      </c>
      <c r="AQ106" s="8">
        <f t="shared" si="127"/>
        <v>2.8</v>
      </c>
      <c r="AR106" s="8">
        <f t="shared" si="127"/>
        <v>3.5</v>
      </c>
      <c r="AS106" s="8">
        <f t="shared" si="127"/>
        <v>1</v>
      </c>
      <c r="AT106" s="8">
        <f t="shared" si="127"/>
        <v>2</v>
      </c>
      <c r="AU106" s="8" t="str">
        <f t="shared" si="127"/>
        <v/>
      </c>
      <c r="AV106" s="8" t="str">
        <f t="shared" si="127"/>
        <v/>
      </c>
      <c r="AW106" s="8" t="str">
        <f t="shared" si="127"/>
        <v/>
      </c>
      <c r="AX106" s="8" t="str">
        <f t="shared" si="127"/>
        <v/>
      </c>
      <c r="AY106" s="8" t="str">
        <f t="shared" si="127"/>
        <v/>
      </c>
      <c r="AZ106" s="8">
        <f t="shared" si="127"/>
        <v>2.3666666666666667</v>
      </c>
      <c r="BA106" s="8">
        <f t="shared" si="127"/>
        <v>2.2999999999999998</v>
      </c>
      <c r="BB106" s="8">
        <f t="shared" si="127"/>
        <v>2.5</v>
      </c>
      <c r="BC106" s="8">
        <f t="shared" si="127"/>
        <v>2</v>
      </c>
      <c r="BD106" s="8" t="str">
        <f t="shared" si="127"/>
        <v/>
      </c>
    </row>
    <row r="107" spans="1:56" x14ac:dyDescent="0.25">
      <c r="B107" s="12">
        <f>IFERROR(B53/B89,"")</f>
        <v>2.6260869565217391</v>
      </c>
      <c r="C107" s="12">
        <f t="shared" ref="C107:AI107" si="128">IFERROR(C53/C89,"")</f>
        <v>2.3374999999999999</v>
      </c>
      <c r="D107" s="12">
        <f t="shared" si="128"/>
        <v>4.048</v>
      </c>
      <c r="E107" s="12">
        <f t="shared" si="128"/>
        <v>3.6592592592592594</v>
      </c>
      <c r="F107" s="12">
        <f t="shared" si="128"/>
        <v>2.9791666666666665</v>
      </c>
      <c r="G107" s="12">
        <f t="shared" si="128"/>
        <v>4.3037037037037038</v>
      </c>
      <c r="H107" s="12">
        <f t="shared" si="128"/>
        <v>3.9090909090909092</v>
      </c>
      <c r="I107" s="12">
        <f t="shared" si="128"/>
        <v>3.1158536585365852</v>
      </c>
      <c r="J107" s="12">
        <f t="shared" si="128"/>
        <v>3.8411764705882354</v>
      </c>
      <c r="K107" s="12">
        <f t="shared" si="128"/>
        <v>4.4120879120879124</v>
      </c>
      <c r="L107" s="12">
        <f t="shared" si="128"/>
        <v>5.4472361809045227</v>
      </c>
      <c r="M107" s="12">
        <f t="shared" si="128"/>
        <v>5.8112244897959187</v>
      </c>
      <c r="N107" s="12">
        <f t="shared" si="128"/>
        <v>2.5988700564971752</v>
      </c>
      <c r="O107" s="12">
        <f t="shared" si="128"/>
        <v>3.5029940119760479</v>
      </c>
      <c r="P107" s="12">
        <f t="shared" si="128"/>
        <v>5.0883977900552484</v>
      </c>
      <c r="Q107" s="12">
        <f t="shared" si="128"/>
        <v>4.2784090909090908</v>
      </c>
      <c r="R107" s="12">
        <f t="shared" si="128"/>
        <v>5.5178571428571432</v>
      </c>
      <c r="S107" s="12">
        <f t="shared" si="128"/>
        <v>5.6809815950920246</v>
      </c>
      <c r="T107" s="12">
        <f t="shared" si="128"/>
        <v>5.1517241379310343</v>
      </c>
      <c r="U107" s="12">
        <f t="shared" si="128"/>
        <v>3.9161073825503356</v>
      </c>
      <c r="V107" s="12">
        <f t="shared" si="128"/>
        <v>4.16</v>
      </c>
      <c r="W107" s="12">
        <f t="shared" si="128"/>
        <v>3.9300911854103342</v>
      </c>
      <c r="X107" s="12">
        <f t="shared" si="128"/>
        <v>3.2272727272727271</v>
      </c>
      <c r="Y107" s="12">
        <f t="shared" si="128"/>
        <v>4.7630769230769232</v>
      </c>
      <c r="Z107" s="12">
        <f t="shared" si="128"/>
        <v>4.5191163976210706</v>
      </c>
      <c r="AA107" s="12">
        <f t="shared" si="128"/>
        <v>3.744761904761905</v>
      </c>
      <c r="AB107" s="12">
        <f t="shared" si="128"/>
        <v>5.1400394477317555</v>
      </c>
      <c r="AC107" s="12">
        <f t="shared" si="128"/>
        <v>4.259052924791086</v>
      </c>
      <c r="AD107" s="12">
        <f t="shared" si="128"/>
        <v>4.0042553191489363</v>
      </c>
      <c r="AE107" s="12">
        <f t="shared" si="128"/>
        <v>3.4868871151653362</v>
      </c>
      <c r="AF107" s="12">
        <f t="shared" si="128"/>
        <v>3.109375</v>
      </c>
      <c r="AG107" s="12">
        <f t="shared" si="128"/>
        <v>3.6328502415458939</v>
      </c>
      <c r="AH107" s="12">
        <f t="shared" si="128"/>
        <v>3.6121593291404612</v>
      </c>
      <c r="AI107" s="12">
        <f t="shared" si="128"/>
        <v>5.2443674176776431</v>
      </c>
      <c r="AN107" s="12">
        <f t="shared" ref="AN107:BD107" si="129">IFERROR(AN53/AN89,"")</f>
        <v>2.875</v>
      </c>
      <c r="AO107" s="12">
        <f t="shared" si="129"/>
        <v>5.0192307692307692</v>
      </c>
      <c r="AP107" s="12">
        <f t="shared" si="129"/>
        <v>5.477966101694915</v>
      </c>
      <c r="AQ107" s="12">
        <f t="shared" si="129"/>
        <v>4.1866666666666665</v>
      </c>
      <c r="AR107" s="12">
        <f t="shared" si="129"/>
        <v>3.6808510638297873</v>
      </c>
      <c r="AS107" s="12">
        <f t="shared" si="129"/>
        <v>3.3730769230769231</v>
      </c>
      <c r="AT107" s="12">
        <f t="shared" si="129"/>
        <v>4.0896860986547088</v>
      </c>
      <c r="AU107" s="12" t="str">
        <f t="shared" si="129"/>
        <v/>
      </c>
      <c r="AV107" s="12" t="str">
        <f t="shared" si="129"/>
        <v/>
      </c>
      <c r="AW107" s="12" t="str">
        <f t="shared" si="129"/>
        <v/>
      </c>
      <c r="AX107" s="12" t="str">
        <f t="shared" si="129"/>
        <v/>
      </c>
      <c r="AY107" s="12" t="str">
        <f t="shared" si="129"/>
        <v/>
      </c>
      <c r="AZ107" s="12">
        <f t="shared" si="129"/>
        <v>4.1420086393088553</v>
      </c>
      <c r="BA107" s="12">
        <f t="shared" si="129"/>
        <v>4.5590851334180433</v>
      </c>
      <c r="BB107" s="12">
        <f t="shared" si="129"/>
        <v>3.7660332541567696</v>
      </c>
      <c r="BC107" s="12">
        <f t="shared" si="129"/>
        <v>4.0896860986547088</v>
      </c>
      <c r="BD107" s="12" t="str">
        <f t="shared" si="129"/>
        <v/>
      </c>
    </row>
    <row r="109" spans="1:56" s="9" customFormat="1" x14ac:dyDescent="0.25">
      <c r="A109" s="9" t="s">
        <v>69</v>
      </c>
      <c r="B109" s="18">
        <v>1501</v>
      </c>
      <c r="C109" s="18">
        <v>1502</v>
      </c>
      <c r="D109" s="18">
        <v>1503</v>
      </c>
      <c r="E109" s="18">
        <v>1504</v>
      </c>
      <c r="F109" s="18">
        <v>1505</v>
      </c>
      <c r="G109" s="18">
        <v>1506</v>
      </c>
      <c r="H109" s="18">
        <v>1507</v>
      </c>
      <c r="I109" s="18">
        <v>1508</v>
      </c>
      <c r="J109" s="18">
        <v>1509</v>
      </c>
      <c r="K109" s="18">
        <v>1510</v>
      </c>
      <c r="L109" s="18">
        <v>1511</v>
      </c>
      <c r="M109" s="18">
        <v>1512</v>
      </c>
      <c r="N109" s="18">
        <v>1601</v>
      </c>
      <c r="O109" s="18">
        <v>1602</v>
      </c>
      <c r="P109" s="18">
        <v>1603</v>
      </c>
      <c r="Q109" s="18">
        <v>1604</v>
      </c>
      <c r="R109" s="18">
        <v>1605</v>
      </c>
      <c r="S109" s="18">
        <v>1606</v>
      </c>
      <c r="T109" s="18">
        <v>1607</v>
      </c>
      <c r="U109" s="18">
        <v>1608</v>
      </c>
      <c r="V109" s="18">
        <v>1609</v>
      </c>
      <c r="W109" s="18">
        <v>1610</v>
      </c>
      <c r="X109" s="18">
        <v>1611</v>
      </c>
      <c r="Y109" s="18">
        <v>1612</v>
      </c>
      <c r="Z109" s="19" t="s">
        <v>52</v>
      </c>
      <c r="AA109" s="19" t="s">
        <v>56</v>
      </c>
      <c r="AB109" s="19" t="s">
        <v>57</v>
      </c>
      <c r="AC109" s="19" t="s">
        <v>58</v>
      </c>
      <c r="AD109" s="19" t="s">
        <v>59</v>
      </c>
      <c r="AE109" s="20" t="s">
        <v>53</v>
      </c>
      <c r="AF109" s="20" t="s">
        <v>60</v>
      </c>
      <c r="AG109" s="20" t="s">
        <v>61</v>
      </c>
      <c r="AH109" s="20" t="s">
        <v>62</v>
      </c>
      <c r="AI109" s="20" t="s">
        <v>63</v>
      </c>
      <c r="AN109" s="18">
        <v>1701</v>
      </c>
      <c r="AO109" s="18">
        <v>1702</v>
      </c>
      <c r="AP109" s="18">
        <v>1703</v>
      </c>
      <c r="AQ109" s="18">
        <v>1704</v>
      </c>
      <c r="AR109" s="18">
        <v>1705</v>
      </c>
      <c r="AS109" s="18">
        <v>1706</v>
      </c>
      <c r="AT109" s="18">
        <v>1707</v>
      </c>
      <c r="AU109" s="18">
        <v>1708</v>
      </c>
      <c r="AV109" s="18">
        <v>1709</v>
      </c>
      <c r="AW109" s="18">
        <v>1710</v>
      </c>
      <c r="AX109" s="18">
        <v>1711</v>
      </c>
      <c r="AY109" s="18">
        <v>1712</v>
      </c>
      <c r="AZ109" s="19" t="s">
        <v>184</v>
      </c>
      <c r="BA109" s="19" t="s">
        <v>185</v>
      </c>
      <c r="BB109" s="19" t="s">
        <v>186</v>
      </c>
      <c r="BC109" s="19" t="s">
        <v>187</v>
      </c>
      <c r="BD109" s="19" t="s">
        <v>188</v>
      </c>
    </row>
    <row r="110" spans="1:56" x14ac:dyDescent="0.25">
      <c r="A110" s="17" t="s">
        <v>71</v>
      </c>
      <c r="B110" s="33">
        <f t="shared" ref="B110:AI110" si="130">IFERROR(B18/B47,0)</f>
        <v>19.506846153846151</v>
      </c>
      <c r="C110" s="33">
        <f t="shared" si="130"/>
        <v>14.801285714285717</v>
      </c>
      <c r="D110" s="33">
        <f t="shared" si="130"/>
        <v>20.58913978494623</v>
      </c>
      <c r="E110" s="33">
        <f t="shared" si="130"/>
        <v>17.545113207547168</v>
      </c>
      <c r="F110" s="33">
        <f t="shared" si="130"/>
        <v>14.705301369863012</v>
      </c>
      <c r="G110" s="33">
        <f t="shared" si="130"/>
        <v>19.39152083333332</v>
      </c>
      <c r="H110" s="33">
        <f t="shared" si="130"/>
        <v>22.263423076923079</v>
      </c>
      <c r="I110" s="33">
        <f t="shared" si="130"/>
        <v>16.900500000000001</v>
      </c>
      <c r="J110" s="33">
        <f t="shared" si="130"/>
        <v>19.812681034482761</v>
      </c>
      <c r="K110" s="33">
        <f t="shared" si="130"/>
        <v>12.643923076923077</v>
      </c>
      <c r="L110" s="33">
        <f t="shared" si="130"/>
        <v>10.186</v>
      </c>
      <c r="M110" s="33">
        <f t="shared" si="130"/>
        <v>0</v>
      </c>
      <c r="N110" s="33">
        <f t="shared" si="130"/>
        <v>22.065000000000001</v>
      </c>
      <c r="O110" s="33">
        <f t="shared" si="130"/>
        <v>0</v>
      </c>
      <c r="P110" s="33">
        <f t="shared" si="130"/>
        <v>17.437999999999999</v>
      </c>
      <c r="Q110" s="33">
        <f t="shared" si="130"/>
        <v>0</v>
      </c>
      <c r="R110" s="33">
        <f t="shared" si="130"/>
        <v>0</v>
      </c>
      <c r="S110" s="33">
        <f t="shared" si="130"/>
        <v>11.705</v>
      </c>
      <c r="T110" s="33">
        <f t="shared" si="130"/>
        <v>0</v>
      </c>
      <c r="U110" s="33">
        <f t="shared" si="130"/>
        <v>11.101000000000001</v>
      </c>
      <c r="V110" s="33">
        <f t="shared" si="130"/>
        <v>0</v>
      </c>
      <c r="W110" s="33">
        <f t="shared" si="130"/>
        <v>0</v>
      </c>
      <c r="X110" s="33">
        <f t="shared" si="130"/>
        <v>0</v>
      </c>
      <c r="Y110" s="33">
        <f t="shared" si="130"/>
        <v>0</v>
      </c>
      <c r="Z110" s="33">
        <f t="shared" si="130"/>
        <v>15.728249999999999</v>
      </c>
      <c r="AA110" s="33">
        <f t="shared" si="130"/>
        <v>19.7515</v>
      </c>
      <c r="AB110" s="33">
        <f t="shared" si="130"/>
        <v>11.705</v>
      </c>
      <c r="AC110" s="33">
        <f t="shared" si="130"/>
        <v>11.101000000000001</v>
      </c>
      <c r="AD110" s="33">
        <f t="shared" si="130"/>
        <v>0</v>
      </c>
      <c r="AE110" s="33">
        <f t="shared" si="130"/>
        <v>18.614824137931031</v>
      </c>
      <c r="AF110" s="33">
        <f t="shared" si="130"/>
        <v>18.789409691629952</v>
      </c>
      <c r="AG110" s="33">
        <f t="shared" si="130"/>
        <v>17.435836363636358</v>
      </c>
      <c r="AH110" s="33">
        <f t="shared" si="130"/>
        <v>19.68035661764706</v>
      </c>
      <c r="AI110" s="33">
        <f t="shared" si="130"/>
        <v>12.468357142857144</v>
      </c>
      <c r="AN110" s="33">
        <f t="shared" ref="AN110:BD110" si="131">IFERROR(AN18/AN47,0)</f>
        <v>0</v>
      </c>
      <c r="AO110" s="33">
        <f t="shared" si="131"/>
        <v>0</v>
      </c>
      <c r="AP110" s="33">
        <f t="shared" si="131"/>
        <v>0</v>
      </c>
      <c r="AQ110" s="33">
        <f t="shared" si="131"/>
        <v>17.22</v>
      </c>
      <c r="AR110" s="33">
        <f t="shared" si="131"/>
        <v>18.975000000000001</v>
      </c>
      <c r="AS110" s="33">
        <f t="shared" si="131"/>
        <v>29.297499999999999</v>
      </c>
      <c r="AT110" s="33">
        <f t="shared" si="131"/>
        <v>27.083333333333332</v>
      </c>
      <c r="AU110" s="33">
        <f t="shared" si="131"/>
        <v>0</v>
      </c>
      <c r="AV110" s="33">
        <f t="shared" si="131"/>
        <v>0</v>
      </c>
      <c r="AW110" s="33">
        <f t="shared" si="131"/>
        <v>0</v>
      </c>
      <c r="AX110" s="33">
        <f t="shared" si="131"/>
        <v>0</v>
      </c>
      <c r="AY110" s="33">
        <f t="shared" si="131"/>
        <v>0</v>
      </c>
      <c r="AZ110" s="33">
        <f t="shared" si="131"/>
        <v>26.028461538461539</v>
      </c>
      <c r="BA110" s="33">
        <f t="shared" si="131"/>
        <v>0</v>
      </c>
      <c r="BB110" s="33">
        <f t="shared" si="131"/>
        <v>25.124285714285715</v>
      </c>
      <c r="BC110" s="33">
        <f t="shared" si="131"/>
        <v>27.083333333333332</v>
      </c>
      <c r="BD110" s="33">
        <f t="shared" si="131"/>
        <v>0</v>
      </c>
    </row>
    <row r="111" spans="1:56" x14ac:dyDescent="0.25">
      <c r="A111" s="17" t="s">
        <v>47</v>
      </c>
      <c r="B111" s="33">
        <f t="shared" ref="B111:AI111" si="132">IFERROR(B19/B48,0)</f>
        <v>16.371111607142858</v>
      </c>
      <c r="C111" s="33">
        <f t="shared" si="132"/>
        <v>17.514893129770993</v>
      </c>
      <c r="D111" s="33">
        <f t="shared" si="132"/>
        <v>17.818079903147702</v>
      </c>
      <c r="E111" s="33">
        <f t="shared" si="132"/>
        <v>16.794074742268041</v>
      </c>
      <c r="F111" s="33">
        <f t="shared" si="132"/>
        <v>18.451550561797752</v>
      </c>
      <c r="G111" s="33">
        <f t="shared" si="132"/>
        <v>17.693835051546412</v>
      </c>
      <c r="H111" s="33">
        <f t="shared" si="132"/>
        <v>17.225577083333334</v>
      </c>
      <c r="I111" s="33">
        <f t="shared" si="132"/>
        <v>16.246083123425691</v>
      </c>
      <c r="J111" s="33">
        <f t="shared" si="132"/>
        <v>17.704861507128332</v>
      </c>
      <c r="K111" s="33">
        <f t="shared" si="132"/>
        <v>18.007549215406563</v>
      </c>
      <c r="L111" s="33">
        <f t="shared" si="132"/>
        <v>17.732056382978726</v>
      </c>
      <c r="M111" s="33">
        <f t="shared" si="132"/>
        <v>17.548061203319499</v>
      </c>
      <c r="N111" s="33">
        <f t="shared" si="132"/>
        <v>15.832688022284124</v>
      </c>
      <c r="O111" s="33">
        <f t="shared" si="132"/>
        <v>16.982007575757592</v>
      </c>
      <c r="P111" s="33">
        <f t="shared" si="132"/>
        <v>16.6227162954279</v>
      </c>
      <c r="Q111" s="33">
        <f t="shared" si="132"/>
        <v>16.721427556818181</v>
      </c>
      <c r="R111" s="33">
        <f t="shared" si="132"/>
        <v>17.392261168384881</v>
      </c>
      <c r="S111" s="33">
        <f t="shared" si="132"/>
        <v>17.748109756097563</v>
      </c>
      <c r="T111" s="33">
        <f t="shared" si="132"/>
        <v>17.414381720430107</v>
      </c>
      <c r="U111" s="33">
        <f t="shared" si="132"/>
        <v>18.149742825607067</v>
      </c>
      <c r="V111" s="33">
        <f t="shared" si="132"/>
        <v>19.472442967884806</v>
      </c>
      <c r="W111" s="33">
        <f t="shared" si="132"/>
        <v>17.298837330552658</v>
      </c>
      <c r="X111" s="33">
        <f t="shared" si="132"/>
        <v>18.47947041847042</v>
      </c>
      <c r="Y111" s="33">
        <f t="shared" si="132"/>
        <v>19.57770541401274</v>
      </c>
      <c r="Z111" s="33">
        <f t="shared" si="132"/>
        <v>17.076372355430184</v>
      </c>
      <c r="AA111" s="33">
        <f t="shared" si="132"/>
        <v>16.568742528735637</v>
      </c>
      <c r="AB111" s="33">
        <f t="shared" si="132"/>
        <v>17.331231948366277</v>
      </c>
      <c r="AC111" s="33">
        <f t="shared" si="132"/>
        <v>18.403283587935757</v>
      </c>
      <c r="AD111" s="33">
        <f t="shared" si="132"/>
        <v>18.564462173314997</v>
      </c>
      <c r="AE111" s="33">
        <f t="shared" si="132"/>
        <v>17.462691562373845</v>
      </c>
      <c r="AF111" s="33">
        <f t="shared" si="132"/>
        <v>17.344332031250001</v>
      </c>
      <c r="AG111" s="33">
        <f t="shared" si="132"/>
        <v>17.629262001627346</v>
      </c>
      <c r="AH111" s="33">
        <f t="shared" si="132"/>
        <v>17.113347222222227</v>
      </c>
      <c r="AI111" s="33">
        <f t="shared" si="132"/>
        <v>17.738102111324377</v>
      </c>
      <c r="AN111" s="33">
        <f t="shared" ref="AN111:BD111" si="133">IFERROR(AN19/AN48,0)</f>
        <v>18.257545105566219</v>
      </c>
      <c r="AO111" s="33">
        <f t="shared" si="133"/>
        <v>16.9317064721969</v>
      </c>
      <c r="AP111" s="33">
        <f t="shared" si="133"/>
        <v>18.766534653465353</v>
      </c>
      <c r="AQ111" s="33">
        <f t="shared" si="133"/>
        <v>18.620262054507339</v>
      </c>
      <c r="AR111" s="33">
        <f t="shared" si="133"/>
        <v>19.282934362934359</v>
      </c>
      <c r="AS111" s="33">
        <f t="shared" si="133"/>
        <v>19.457255747126435</v>
      </c>
      <c r="AT111" s="33">
        <f t="shared" si="133"/>
        <v>19.888018111254851</v>
      </c>
      <c r="AU111" s="33">
        <f t="shared" si="133"/>
        <v>0</v>
      </c>
      <c r="AV111" s="33">
        <f t="shared" si="133"/>
        <v>0</v>
      </c>
      <c r="AW111" s="33">
        <f t="shared" si="133"/>
        <v>0</v>
      </c>
      <c r="AX111" s="33">
        <f t="shared" si="133"/>
        <v>0</v>
      </c>
      <c r="AY111" s="33">
        <f t="shared" si="133"/>
        <v>0</v>
      </c>
      <c r="AZ111" s="33">
        <f t="shared" si="133"/>
        <v>18.655648590381425</v>
      </c>
      <c r="BA111" s="33">
        <f t="shared" si="133"/>
        <v>17.961591166077742</v>
      </c>
      <c r="BB111" s="33">
        <f t="shared" si="133"/>
        <v>19.072443345694271</v>
      </c>
      <c r="BC111" s="33">
        <f t="shared" si="133"/>
        <v>19.888018111254851</v>
      </c>
      <c r="BD111" s="33">
        <f t="shared" si="133"/>
        <v>0</v>
      </c>
    </row>
    <row r="112" spans="1:56" x14ac:dyDescent="0.25">
      <c r="A112" s="17" t="s">
        <v>116</v>
      </c>
      <c r="B112" s="33">
        <f t="shared" ref="B112:AI112" si="134">IFERROR(B20/B49,0)</f>
        <v>0</v>
      </c>
      <c r="C112" s="33">
        <f t="shared" si="134"/>
        <v>0</v>
      </c>
      <c r="D112" s="33">
        <f t="shared" si="134"/>
        <v>0</v>
      </c>
      <c r="E112" s="33">
        <f t="shared" si="134"/>
        <v>0</v>
      </c>
      <c r="F112" s="33">
        <f t="shared" si="134"/>
        <v>0</v>
      </c>
      <c r="G112" s="33">
        <f t="shared" si="134"/>
        <v>0</v>
      </c>
      <c r="H112" s="33">
        <f t="shared" si="134"/>
        <v>0</v>
      </c>
      <c r="I112" s="33">
        <f t="shared" si="134"/>
        <v>0</v>
      </c>
      <c r="J112" s="33">
        <f t="shared" si="134"/>
        <v>0</v>
      </c>
      <c r="K112" s="33">
        <f t="shared" si="134"/>
        <v>0</v>
      </c>
      <c r="L112" s="33">
        <f t="shared" si="134"/>
        <v>0</v>
      </c>
      <c r="M112" s="33">
        <f t="shared" si="134"/>
        <v>0</v>
      </c>
      <c r="N112" s="33">
        <f t="shared" si="134"/>
        <v>0</v>
      </c>
      <c r="O112" s="33">
        <f t="shared" si="134"/>
        <v>0</v>
      </c>
      <c r="P112" s="33">
        <f t="shared" si="134"/>
        <v>0</v>
      </c>
      <c r="Q112" s="33">
        <f t="shared" si="134"/>
        <v>0</v>
      </c>
      <c r="R112" s="33">
        <f t="shared" si="134"/>
        <v>0</v>
      </c>
      <c r="S112" s="33">
        <f t="shared" si="134"/>
        <v>0</v>
      </c>
      <c r="T112" s="33">
        <f t="shared" si="134"/>
        <v>0</v>
      </c>
      <c r="U112" s="33">
        <f t="shared" si="134"/>
        <v>14.32595238095238</v>
      </c>
      <c r="V112" s="33">
        <f t="shared" si="134"/>
        <v>15.521676923076923</v>
      </c>
      <c r="W112" s="33">
        <f t="shared" si="134"/>
        <v>15.236934640522874</v>
      </c>
      <c r="X112" s="33">
        <f t="shared" si="134"/>
        <v>16.330353233830841</v>
      </c>
      <c r="Y112" s="33">
        <f t="shared" si="134"/>
        <v>18.938014134275615</v>
      </c>
      <c r="Z112" s="33">
        <f t="shared" si="134"/>
        <v>0</v>
      </c>
      <c r="AA112" s="33">
        <f t="shared" si="134"/>
        <v>0</v>
      </c>
      <c r="AB112" s="33">
        <f t="shared" si="134"/>
        <v>0</v>
      </c>
      <c r="AC112" s="33">
        <f t="shared" si="134"/>
        <v>14.90167160493827</v>
      </c>
      <c r="AD112" s="33">
        <f t="shared" si="134"/>
        <v>16.840963291139236</v>
      </c>
      <c r="AE112" s="33">
        <f t="shared" si="134"/>
        <v>0</v>
      </c>
      <c r="AF112" s="33">
        <f t="shared" si="134"/>
        <v>0</v>
      </c>
      <c r="AG112" s="33">
        <f t="shared" si="134"/>
        <v>0</v>
      </c>
      <c r="AH112" s="33">
        <f t="shared" si="134"/>
        <v>0</v>
      </c>
      <c r="AI112" s="33">
        <f t="shared" si="134"/>
        <v>0</v>
      </c>
      <c r="AN112" s="33">
        <f t="shared" ref="AN112:BD112" si="135">IFERROR(AN20/AN49,0)</f>
        <v>15.320880794701987</v>
      </c>
      <c r="AO112" s="33">
        <f t="shared" si="135"/>
        <v>14.958100502512565</v>
      </c>
      <c r="AP112" s="33">
        <f t="shared" si="135"/>
        <v>18.194942528735634</v>
      </c>
      <c r="AQ112" s="33">
        <f t="shared" si="135"/>
        <v>18.09095238095238</v>
      </c>
      <c r="AR112" s="33">
        <f t="shared" si="135"/>
        <v>20.058633879781425</v>
      </c>
      <c r="AS112" s="33">
        <f t="shared" si="135"/>
        <v>17.24963414634146</v>
      </c>
      <c r="AT112" s="33">
        <f t="shared" si="135"/>
        <v>26.330831460674158</v>
      </c>
      <c r="AU112" s="33">
        <f t="shared" si="135"/>
        <v>0</v>
      </c>
      <c r="AV112" s="33">
        <f t="shared" si="135"/>
        <v>0</v>
      </c>
      <c r="AW112" s="33">
        <f t="shared" si="135"/>
        <v>0</v>
      </c>
      <c r="AX112" s="33">
        <f t="shared" si="135"/>
        <v>0</v>
      </c>
      <c r="AY112" s="33">
        <f t="shared" si="135"/>
        <v>0</v>
      </c>
      <c r="AZ112" s="33">
        <f t="shared" si="135"/>
        <v>18.105696804364772</v>
      </c>
      <c r="BA112" s="33">
        <f t="shared" si="135"/>
        <v>16.650365329512894</v>
      </c>
      <c r="BB112" s="33">
        <f t="shared" si="135"/>
        <v>18.677842741935486</v>
      </c>
      <c r="BC112" s="33">
        <f t="shared" si="135"/>
        <v>26.330831460674158</v>
      </c>
      <c r="BD112" s="33">
        <f t="shared" si="135"/>
        <v>0</v>
      </c>
    </row>
    <row r="113" spans="1:56" x14ac:dyDescent="0.25">
      <c r="A113" s="17" t="s">
        <v>48</v>
      </c>
      <c r="B113" s="33">
        <f t="shared" ref="B113:AI113" si="136">IFERROR(B21/B50,0)</f>
        <v>0</v>
      </c>
      <c r="C113" s="33">
        <f t="shared" si="136"/>
        <v>0</v>
      </c>
      <c r="D113" s="33">
        <f t="shared" si="136"/>
        <v>0</v>
      </c>
      <c r="E113" s="33">
        <f t="shared" si="136"/>
        <v>0</v>
      </c>
      <c r="F113" s="33">
        <f t="shared" si="136"/>
        <v>0</v>
      </c>
      <c r="G113" s="33">
        <f t="shared" si="136"/>
        <v>0</v>
      </c>
      <c r="H113" s="33">
        <f t="shared" si="136"/>
        <v>21.552</v>
      </c>
      <c r="I113" s="33">
        <f t="shared" si="136"/>
        <v>14.919555555555556</v>
      </c>
      <c r="J113" s="33">
        <f t="shared" si="136"/>
        <v>23.65828260869565</v>
      </c>
      <c r="K113" s="33">
        <f t="shared" si="136"/>
        <v>20.263817391304347</v>
      </c>
      <c r="L113" s="33">
        <f t="shared" si="136"/>
        <v>17.154793103448277</v>
      </c>
      <c r="M113" s="33">
        <f t="shared" si="136"/>
        <v>21.836194285714285</v>
      </c>
      <c r="N113" s="33">
        <f t="shared" si="136"/>
        <v>19.053656862745097</v>
      </c>
      <c r="O113" s="33">
        <f t="shared" si="136"/>
        <v>18.78922807017544</v>
      </c>
      <c r="P113" s="33">
        <f t="shared" si="136"/>
        <v>18.277463768115943</v>
      </c>
      <c r="Q113" s="33">
        <f t="shared" si="136"/>
        <v>18.090346938775511</v>
      </c>
      <c r="R113" s="33">
        <f t="shared" si="136"/>
        <v>18.131055555555555</v>
      </c>
      <c r="S113" s="33">
        <f t="shared" si="136"/>
        <v>15.741884615384615</v>
      </c>
      <c r="T113" s="33">
        <f t="shared" si="136"/>
        <v>-33.05833333333333</v>
      </c>
      <c r="U113" s="33">
        <f t="shared" si="136"/>
        <v>13.950442307692308</v>
      </c>
      <c r="V113" s="33">
        <f t="shared" si="136"/>
        <v>13.566521739130433</v>
      </c>
      <c r="W113" s="33">
        <f t="shared" si="136"/>
        <v>17.406535714285717</v>
      </c>
      <c r="X113" s="33">
        <f t="shared" si="136"/>
        <v>12.57044827586207</v>
      </c>
      <c r="Y113" s="33">
        <f t="shared" si="136"/>
        <v>14.985000000000001</v>
      </c>
      <c r="Z113" s="33">
        <f t="shared" si="136"/>
        <v>17.920061111111107</v>
      </c>
      <c r="AA113" s="33">
        <f t="shared" si="136"/>
        <v>18.752649122807014</v>
      </c>
      <c r="AB113" s="33">
        <f t="shared" si="136"/>
        <v>17.63405426356589</v>
      </c>
      <c r="AC113" s="33">
        <f t="shared" si="136"/>
        <v>12.379287128712871</v>
      </c>
      <c r="AD113" s="33">
        <f t="shared" si="136"/>
        <v>14.951378787878788</v>
      </c>
      <c r="AE113" s="33">
        <f t="shared" si="136"/>
        <v>21.552</v>
      </c>
      <c r="AF113" s="33">
        <f t="shared" si="136"/>
        <v>0</v>
      </c>
      <c r="AG113" s="33">
        <f t="shared" si="136"/>
        <v>0</v>
      </c>
      <c r="AH113" s="33">
        <f t="shared" si="136"/>
        <v>19.842614457831324</v>
      </c>
      <c r="AI113" s="33">
        <f t="shared" si="136"/>
        <v>19.860041379310342</v>
      </c>
      <c r="AN113" s="33">
        <f t="shared" ref="AN113:BD113" si="137">IFERROR(AN21/AN50,0)</f>
        <v>11.741833333333332</v>
      </c>
      <c r="AO113" s="33">
        <f t="shared" si="137"/>
        <v>0</v>
      </c>
      <c r="AP113" s="33">
        <f t="shared" si="137"/>
        <v>0</v>
      </c>
      <c r="AQ113" s="33">
        <f t="shared" si="137"/>
        <v>0</v>
      </c>
      <c r="AR113" s="33">
        <f t="shared" si="137"/>
        <v>0</v>
      </c>
      <c r="AS113" s="33">
        <f t="shared" si="137"/>
        <v>0</v>
      </c>
      <c r="AT113" s="33">
        <f t="shared" si="137"/>
        <v>0</v>
      </c>
      <c r="AU113" s="33">
        <f t="shared" si="137"/>
        <v>0</v>
      </c>
      <c r="AV113" s="33">
        <f t="shared" si="137"/>
        <v>0</v>
      </c>
      <c r="AW113" s="33">
        <f t="shared" si="137"/>
        <v>0</v>
      </c>
      <c r="AX113" s="33">
        <f t="shared" si="137"/>
        <v>0</v>
      </c>
      <c r="AY113" s="33">
        <f t="shared" si="137"/>
        <v>0</v>
      </c>
      <c r="AZ113" s="33">
        <f t="shared" si="137"/>
        <v>11.741833333333332</v>
      </c>
      <c r="BA113" s="33">
        <f t="shared" si="137"/>
        <v>11.741833333333332</v>
      </c>
      <c r="BB113" s="33">
        <f t="shared" si="137"/>
        <v>0</v>
      </c>
      <c r="BC113" s="33">
        <f t="shared" si="137"/>
        <v>0</v>
      </c>
      <c r="BD113" s="33">
        <f t="shared" si="137"/>
        <v>0</v>
      </c>
    </row>
    <row r="114" spans="1:56" x14ac:dyDescent="0.25">
      <c r="A114" s="17" t="s">
        <v>208</v>
      </c>
      <c r="B114" s="33">
        <f t="shared" ref="B114:AI114" si="138">IFERROR(B22/B51,0)</f>
        <v>0</v>
      </c>
      <c r="C114" s="33">
        <f t="shared" si="138"/>
        <v>0</v>
      </c>
      <c r="D114" s="33">
        <f t="shared" si="138"/>
        <v>0</v>
      </c>
      <c r="E114" s="33">
        <f t="shared" si="138"/>
        <v>0</v>
      </c>
      <c r="F114" s="33">
        <f t="shared" si="138"/>
        <v>0</v>
      </c>
      <c r="G114" s="33">
        <f t="shared" si="138"/>
        <v>0</v>
      </c>
      <c r="H114" s="33">
        <f t="shared" si="138"/>
        <v>0</v>
      </c>
      <c r="I114" s="33">
        <f t="shared" si="138"/>
        <v>0</v>
      </c>
      <c r="J114" s="33">
        <f t="shared" si="138"/>
        <v>0</v>
      </c>
      <c r="K114" s="33">
        <f t="shared" si="138"/>
        <v>0</v>
      </c>
      <c r="L114" s="33">
        <f t="shared" si="138"/>
        <v>0</v>
      </c>
      <c r="M114" s="33">
        <f t="shared" si="138"/>
        <v>0</v>
      </c>
      <c r="N114" s="33">
        <f t="shared" si="138"/>
        <v>0</v>
      </c>
      <c r="O114" s="33">
        <f t="shared" si="138"/>
        <v>0</v>
      </c>
      <c r="P114" s="33">
        <f t="shared" si="138"/>
        <v>0</v>
      </c>
      <c r="Q114" s="33">
        <f t="shared" si="138"/>
        <v>0</v>
      </c>
      <c r="R114" s="33">
        <f t="shared" si="138"/>
        <v>0</v>
      </c>
      <c r="S114" s="33">
        <f t="shared" si="138"/>
        <v>0</v>
      </c>
      <c r="T114" s="33">
        <f t="shared" si="138"/>
        <v>0</v>
      </c>
      <c r="U114" s="33">
        <f t="shared" si="138"/>
        <v>0</v>
      </c>
      <c r="V114" s="33">
        <f t="shared" si="138"/>
        <v>0</v>
      </c>
      <c r="W114" s="33">
        <f t="shared" si="138"/>
        <v>0</v>
      </c>
      <c r="X114" s="33">
        <f t="shared" si="138"/>
        <v>0</v>
      </c>
      <c r="Y114" s="33">
        <f t="shared" si="138"/>
        <v>0</v>
      </c>
      <c r="Z114" s="33">
        <f t="shared" si="138"/>
        <v>0</v>
      </c>
      <c r="AA114" s="33">
        <f t="shared" si="138"/>
        <v>0</v>
      </c>
      <c r="AB114" s="33">
        <f t="shared" si="138"/>
        <v>0</v>
      </c>
      <c r="AC114" s="33">
        <f t="shared" si="138"/>
        <v>0</v>
      </c>
      <c r="AD114" s="33">
        <f t="shared" si="138"/>
        <v>0</v>
      </c>
      <c r="AE114" s="33">
        <f t="shared" si="138"/>
        <v>0</v>
      </c>
      <c r="AF114" s="33">
        <f t="shared" si="138"/>
        <v>0</v>
      </c>
      <c r="AG114" s="33">
        <f t="shared" si="138"/>
        <v>0</v>
      </c>
      <c r="AH114" s="33">
        <f t="shared" si="138"/>
        <v>0</v>
      </c>
      <c r="AI114" s="33">
        <f t="shared" si="138"/>
        <v>0</v>
      </c>
      <c r="AN114" s="33">
        <f t="shared" ref="AN114:BD114" si="139">IFERROR(AN22/AN51,0)</f>
        <v>0</v>
      </c>
      <c r="AO114" s="33">
        <f t="shared" si="139"/>
        <v>0</v>
      </c>
      <c r="AP114" s="33">
        <f t="shared" si="139"/>
        <v>16.913720930232557</v>
      </c>
      <c r="AQ114" s="33">
        <f t="shared" si="139"/>
        <v>14.568448275862067</v>
      </c>
      <c r="AR114" s="33">
        <f t="shared" si="139"/>
        <v>17.014339622641508</v>
      </c>
      <c r="AS114" s="33">
        <f t="shared" si="139"/>
        <v>15.215777777777779</v>
      </c>
      <c r="AT114" s="33">
        <f t="shared" si="139"/>
        <v>16.93138888888889</v>
      </c>
      <c r="AU114" s="33">
        <f t="shared" si="139"/>
        <v>0</v>
      </c>
      <c r="AV114" s="33">
        <f t="shared" si="139"/>
        <v>0</v>
      </c>
      <c r="AW114" s="33">
        <f t="shared" si="139"/>
        <v>0</v>
      </c>
      <c r="AX114" s="33">
        <f t="shared" si="139"/>
        <v>0</v>
      </c>
      <c r="AY114" s="33">
        <f t="shared" si="139"/>
        <v>0</v>
      </c>
      <c r="AZ114" s="33">
        <f t="shared" si="139"/>
        <v>15.903464285714284</v>
      </c>
      <c r="BA114" s="33">
        <f t="shared" si="139"/>
        <v>16.913720930232557</v>
      </c>
      <c r="BB114" s="33">
        <f t="shared" si="139"/>
        <v>15.503233830845772</v>
      </c>
      <c r="BC114" s="33">
        <f t="shared" si="139"/>
        <v>16.93138888888889</v>
      </c>
      <c r="BD114" s="33">
        <f t="shared" si="139"/>
        <v>0</v>
      </c>
    </row>
    <row r="115" spans="1:56" x14ac:dyDescent="0.25">
      <c r="A115" s="17" t="s">
        <v>201</v>
      </c>
      <c r="B115" s="33">
        <f t="shared" ref="B115:AI115" si="140">IFERROR(B23/B52,0)</f>
        <v>0</v>
      </c>
      <c r="C115" s="33">
        <f t="shared" si="140"/>
        <v>0</v>
      </c>
      <c r="D115" s="33">
        <f t="shared" si="140"/>
        <v>0</v>
      </c>
      <c r="E115" s="33">
        <f t="shared" si="140"/>
        <v>0</v>
      </c>
      <c r="F115" s="33">
        <f t="shared" si="140"/>
        <v>0</v>
      </c>
      <c r="G115" s="33">
        <f t="shared" si="140"/>
        <v>0</v>
      </c>
      <c r="H115" s="33">
        <f t="shared" si="140"/>
        <v>0</v>
      </c>
      <c r="I115" s="33">
        <f t="shared" si="140"/>
        <v>0</v>
      </c>
      <c r="J115" s="33">
        <f t="shared" si="140"/>
        <v>0</v>
      </c>
      <c r="K115" s="33">
        <f t="shared" si="140"/>
        <v>0</v>
      </c>
      <c r="L115" s="33">
        <f t="shared" si="140"/>
        <v>0</v>
      </c>
      <c r="M115" s="33">
        <f t="shared" si="140"/>
        <v>0</v>
      </c>
      <c r="N115" s="33">
        <f t="shared" si="140"/>
        <v>0</v>
      </c>
      <c r="O115" s="33">
        <f t="shared" si="140"/>
        <v>0</v>
      </c>
      <c r="P115" s="33">
        <f t="shared" si="140"/>
        <v>0</v>
      </c>
      <c r="Q115" s="33">
        <f t="shared" si="140"/>
        <v>0</v>
      </c>
      <c r="R115" s="33">
        <f t="shared" si="140"/>
        <v>0</v>
      </c>
      <c r="S115" s="33">
        <f t="shared" si="140"/>
        <v>0</v>
      </c>
      <c r="T115" s="33">
        <f t="shared" si="140"/>
        <v>0</v>
      </c>
      <c r="U115" s="33">
        <f t="shared" si="140"/>
        <v>0</v>
      </c>
      <c r="V115" s="33">
        <f t="shared" si="140"/>
        <v>0</v>
      </c>
      <c r="W115" s="33">
        <f t="shared" si="140"/>
        <v>0</v>
      </c>
      <c r="X115" s="33">
        <f t="shared" si="140"/>
        <v>0</v>
      </c>
      <c r="Y115" s="33">
        <f t="shared" si="140"/>
        <v>0</v>
      </c>
      <c r="Z115" s="33">
        <f t="shared" si="140"/>
        <v>0</v>
      </c>
      <c r="AA115" s="33">
        <f t="shared" si="140"/>
        <v>0</v>
      </c>
      <c r="AB115" s="33">
        <f t="shared" si="140"/>
        <v>0</v>
      </c>
      <c r="AC115" s="33">
        <f t="shared" si="140"/>
        <v>0</v>
      </c>
      <c r="AD115" s="33">
        <f t="shared" si="140"/>
        <v>0</v>
      </c>
      <c r="AE115" s="33">
        <f t="shared" si="140"/>
        <v>0</v>
      </c>
      <c r="AF115" s="33">
        <f t="shared" si="140"/>
        <v>0</v>
      </c>
      <c r="AG115" s="33">
        <f t="shared" si="140"/>
        <v>0</v>
      </c>
      <c r="AH115" s="33">
        <f t="shared" si="140"/>
        <v>0</v>
      </c>
      <c r="AI115" s="33">
        <f t="shared" si="140"/>
        <v>0</v>
      </c>
      <c r="AN115" s="33">
        <f t="shared" ref="AN115:BD115" si="141">IFERROR(AN23/AN52,0)</f>
        <v>33.945999999999998</v>
      </c>
      <c r="AO115" s="33">
        <f t="shared" si="141"/>
        <v>23.551666666666662</v>
      </c>
      <c r="AP115" s="33">
        <f t="shared" si="141"/>
        <v>25.326153846153847</v>
      </c>
      <c r="AQ115" s="33">
        <f t="shared" si="141"/>
        <v>22.828571428571429</v>
      </c>
      <c r="AR115" s="33">
        <f t="shared" si="141"/>
        <v>16.231904761904762</v>
      </c>
      <c r="AS115" s="33">
        <f t="shared" si="141"/>
        <v>18.228000000000002</v>
      </c>
      <c r="AT115" s="33">
        <f t="shared" si="141"/>
        <v>21.245374999999999</v>
      </c>
      <c r="AU115" s="33">
        <f t="shared" si="141"/>
        <v>0</v>
      </c>
      <c r="AV115" s="33">
        <f t="shared" si="141"/>
        <v>0</v>
      </c>
      <c r="AW115" s="33">
        <f t="shared" si="141"/>
        <v>0</v>
      </c>
      <c r="AX115" s="33">
        <f t="shared" si="141"/>
        <v>0</v>
      </c>
      <c r="AY115" s="33">
        <f t="shared" si="141"/>
        <v>0</v>
      </c>
      <c r="AZ115" s="33">
        <f t="shared" si="141"/>
        <v>21.080619718309862</v>
      </c>
      <c r="BA115" s="33">
        <f t="shared" si="141"/>
        <v>25.006565217391302</v>
      </c>
      <c r="BB115" s="33">
        <f t="shared" si="141"/>
        <v>18.79025</v>
      </c>
      <c r="BC115" s="33">
        <f t="shared" si="141"/>
        <v>21.245374999999999</v>
      </c>
      <c r="BD115" s="33">
        <f t="shared" si="141"/>
        <v>0</v>
      </c>
    </row>
    <row r="116" spans="1:56" x14ac:dyDescent="0.25">
      <c r="B116" s="34">
        <f t="shared" ref="B116:AI116" si="142">IFERROR(B24/B53,0)</f>
        <v>17.181003311258277</v>
      </c>
      <c r="C116" s="34">
        <f t="shared" si="142"/>
        <v>16.702262032085564</v>
      </c>
      <c r="D116" s="34">
        <f t="shared" si="142"/>
        <v>18.327385375494071</v>
      </c>
      <c r="E116" s="34">
        <f t="shared" si="142"/>
        <v>16.955228744939269</v>
      </c>
      <c r="F116" s="34">
        <f t="shared" si="142"/>
        <v>17.814076923076925</v>
      </c>
      <c r="G116" s="34">
        <f t="shared" si="142"/>
        <v>17.974347676419981</v>
      </c>
      <c r="H116" s="34">
        <f t="shared" si="142"/>
        <v>17.93627191413238</v>
      </c>
      <c r="I116" s="34">
        <f t="shared" si="142"/>
        <v>16.252520547945203</v>
      </c>
      <c r="J116" s="34">
        <f t="shared" si="142"/>
        <v>18.498681470137839</v>
      </c>
      <c r="K116" s="34">
        <f t="shared" si="142"/>
        <v>18.417509339975094</v>
      </c>
      <c r="L116" s="34">
        <f t="shared" si="142"/>
        <v>17.661800738007379</v>
      </c>
      <c r="M116" s="34">
        <f t="shared" si="142"/>
        <v>18.206905179982439</v>
      </c>
      <c r="N116" s="34">
        <f t="shared" si="142"/>
        <v>16.533354347826087</v>
      </c>
      <c r="O116" s="34">
        <f t="shared" si="142"/>
        <v>17.158095726495745</v>
      </c>
      <c r="P116" s="34">
        <f t="shared" si="142"/>
        <v>16.745802388707926</v>
      </c>
      <c r="Q116" s="34">
        <f t="shared" si="142"/>
        <v>16.810507304116864</v>
      </c>
      <c r="R116" s="34">
        <f t="shared" si="142"/>
        <v>17.435297734627831</v>
      </c>
      <c r="S116" s="34">
        <f t="shared" si="142"/>
        <v>17.704831533477321</v>
      </c>
      <c r="T116" s="34">
        <f t="shared" si="142"/>
        <v>17.211680053547525</v>
      </c>
      <c r="U116" s="34">
        <f t="shared" si="142"/>
        <v>17.280581833761783</v>
      </c>
      <c r="V116" s="34">
        <f t="shared" si="142"/>
        <v>18.561541083916065</v>
      </c>
      <c r="W116" s="34">
        <f t="shared" si="142"/>
        <v>16.813201856148492</v>
      </c>
      <c r="X116" s="34">
        <f t="shared" si="142"/>
        <v>17.825803900325027</v>
      </c>
      <c r="Y116" s="34">
        <f t="shared" si="142"/>
        <v>19.434057493540053</v>
      </c>
      <c r="Z116" s="34">
        <f t="shared" si="142"/>
        <v>17.13448862568152</v>
      </c>
      <c r="AA116" s="34">
        <f t="shared" si="142"/>
        <v>16.818775686673451</v>
      </c>
      <c r="AB116" s="34">
        <f t="shared" si="142"/>
        <v>17.350539907904832</v>
      </c>
      <c r="AC116" s="34">
        <f t="shared" si="142"/>
        <v>17.742958469587961</v>
      </c>
      <c r="AD116" s="34">
        <f t="shared" si="142"/>
        <v>18.139375132837408</v>
      </c>
      <c r="AE116" s="34">
        <f t="shared" si="142"/>
        <v>17.682549705689997</v>
      </c>
      <c r="AF116" s="34">
        <f t="shared" si="142"/>
        <v>17.674013065326633</v>
      </c>
      <c r="AG116" s="34">
        <f t="shared" si="142"/>
        <v>17.593894946808515</v>
      </c>
      <c r="AH116" s="34">
        <f t="shared" si="142"/>
        <v>17.650059779454445</v>
      </c>
      <c r="AI116" s="34">
        <f t="shared" si="142"/>
        <v>18.067520489094512</v>
      </c>
      <c r="AN116" s="34">
        <f t="shared" ref="AN116:BD116" si="143">IFERROR(AN24/AN53,0)</f>
        <v>17.674856071964019</v>
      </c>
      <c r="AO116" s="34">
        <f t="shared" si="143"/>
        <v>16.676405363984674</v>
      </c>
      <c r="AP116" s="34">
        <f t="shared" si="143"/>
        <v>18.646912128712877</v>
      </c>
      <c r="AQ116" s="34">
        <f t="shared" si="143"/>
        <v>18.383829617834397</v>
      </c>
      <c r="AR116" s="34">
        <f t="shared" si="143"/>
        <v>19.240944123314062</v>
      </c>
      <c r="AS116" s="34">
        <f t="shared" si="143"/>
        <v>18.853443557582668</v>
      </c>
      <c r="AT116" s="34">
        <f t="shared" si="143"/>
        <v>20.459292763157894</v>
      </c>
      <c r="AU116" s="34">
        <f t="shared" si="143"/>
        <v>0</v>
      </c>
      <c r="AV116" s="34">
        <f t="shared" si="143"/>
        <v>0</v>
      </c>
      <c r="AW116" s="34">
        <f t="shared" si="143"/>
        <v>0</v>
      </c>
      <c r="AX116" s="34">
        <f t="shared" si="143"/>
        <v>0</v>
      </c>
      <c r="AY116" s="34">
        <f t="shared" si="143"/>
        <v>0</v>
      </c>
      <c r="AZ116" s="34">
        <f t="shared" si="143"/>
        <v>18.503556641898058</v>
      </c>
      <c r="BA116" s="34">
        <f t="shared" si="143"/>
        <v>17.74951170568562</v>
      </c>
      <c r="BB116" s="34">
        <f t="shared" si="143"/>
        <v>18.794279407127089</v>
      </c>
      <c r="BC116" s="34">
        <f t="shared" si="143"/>
        <v>20.459292763157894</v>
      </c>
      <c r="BD116" s="34">
        <f t="shared" si="143"/>
        <v>0</v>
      </c>
    </row>
    <row r="118" spans="1:56" s="9" customFormat="1" x14ac:dyDescent="0.25">
      <c r="A118" s="9" t="s">
        <v>70</v>
      </c>
      <c r="B118" s="18">
        <v>1501</v>
      </c>
      <c r="C118" s="18">
        <v>1502</v>
      </c>
      <c r="D118" s="18">
        <v>1503</v>
      </c>
      <c r="E118" s="18">
        <v>1504</v>
      </c>
      <c r="F118" s="18">
        <v>1505</v>
      </c>
      <c r="G118" s="18">
        <v>1506</v>
      </c>
      <c r="H118" s="18">
        <v>1507</v>
      </c>
      <c r="I118" s="18">
        <v>1508</v>
      </c>
      <c r="J118" s="18">
        <v>1509</v>
      </c>
      <c r="K118" s="18">
        <v>1510</v>
      </c>
      <c r="L118" s="18">
        <v>1511</v>
      </c>
      <c r="M118" s="18">
        <v>1512</v>
      </c>
      <c r="N118" s="18">
        <v>1601</v>
      </c>
      <c r="O118" s="18">
        <v>1602</v>
      </c>
      <c r="P118" s="18">
        <v>1603</v>
      </c>
      <c r="Q118" s="18">
        <v>1604</v>
      </c>
      <c r="R118" s="18">
        <v>1605</v>
      </c>
      <c r="S118" s="18">
        <v>1606</v>
      </c>
      <c r="T118" s="18">
        <v>1607</v>
      </c>
      <c r="U118" s="18">
        <v>1608</v>
      </c>
      <c r="V118" s="18">
        <v>1609</v>
      </c>
      <c r="W118" s="18">
        <v>1610</v>
      </c>
      <c r="X118" s="18">
        <v>1611</v>
      </c>
      <c r="Y118" s="18">
        <v>1612</v>
      </c>
      <c r="Z118" s="19" t="s">
        <v>52</v>
      </c>
      <c r="AA118" s="19" t="s">
        <v>56</v>
      </c>
      <c r="AB118" s="19" t="s">
        <v>57</v>
      </c>
      <c r="AC118" s="19" t="s">
        <v>58</v>
      </c>
      <c r="AD118" s="19" t="s">
        <v>59</v>
      </c>
      <c r="AE118" s="20" t="s">
        <v>53</v>
      </c>
      <c r="AF118" s="20" t="s">
        <v>60</v>
      </c>
      <c r="AG118" s="20" t="s">
        <v>61</v>
      </c>
      <c r="AH118" s="20" t="s">
        <v>62</v>
      </c>
      <c r="AI118" s="20" t="s">
        <v>63</v>
      </c>
      <c r="AN118" s="18">
        <v>1701</v>
      </c>
      <c r="AO118" s="18">
        <v>1702</v>
      </c>
      <c r="AP118" s="18">
        <v>1703</v>
      </c>
      <c r="AQ118" s="18">
        <v>1704</v>
      </c>
      <c r="AR118" s="18">
        <v>1705</v>
      </c>
      <c r="AS118" s="18">
        <v>1706</v>
      </c>
      <c r="AT118" s="18">
        <v>1707</v>
      </c>
      <c r="AU118" s="18">
        <v>1708</v>
      </c>
      <c r="AV118" s="18">
        <v>1709</v>
      </c>
      <c r="AW118" s="18">
        <v>1710</v>
      </c>
      <c r="AX118" s="18">
        <v>1711</v>
      </c>
      <c r="AY118" s="18">
        <v>1712</v>
      </c>
      <c r="AZ118" s="19" t="s">
        <v>184</v>
      </c>
      <c r="BA118" s="19" t="s">
        <v>185</v>
      </c>
      <c r="BB118" s="19" t="s">
        <v>186</v>
      </c>
      <c r="BC118" s="19" t="s">
        <v>187</v>
      </c>
      <c r="BD118" s="19" t="s">
        <v>188</v>
      </c>
    </row>
    <row r="119" spans="1:56" x14ac:dyDescent="0.25">
      <c r="A119" s="17" t="s">
        <v>71</v>
      </c>
      <c r="B119" s="8">
        <f t="shared" ref="B119:AD119" si="144">IFERROR(B18/B74,"")</f>
        <v>30.430679999999999</v>
      </c>
      <c r="C119" s="8">
        <f t="shared" si="144"/>
        <v>15.070400000000003</v>
      </c>
      <c r="D119" s="8">
        <f t="shared" si="144"/>
        <v>30.393492063492051</v>
      </c>
      <c r="E119" s="8">
        <f t="shared" si="144"/>
        <v>29.99648387096774</v>
      </c>
      <c r="F119" s="8">
        <f t="shared" si="144"/>
        <v>17.891449999999999</v>
      </c>
      <c r="G119" s="8">
        <f t="shared" si="144"/>
        <v>33.242607142857125</v>
      </c>
      <c r="H119" s="8">
        <f t="shared" si="144"/>
        <v>32.765037735849063</v>
      </c>
      <c r="I119" s="8">
        <f t="shared" si="144"/>
        <v>27.463312500000001</v>
      </c>
      <c r="J119" s="8">
        <f t="shared" si="144"/>
        <v>53.44816279069768</v>
      </c>
      <c r="K119" s="8" t="str">
        <f t="shared" si="144"/>
        <v/>
      </c>
      <c r="L119" s="8" t="str">
        <f t="shared" si="144"/>
        <v/>
      </c>
      <c r="M119" s="8" t="str">
        <f t="shared" si="144"/>
        <v/>
      </c>
      <c r="N119" s="8" t="str">
        <f t="shared" si="144"/>
        <v/>
      </c>
      <c r="O119" s="8" t="str">
        <f t="shared" si="144"/>
        <v/>
      </c>
      <c r="P119" s="8" t="str">
        <f t="shared" si="144"/>
        <v/>
      </c>
      <c r="Q119" s="8" t="str">
        <f t="shared" si="144"/>
        <v/>
      </c>
      <c r="R119" s="8" t="str">
        <f t="shared" si="144"/>
        <v/>
      </c>
      <c r="S119" s="8" t="str">
        <f t="shared" si="144"/>
        <v/>
      </c>
      <c r="T119" s="8">
        <f t="shared" si="144"/>
        <v>0</v>
      </c>
      <c r="U119" s="8" t="str">
        <f t="shared" si="144"/>
        <v/>
      </c>
      <c r="V119" s="8" t="str">
        <f t="shared" si="144"/>
        <v/>
      </c>
      <c r="W119" s="8" t="str">
        <f t="shared" si="144"/>
        <v/>
      </c>
      <c r="X119" s="8" t="str">
        <f t="shared" si="144"/>
        <v/>
      </c>
      <c r="Y119" s="8" t="str">
        <f t="shared" si="144"/>
        <v/>
      </c>
      <c r="Z119" s="8">
        <f t="shared" si="144"/>
        <v>-2.621375</v>
      </c>
      <c r="AA119" s="8" t="str">
        <f t="shared" si="144"/>
        <v/>
      </c>
      <c r="AB119" s="8" t="str">
        <f t="shared" si="144"/>
        <v/>
      </c>
      <c r="AC119" s="8" t="str">
        <f t="shared" si="144"/>
        <v/>
      </c>
      <c r="AD119" s="8" t="str">
        <f t="shared" si="144"/>
        <v/>
      </c>
      <c r="AE119" s="8">
        <f>IFERROR(AE18/SUM($B74:INDEX($B74:$M74,$A$3)),"")</f>
        <v>27.059142857142852</v>
      </c>
      <c r="AF119" s="8">
        <f>IFERROR(AF18/SUM(B74:D74),"")</f>
        <v>25.388071428571422</v>
      </c>
      <c r="AG119" s="8">
        <f>IFERROR(AG18/SUM(E74:G74),"")</f>
        <v>26.93738764044943</v>
      </c>
      <c r="AH119" s="8">
        <f>IFERROR(AH18/SUM(H74:J74),"")</f>
        <v>37.17400694444445</v>
      </c>
      <c r="AI119" s="8" t="str">
        <f>IFERROR(AI18/SUM(K74:M74),"")</f>
        <v/>
      </c>
      <c r="AN119" s="8" t="str">
        <f t="shared" ref="AN119:BD119" si="145">IFERROR(AN18/AN74,"")</f>
        <v/>
      </c>
      <c r="AO119" s="8" t="str">
        <f t="shared" si="145"/>
        <v/>
      </c>
      <c r="AP119" s="8" t="str">
        <f t="shared" si="145"/>
        <v/>
      </c>
      <c r="AQ119" s="8" t="str">
        <f t="shared" si="145"/>
        <v/>
      </c>
      <c r="AR119" s="8">
        <f t="shared" si="145"/>
        <v>4.4647058823529413</v>
      </c>
      <c r="AS119" s="8">
        <f t="shared" si="145"/>
        <v>5.8594999999999997</v>
      </c>
      <c r="AT119" s="8">
        <f t="shared" si="145"/>
        <v>16.25</v>
      </c>
      <c r="AU119" s="8" t="str">
        <f t="shared" si="145"/>
        <v/>
      </c>
      <c r="AV119" s="8" t="str">
        <f t="shared" si="145"/>
        <v/>
      </c>
      <c r="AW119" s="8" t="str">
        <f t="shared" si="145"/>
        <v/>
      </c>
      <c r="AX119" s="8" t="str">
        <f t="shared" si="145"/>
        <v/>
      </c>
      <c r="AY119" s="8" t="str">
        <f t="shared" si="145"/>
        <v/>
      </c>
      <c r="AZ119" s="8">
        <f t="shared" si="145"/>
        <v>33.837000000000003</v>
      </c>
      <c r="BA119" s="8">
        <f t="shared" si="145"/>
        <v>0</v>
      </c>
      <c r="BB119" s="8">
        <f t="shared" si="145"/>
        <v>8.7934999999999999</v>
      </c>
      <c r="BC119" s="8" t="str">
        <f t="shared" si="145"/>
        <v/>
      </c>
      <c r="BD119" s="8" t="str">
        <f t="shared" si="145"/>
        <v/>
      </c>
    </row>
    <row r="120" spans="1:56" x14ac:dyDescent="0.25">
      <c r="A120" s="17" t="s">
        <v>47</v>
      </c>
      <c r="B120" s="8">
        <f t="shared" ref="B120:Y120" si="146">IFERROR(B19/B75,"")</f>
        <v>27.572398496240602</v>
      </c>
      <c r="C120" s="8">
        <f t="shared" si="146"/>
        <v>16.870963235294116</v>
      </c>
      <c r="D120" s="8">
        <f t="shared" si="146"/>
        <v>54.109316176470593</v>
      </c>
      <c r="E120" s="8">
        <f t="shared" si="146"/>
        <v>44.938627586206891</v>
      </c>
      <c r="F120" s="8">
        <f t="shared" si="146"/>
        <v>46.919657142857147</v>
      </c>
      <c r="G120" s="8">
        <f t="shared" si="146"/>
        <v>61.737482014388554</v>
      </c>
      <c r="H120" s="8">
        <f t="shared" si="146"/>
        <v>56.24678231292517</v>
      </c>
      <c r="I120" s="8">
        <f t="shared" si="146"/>
        <v>43.875476190476185</v>
      </c>
      <c r="J120" s="8">
        <f t="shared" si="146"/>
        <v>55.369980891719813</v>
      </c>
      <c r="K120" s="8">
        <f t="shared" si="146"/>
        <v>74.69403550295857</v>
      </c>
      <c r="L120" s="8">
        <f t="shared" si="146"/>
        <v>99.809179640718568</v>
      </c>
      <c r="M120" s="8">
        <f t="shared" si="146"/>
        <v>99.507829411764689</v>
      </c>
      <c r="N120" s="8">
        <f t="shared" si="146"/>
        <v>33.23938596491228</v>
      </c>
      <c r="O120" s="8">
        <f t="shared" si="146"/>
        <v>53.691616766467121</v>
      </c>
      <c r="P120" s="8">
        <f t="shared" si="146"/>
        <v>84.399863095238089</v>
      </c>
      <c r="Q120" s="8">
        <f t="shared" si="146"/>
        <v>64.327240437158466</v>
      </c>
      <c r="R120" s="8">
        <f t="shared" si="146"/>
        <v>84.352466666666658</v>
      </c>
      <c r="S120" s="8">
        <f t="shared" si="146"/>
        <v>88.446381215469614</v>
      </c>
      <c r="T120" s="8">
        <f t="shared" si="146"/>
        <v>70.799453551912563</v>
      </c>
      <c r="U120" s="8">
        <f t="shared" si="146"/>
        <v>90.349818681318695</v>
      </c>
      <c r="V120" s="8">
        <f t="shared" si="146"/>
        <v>105.92539759036133</v>
      </c>
      <c r="W120" s="8">
        <f t="shared" si="146"/>
        <v>80.924804878048775</v>
      </c>
      <c r="X120" s="8">
        <f t="shared" si="146"/>
        <v>69.223097297297301</v>
      </c>
      <c r="Y120" s="8">
        <f t="shared" si="146"/>
        <v>134.3693879781421</v>
      </c>
      <c r="Z120" s="8">
        <f>IFERROR(Z19/SUM($N75:INDEX($N75:$Y75,$A$3)),"")</f>
        <v>68.734822384428227</v>
      </c>
      <c r="AA120" s="8">
        <f>IFERROR(AA19/SUM(N75:P75),"")</f>
        <v>56.975517786561284</v>
      </c>
      <c r="AB120" s="8">
        <f>IFERROR(AB19/SUM(Q75:S75),"")</f>
        <v>78.978169117647056</v>
      </c>
      <c r="AC120" s="8">
        <f t="shared" ref="AC120:AD122" si="147">IFERROR(AC19/AC75,"")</f>
        <v>283.03363253012037</v>
      </c>
      <c r="AD120" s="8">
        <f t="shared" si="147"/>
        <v>295.0024918032787</v>
      </c>
      <c r="AE120" s="8">
        <f>IFERROR(AE19/SUM($B75:INDEX($B75:$M75,$A$3)),"")</f>
        <v>44.318736680327881</v>
      </c>
      <c r="AF120" s="8">
        <f>IFERROR(AF19/SUM(B75:D75),"")</f>
        <v>32.889992592592591</v>
      </c>
      <c r="AG120" s="8">
        <f>IFERROR(AG19/SUM(E75:G75),"")</f>
        <v>51.099912735849074</v>
      </c>
      <c r="AH120" s="8">
        <f>IFERROR(AH19/SUM(H75:J75),"")</f>
        <v>51.909221729490042</v>
      </c>
      <c r="AI120" s="8">
        <f>IFERROR(AI19/SUM(K75:M75),"")</f>
        <v>91.319675889328067</v>
      </c>
      <c r="AN120" s="8">
        <f t="shared" ref="AN120:AY120" si="148">IFERROR(AN19/AN75,"")</f>
        <v>53.741135593220342</v>
      </c>
      <c r="AO120" s="8">
        <f t="shared" si="148"/>
        <v>108.62036257309941</v>
      </c>
      <c r="AP120" s="8">
        <f t="shared" si="148"/>
        <v>125.66320441988955</v>
      </c>
      <c r="AQ120" s="8">
        <f t="shared" si="148"/>
        <v>100.93028409090911</v>
      </c>
      <c r="AR120" s="8">
        <f t="shared" si="148"/>
        <v>78.444188481675383</v>
      </c>
      <c r="AS120" s="8">
        <f t="shared" si="148"/>
        <v>65.10697115384616</v>
      </c>
      <c r="AT120" s="8">
        <f t="shared" si="148"/>
        <v>79.655119170984463</v>
      </c>
      <c r="AU120" s="8" t="str">
        <f t="shared" si="148"/>
        <v/>
      </c>
      <c r="AV120" s="8" t="str">
        <f t="shared" si="148"/>
        <v/>
      </c>
      <c r="AW120" s="8" t="str">
        <f t="shared" si="148"/>
        <v/>
      </c>
      <c r="AX120" s="8" t="str">
        <f t="shared" si="148"/>
        <v/>
      </c>
      <c r="AY120" s="8" t="str">
        <f t="shared" si="148"/>
        <v/>
      </c>
      <c r="AZ120" s="8">
        <f>IFERROR(AZ19/SUM($N75:INDEX($N75:$Y75,$A$3)),"")</f>
        <v>91.235653690186538</v>
      </c>
      <c r="BA120" s="8">
        <f>IFERROR(BA19/SUM(AN75:AP75),"")</f>
        <v>96.08941965973537</v>
      </c>
      <c r="BB120" s="8">
        <f>IFERROR(BB19/SUM(AQ75:AS75),"")</f>
        <v>80.502295652173913</v>
      </c>
      <c r="BC120" s="8" t="str">
        <f t="shared" ref="BC120:BD122" si="149">IFERROR(BC19/BC75,"")</f>
        <v/>
      </c>
      <c r="BD120" s="8" t="str">
        <f t="shared" si="149"/>
        <v/>
      </c>
    </row>
    <row r="121" spans="1:56" x14ac:dyDescent="0.25">
      <c r="A121" s="17" t="s">
        <v>116</v>
      </c>
      <c r="B121" s="8" t="str">
        <f t="shared" ref="B121:Y121" si="150">IFERROR(B20/B76,"")</f>
        <v/>
      </c>
      <c r="C121" s="8" t="str">
        <f t="shared" si="150"/>
        <v/>
      </c>
      <c r="D121" s="8" t="str">
        <f t="shared" si="150"/>
        <v/>
      </c>
      <c r="E121" s="8" t="str">
        <f t="shared" si="150"/>
        <v/>
      </c>
      <c r="F121" s="8" t="str">
        <f t="shared" si="150"/>
        <v/>
      </c>
      <c r="G121" s="8" t="str">
        <f t="shared" si="150"/>
        <v/>
      </c>
      <c r="H121" s="8" t="str">
        <f t="shared" si="150"/>
        <v/>
      </c>
      <c r="I121" s="8" t="str">
        <f t="shared" si="150"/>
        <v/>
      </c>
      <c r="J121" s="8" t="str">
        <f t="shared" si="150"/>
        <v/>
      </c>
      <c r="K121" s="8" t="str">
        <f t="shared" si="150"/>
        <v/>
      </c>
      <c r="L121" s="8" t="str">
        <f t="shared" si="150"/>
        <v/>
      </c>
      <c r="M121" s="8" t="str">
        <f t="shared" si="150"/>
        <v/>
      </c>
      <c r="N121" s="8" t="str">
        <f t="shared" si="150"/>
        <v/>
      </c>
      <c r="O121" s="8" t="str">
        <f t="shared" si="150"/>
        <v/>
      </c>
      <c r="P121" s="8" t="str">
        <f t="shared" si="150"/>
        <v/>
      </c>
      <c r="Q121" s="8" t="str">
        <f t="shared" si="150"/>
        <v/>
      </c>
      <c r="R121" s="8" t="str">
        <f t="shared" si="150"/>
        <v/>
      </c>
      <c r="S121" s="8" t="str">
        <f t="shared" si="150"/>
        <v/>
      </c>
      <c r="T121" s="8" t="str">
        <f t="shared" si="150"/>
        <v/>
      </c>
      <c r="U121" s="8">
        <f t="shared" si="150"/>
        <v>21.800362318840577</v>
      </c>
      <c r="V121" s="8">
        <f t="shared" si="150"/>
        <v>20.450858108108108</v>
      </c>
      <c r="W121" s="8">
        <f t="shared" si="150"/>
        <v>20.72223111111111</v>
      </c>
      <c r="X121" s="8">
        <f t="shared" si="150"/>
        <v>18.035170329670326</v>
      </c>
      <c r="Y121" s="8">
        <f t="shared" si="150"/>
        <v>26.531970297029702</v>
      </c>
      <c r="Z121" s="8" t="str">
        <f>IFERROR(Z20/SUM($N76:INDEX($N76:$Y76,$A$3)),"")</f>
        <v/>
      </c>
      <c r="AA121" s="8" t="str">
        <f>IFERROR(AA20/SUM(N76:P76),"")</f>
        <v/>
      </c>
      <c r="AB121" s="8" t="str">
        <f>IFERROR(AB20/SUM(Q76:S76),"")</f>
        <v/>
      </c>
      <c r="AC121" s="8">
        <f t="shared" si="147"/>
        <v>40.778222972972969</v>
      </c>
      <c r="AD121" s="8">
        <f t="shared" si="147"/>
        <v>65.863173267326715</v>
      </c>
      <c r="AE121" s="8" t="str">
        <f>IFERROR(AE20/SUM($B76:INDEX($B76:$M76,$A$3)),"")</f>
        <v/>
      </c>
      <c r="AF121" s="8" t="str">
        <f>IFERROR(AF20/SUM(B76:D76),"")</f>
        <v/>
      </c>
      <c r="AG121" s="8" t="str">
        <f>IFERROR(AG20/SUM(E76:G76),"")</f>
        <v/>
      </c>
      <c r="AH121" s="8" t="str">
        <f>IFERROR(AH20/SUM(H76:J76),"")</f>
        <v/>
      </c>
      <c r="AI121" s="8" t="str">
        <f>IFERROR(AI20/SUM(K76:M76),"")</f>
        <v/>
      </c>
      <c r="AN121" s="8">
        <f t="shared" ref="AN121:AY121" si="151">IFERROR(AN20/AN76,"")</f>
        <v>12.305601063829787</v>
      </c>
      <c r="AO121" s="8">
        <f t="shared" si="151"/>
        <v>14.809263681592041</v>
      </c>
      <c r="AP121" s="8">
        <f t="shared" si="151"/>
        <v>28.393901345291482</v>
      </c>
      <c r="AQ121" s="8">
        <f t="shared" si="151"/>
        <v>21.000050251256283</v>
      </c>
      <c r="AR121" s="8">
        <f t="shared" si="151"/>
        <v>17.993774509803924</v>
      </c>
      <c r="AS121" s="8">
        <f t="shared" si="151"/>
        <v>7.0723499999999992</v>
      </c>
      <c r="AT121" s="8">
        <f t="shared" si="151"/>
        <v>14.03259880239521</v>
      </c>
      <c r="AU121" s="8" t="str">
        <f t="shared" si="151"/>
        <v/>
      </c>
      <c r="AV121" s="8" t="str">
        <f t="shared" si="151"/>
        <v/>
      </c>
      <c r="AW121" s="8" t="str">
        <f t="shared" si="151"/>
        <v/>
      </c>
      <c r="AX121" s="8" t="str">
        <f t="shared" si="151"/>
        <v/>
      </c>
      <c r="AY121" s="8" t="str">
        <f t="shared" si="151"/>
        <v/>
      </c>
      <c r="AZ121" s="8" t="str">
        <f>IFERROR(AZ20/SUM($N76:INDEX($N76:$Y76,$A$3)),"")</f>
        <v/>
      </c>
      <c r="BA121" s="8">
        <f>IFERROR(BA20/SUM(AN76:AP76),"")</f>
        <v>18.990122549019606</v>
      </c>
      <c r="BB121" s="8">
        <f>IFERROR(BB20/SUM(AQ76:AS76),"")</f>
        <v>15.36353233830846</v>
      </c>
      <c r="BC121" s="8" t="str">
        <f t="shared" si="149"/>
        <v/>
      </c>
      <c r="BD121" s="8" t="str">
        <f t="shared" si="149"/>
        <v/>
      </c>
    </row>
    <row r="122" spans="1:56" x14ac:dyDescent="0.25">
      <c r="A122" s="17" t="s">
        <v>48</v>
      </c>
      <c r="B122" s="8" t="str">
        <f t="shared" ref="B122:Y122" si="152">IFERROR(B21/B77,"")</f>
        <v/>
      </c>
      <c r="C122" s="8" t="str">
        <f t="shared" si="152"/>
        <v/>
      </c>
      <c r="D122" s="8" t="str">
        <f t="shared" si="152"/>
        <v/>
      </c>
      <c r="E122" s="8" t="str">
        <f t="shared" si="152"/>
        <v/>
      </c>
      <c r="F122" s="8" t="str">
        <f t="shared" si="152"/>
        <v/>
      </c>
      <c r="G122" s="8" t="str">
        <f t="shared" si="152"/>
        <v/>
      </c>
      <c r="H122" s="8">
        <f t="shared" si="152"/>
        <v>1.2677647058823529</v>
      </c>
      <c r="I122" s="8">
        <f t="shared" si="152"/>
        <v>24.413818181818183</v>
      </c>
      <c r="J122" s="8">
        <f t="shared" si="152"/>
        <v>27.904641025641023</v>
      </c>
      <c r="K122" s="8">
        <f t="shared" si="152"/>
        <v>32.36581944444444</v>
      </c>
      <c r="L122" s="8">
        <f t="shared" si="152"/>
        <v>31.890320512820516</v>
      </c>
      <c r="M122" s="8">
        <f t="shared" si="152"/>
        <v>48.371316455696203</v>
      </c>
      <c r="N122" s="8">
        <f t="shared" si="152"/>
        <v>24.916320512820512</v>
      </c>
      <c r="O122" s="8">
        <f t="shared" si="152"/>
        <v>14.09192105263158</v>
      </c>
      <c r="P122" s="8">
        <f t="shared" si="152"/>
        <v>18.546250000000001</v>
      </c>
      <c r="Q122" s="8">
        <f t="shared" si="152"/>
        <v>15.283224137931034</v>
      </c>
      <c r="R122" s="8">
        <f t="shared" si="152"/>
        <v>18.473150943396227</v>
      </c>
      <c r="S122" s="8">
        <f t="shared" si="152"/>
        <v>6.9371016949152544</v>
      </c>
      <c r="T122" s="8">
        <f t="shared" si="152"/>
        <v>-0.65678807947019868</v>
      </c>
      <c r="U122" s="8">
        <f t="shared" si="152"/>
        <v>9.8030135135135144</v>
      </c>
      <c r="V122" s="8">
        <f t="shared" si="152"/>
        <v>7.7044444444444435</v>
      </c>
      <c r="W122" s="8">
        <f t="shared" si="152"/>
        <v>6.5862567567567574</v>
      </c>
      <c r="X122" s="8">
        <f t="shared" si="152"/>
        <v>5.5233787878787881</v>
      </c>
      <c r="Y122" s="8">
        <f t="shared" si="152"/>
        <v>7.0981578947368424</v>
      </c>
      <c r="Z122" s="8">
        <f>IFERROR(Z21/SUM($N77:INDEX($N77:$Y77,$A$3)),"")</f>
        <v>11.880703499079187</v>
      </c>
      <c r="AA122" s="8">
        <f>IFERROR(AA21/SUM(N77:P77),"")</f>
        <v>19.259477477477475</v>
      </c>
      <c r="AB122" s="8">
        <f>IFERROR(AB21/SUM(Q77:S77),"")</f>
        <v>13.381135294117644</v>
      </c>
      <c r="AC122" s="8">
        <f t="shared" si="147"/>
        <v>15.435901234567901</v>
      </c>
      <c r="AD122" s="8">
        <f t="shared" si="147"/>
        <v>51.936368421052634</v>
      </c>
      <c r="AE122" s="8">
        <f>IFERROR(AE21/SUM($B77:INDEX($B77:$M77,$A$3)),"")</f>
        <v>1.2677647058823529</v>
      </c>
      <c r="AF122" s="8" t="str">
        <f>IFERROR(AF21/SUM(B77:D77),"")</f>
        <v/>
      </c>
      <c r="AG122" s="8" t="str">
        <f>IFERROR(AG21/SUM(E77:G77),"")</f>
        <v/>
      </c>
      <c r="AH122" s="8">
        <f>IFERROR(AH21/SUM(H77:J77),"")</f>
        <v>21.114576923076921</v>
      </c>
      <c r="AI122" s="8">
        <f>IFERROR(AI21/SUM(K77:M77),"")</f>
        <v>37.725406113537112</v>
      </c>
      <c r="AN122" s="8" t="str">
        <f t="shared" ref="AN122:AY122" si="153">IFERROR(AN21/AN77,"")</f>
        <v/>
      </c>
      <c r="AO122" s="8" t="str">
        <f t="shared" si="153"/>
        <v/>
      </c>
      <c r="AP122" s="8" t="str">
        <f t="shared" si="153"/>
        <v/>
      </c>
      <c r="AQ122" s="8" t="str">
        <f t="shared" si="153"/>
        <v/>
      </c>
      <c r="AR122" s="8" t="str">
        <f t="shared" si="153"/>
        <v/>
      </c>
      <c r="AS122" s="8" t="str">
        <f t="shared" si="153"/>
        <v/>
      </c>
      <c r="AT122" s="8" t="str">
        <f t="shared" si="153"/>
        <v/>
      </c>
      <c r="AU122" s="8" t="str">
        <f t="shared" si="153"/>
        <v/>
      </c>
      <c r="AV122" s="8" t="str">
        <f t="shared" si="153"/>
        <v/>
      </c>
      <c r="AW122" s="8" t="str">
        <f t="shared" si="153"/>
        <v/>
      </c>
      <c r="AX122" s="8" t="str">
        <f t="shared" si="153"/>
        <v/>
      </c>
      <c r="AY122" s="8" t="str">
        <f t="shared" si="153"/>
        <v/>
      </c>
      <c r="AZ122" s="8">
        <f>IFERROR(AZ21/SUM($N77:INDEX($N77:$Y77,$A$3)),"")</f>
        <v>-0.12974401473296499</v>
      </c>
      <c r="BA122" s="8" t="str">
        <f>IFERROR(BA21/SUM(AN77:AP77),"")</f>
        <v/>
      </c>
      <c r="BB122" s="8" t="str">
        <f>IFERROR(BB21/SUM(AQ77:AS77),"")</f>
        <v/>
      </c>
      <c r="BC122" s="8" t="str">
        <f t="shared" si="149"/>
        <v/>
      </c>
      <c r="BD122" s="8" t="str">
        <f t="shared" si="149"/>
        <v/>
      </c>
    </row>
    <row r="123" spans="1:56" x14ac:dyDescent="0.25">
      <c r="A123" s="17" t="s">
        <v>208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N123" s="8" t="str">
        <f t="shared" ref="AN123:AO123" si="154">IFERROR(AN22/AN78,"")</f>
        <v/>
      </c>
      <c r="AO123" s="8" t="str">
        <f t="shared" si="154"/>
        <v/>
      </c>
      <c r="AP123" s="8">
        <f>IFERROR(AP22/AP78,"")</f>
        <v>48.485999999999997</v>
      </c>
      <c r="AQ123" s="8">
        <f>IFERROR(AQ22/AQ78,"")</f>
        <v>30.177499999999998</v>
      </c>
      <c r="AR123" s="8">
        <f>IFERROR(AR22/AR78,"")</f>
        <v>23.122051282051281</v>
      </c>
      <c r="AS123" s="8">
        <f>IFERROR(AS22/AS78,"")</f>
        <v>33.400487804878054</v>
      </c>
      <c r="AT123" s="8">
        <f>IFERROR(AT22/AT78,"")</f>
        <v>16.040263157894735</v>
      </c>
      <c r="AU123" s="8" t="str">
        <f t="shared" ref="AU123:AY123" si="155">IFERROR(AU22/AU77,"")</f>
        <v/>
      </c>
      <c r="AV123" s="8" t="str">
        <f t="shared" si="155"/>
        <v/>
      </c>
      <c r="AW123" s="8" t="str">
        <f t="shared" si="155"/>
        <v/>
      </c>
      <c r="AX123" s="8" t="str">
        <f t="shared" si="155"/>
        <v/>
      </c>
      <c r="AY123" s="8" t="str">
        <f t="shared" si="155"/>
        <v/>
      </c>
      <c r="AZ123" s="8">
        <f>IFERROR(AZ22/SUM($N77:INDEX($N77:$Y77,$A$3)),"")</f>
        <v>8.2006813996316748</v>
      </c>
      <c r="BA123" s="8" t="str">
        <f>IFERROR(BA22/SUM(AN77:AP77),"")</f>
        <v/>
      </c>
      <c r="BB123" s="8" t="str">
        <f>IFERROR(BB22/SUM(AQ77:AS77),"")</f>
        <v/>
      </c>
      <c r="BC123" s="8" t="str">
        <f>IFERROR(BC22/BC77,"")</f>
        <v/>
      </c>
      <c r="BD123" s="8" t="str">
        <f>IFERROR(BD22/BD77,"")</f>
        <v/>
      </c>
    </row>
    <row r="124" spans="1:56" x14ac:dyDescent="0.25">
      <c r="A124" s="17" t="s">
        <v>201</v>
      </c>
      <c r="B124" s="8" t="str">
        <f t="shared" ref="B124:Y124" si="156">IFERROR(B23/B79,"")</f>
        <v/>
      </c>
      <c r="C124" s="8" t="str">
        <f t="shared" si="156"/>
        <v/>
      </c>
      <c r="D124" s="8" t="str">
        <f t="shared" si="156"/>
        <v/>
      </c>
      <c r="E124" s="8" t="str">
        <f t="shared" si="156"/>
        <v/>
      </c>
      <c r="F124" s="8" t="str">
        <f t="shared" si="156"/>
        <v/>
      </c>
      <c r="G124" s="8" t="str">
        <f t="shared" si="156"/>
        <v/>
      </c>
      <c r="H124" s="8" t="str">
        <f t="shared" si="156"/>
        <v/>
      </c>
      <c r="I124" s="8" t="str">
        <f t="shared" si="156"/>
        <v/>
      </c>
      <c r="J124" s="8" t="str">
        <f t="shared" si="156"/>
        <v/>
      </c>
      <c r="K124" s="8" t="str">
        <f t="shared" si="156"/>
        <v/>
      </c>
      <c r="L124" s="8" t="str">
        <f t="shared" si="156"/>
        <v/>
      </c>
      <c r="M124" s="8" t="str">
        <f t="shared" si="156"/>
        <v/>
      </c>
      <c r="N124" s="8" t="str">
        <f t="shared" si="156"/>
        <v/>
      </c>
      <c r="O124" s="8" t="str">
        <f t="shared" si="156"/>
        <v/>
      </c>
      <c r="P124" s="8" t="str">
        <f t="shared" si="156"/>
        <v/>
      </c>
      <c r="Q124" s="8" t="str">
        <f t="shared" si="156"/>
        <v/>
      </c>
      <c r="R124" s="8" t="str">
        <f t="shared" si="156"/>
        <v/>
      </c>
      <c r="S124" s="8" t="str">
        <f t="shared" si="156"/>
        <v/>
      </c>
      <c r="T124" s="8" t="str">
        <f t="shared" si="156"/>
        <v/>
      </c>
      <c r="U124" s="8" t="str">
        <f t="shared" si="156"/>
        <v/>
      </c>
      <c r="V124" s="8" t="str">
        <f t="shared" si="156"/>
        <v/>
      </c>
      <c r="W124" s="8" t="str">
        <f t="shared" si="156"/>
        <v/>
      </c>
      <c r="X124" s="8" t="str">
        <f t="shared" si="156"/>
        <v/>
      </c>
      <c r="Y124" s="8" t="str">
        <f t="shared" si="156"/>
        <v/>
      </c>
      <c r="Z124" s="8" t="str">
        <f>IFERROR(Z23/SUM($N79:INDEX($N79:$Y79,$A$3)),"")</f>
        <v/>
      </c>
      <c r="AA124" s="8" t="str">
        <f>IFERROR(AA23/SUM(N79:P79),"")</f>
        <v/>
      </c>
      <c r="AB124" s="8" t="str">
        <f>IFERROR(AB23/SUM(Q79:S79),"")</f>
        <v/>
      </c>
      <c r="AC124" s="8" t="str">
        <f>IFERROR(AC23/AC79,"")</f>
        <v/>
      </c>
      <c r="AD124" s="8" t="str">
        <f>IFERROR(AD23/AD79,"")</f>
        <v/>
      </c>
      <c r="AE124" s="8" t="str">
        <f>IFERROR(AE23/SUM($B79:INDEX($B79:$M79,$A$3)),"")</f>
        <v/>
      </c>
      <c r="AF124" s="8" t="str">
        <f>IFERROR(AF23/SUM(B79:D79),"")</f>
        <v/>
      </c>
      <c r="AG124" s="8" t="str">
        <f>IFERROR(AG23/SUM(E79:G79),"")</f>
        <v/>
      </c>
      <c r="AH124" s="8" t="str">
        <f>IFERROR(AH23/SUM(H79:J79),"")</f>
        <v/>
      </c>
      <c r="AI124" s="8" t="str">
        <f>IFERROR(AI23/SUM(K79:M79),"")</f>
        <v/>
      </c>
      <c r="AN124" s="8">
        <f>IFERROR(AN23/AN79,"")</f>
        <v>2.8288333333333333</v>
      </c>
      <c r="AO124" s="8">
        <f>IFERROR(AO23/AO79,"")</f>
        <v>16.305</v>
      </c>
      <c r="AP124" s="8">
        <f>IFERROR(AP23/AP79,"")</f>
        <v>20.577500000000001</v>
      </c>
      <c r="AQ124" s="8">
        <f t="shared" ref="AQ124:AY124" si="157">IFERROR(AQ23/AQ79,"")</f>
        <v>24.584615384615386</v>
      </c>
      <c r="AR124" s="8">
        <f t="shared" si="157"/>
        <v>11.362333333333334</v>
      </c>
      <c r="AS124" s="8">
        <f t="shared" si="157"/>
        <v>3.5053846153846155</v>
      </c>
      <c r="AT124" s="8">
        <f t="shared" si="157"/>
        <v>7.3896956521739128</v>
      </c>
      <c r="AU124" s="8" t="str">
        <f t="shared" si="157"/>
        <v/>
      </c>
      <c r="AV124" s="8" t="str">
        <f t="shared" si="157"/>
        <v/>
      </c>
      <c r="AW124" s="8" t="str">
        <f t="shared" si="157"/>
        <v/>
      </c>
      <c r="AX124" s="8" t="str">
        <f t="shared" si="157"/>
        <v/>
      </c>
      <c r="AY124" s="8" t="str">
        <f t="shared" si="157"/>
        <v/>
      </c>
      <c r="AZ124" s="8" t="str">
        <f>IFERROR(AZ23/SUM($N79:INDEX($N79:$Y79,$A$3)),"")</f>
        <v/>
      </c>
      <c r="BA124" s="8">
        <f>IFERROR(BA23/SUM(AN79:AP79),"")</f>
        <v>14.028073170731707</v>
      </c>
      <c r="BB124" s="8">
        <f>IFERROR(BB23/SUM(AQ79:AS79),"")</f>
        <v>10.892898550724638</v>
      </c>
      <c r="BC124" s="8" t="str">
        <f>IFERROR(BC23/BC79,"")</f>
        <v/>
      </c>
      <c r="BD124" s="8" t="str">
        <f>IFERROR(BD23/BD79,"")</f>
        <v/>
      </c>
    </row>
    <row r="125" spans="1:56" x14ac:dyDescent="0.25">
      <c r="B125" s="12">
        <f t="shared" ref="B125:AD125" si="158">IFERROR(B24/B80,"")</f>
        <v>28.353349726775953</v>
      </c>
      <c r="C125" s="12">
        <f t="shared" si="158"/>
        <v>16.352476439790578</v>
      </c>
      <c r="D125" s="12">
        <f t="shared" si="158"/>
        <v>46.601291457286429</v>
      </c>
      <c r="E125" s="12">
        <f t="shared" si="158"/>
        <v>40.463202898550726</v>
      </c>
      <c r="F125" s="12">
        <f t="shared" si="158"/>
        <v>38.211195000000004</v>
      </c>
      <c r="G125" s="12">
        <f t="shared" si="158"/>
        <v>53.554338461538507</v>
      </c>
      <c r="H125" s="12">
        <f t="shared" si="158"/>
        <v>46.204497695852538</v>
      </c>
      <c r="I125" s="12">
        <f t="shared" si="158"/>
        <v>38.272064516129028</v>
      </c>
      <c r="J125" s="12">
        <f t="shared" si="158"/>
        <v>50.542422594142302</v>
      </c>
      <c r="K125" s="12">
        <f t="shared" si="158"/>
        <v>61.366224066390039</v>
      </c>
      <c r="L125" s="12">
        <f t="shared" si="158"/>
        <v>78.144457142857135</v>
      </c>
      <c r="M125" s="12">
        <f t="shared" si="158"/>
        <v>83.283795180722876</v>
      </c>
      <c r="N125" s="12">
        <f t="shared" si="158"/>
        <v>30.543546184738958</v>
      </c>
      <c r="O125" s="12">
        <f t="shared" si="158"/>
        <v>41.306526748971237</v>
      </c>
      <c r="P125" s="12">
        <f t="shared" si="158"/>
        <v>65.351203389830502</v>
      </c>
      <c r="Q125" s="12">
        <f t="shared" si="158"/>
        <v>52.524116182572612</v>
      </c>
      <c r="R125" s="12">
        <f t="shared" si="158"/>
        <v>69.367042918454928</v>
      </c>
      <c r="S125" s="12">
        <f t="shared" si="158"/>
        <v>68.311141666666657</v>
      </c>
      <c r="T125" s="12">
        <f>IFERROR(T24/T80,"")</f>
        <v>70.257513661202182</v>
      </c>
      <c r="U125" s="12">
        <f t="shared" si="158"/>
        <v>51.183855329949246</v>
      </c>
      <c r="V125" s="12">
        <f t="shared" si="158"/>
        <v>53.757982278480959</v>
      </c>
      <c r="W125" s="12">
        <f t="shared" si="158"/>
        <v>43.133869047619051</v>
      </c>
      <c r="X125" s="12">
        <f t="shared" si="158"/>
        <v>37.998191685912239</v>
      </c>
      <c r="Y125" s="12">
        <f t="shared" si="158"/>
        <v>74.465150990099019</v>
      </c>
      <c r="Z125" s="12">
        <f>IFERROR(Z24/SUM($N80:INDEX($N80:$Y80,$A$3)),"")</f>
        <v>56.085135384615384</v>
      </c>
      <c r="AA125" s="12">
        <f>IFERROR(AA24/SUM(N80:P80),"")</f>
        <v>45.419935439560447</v>
      </c>
      <c r="AB125" s="12">
        <f>IFERROR(AB24/SUM(Q80:S80),"")</f>
        <v>63.327040616246485</v>
      </c>
      <c r="AC125" s="12">
        <f t="shared" si="158"/>
        <v>137.36194177215185</v>
      </c>
      <c r="AD125" s="12">
        <f t="shared" si="158"/>
        <v>169.00150495049508</v>
      </c>
      <c r="AE125" s="12">
        <f>IFERROR(AE24/SUM($B80:INDEX($B80:$M80,$A$3)),"")</f>
        <v>38.845716235632196</v>
      </c>
      <c r="AF125" s="12">
        <f>IFERROR(AF24/SUM(B80:D80),"")</f>
        <v>30.690476439790576</v>
      </c>
      <c r="AG125" s="12">
        <f>IFERROR(AG24/SUM(E80:G80),"")</f>
        <v>43.955511627906994</v>
      </c>
      <c r="AH125" s="12">
        <f>IFERROR(AH24/SUM(H80:J80),"")</f>
        <v>45.18730014858842</v>
      </c>
      <c r="AI125" s="12">
        <f>IFERROR(AI24/SUM(K80:M80),"")</f>
        <v>74.384104761904752</v>
      </c>
      <c r="AN125" s="12">
        <f t="shared" ref="AN125:AS125" si="159">IFERROR(AN24/AN80,"")</f>
        <v>31.270899204244035</v>
      </c>
      <c r="AO125" s="12">
        <f t="shared" si="159"/>
        <v>56.526516883116884</v>
      </c>
      <c r="AP125" s="12">
        <f t="shared" si="159"/>
        <v>69.272206896551751</v>
      </c>
      <c r="AQ125" s="12">
        <f t="shared" si="159"/>
        <v>55.505024038461549</v>
      </c>
      <c r="AR125" s="12">
        <f t="shared" si="159"/>
        <v>41.522037422037414</v>
      </c>
      <c r="AS125" s="12">
        <f t="shared" si="159"/>
        <v>33.402969696969699</v>
      </c>
      <c r="AT125" s="12">
        <f>IFERROR(AT24/AT80,"")</f>
        <v>96.678108808290162</v>
      </c>
      <c r="AU125" s="12" t="str">
        <f t="shared" ref="AU125:AY125" si="160">IFERROR(AU24/AU80,"")</f>
        <v/>
      </c>
      <c r="AV125" s="12" t="str">
        <f t="shared" si="160"/>
        <v/>
      </c>
      <c r="AW125" s="12" t="str">
        <f t="shared" si="160"/>
        <v/>
      </c>
      <c r="AX125" s="12" t="str">
        <f t="shared" si="160"/>
        <v/>
      </c>
      <c r="AY125" s="12" t="str">
        <f t="shared" si="160"/>
        <v/>
      </c>
      <c r="AZ125" s="12">
        <f>IFERROR(AZ24/SUM($N80:INDEX($N80:$Y80,$A$3)),"")</f>
        <v>87.348174153846145</v>
      </c>
      <c r="BA125" s="12">
        <f>IFERROR(BA24/SUM(AN80:AP80),"")</f>
        <v>53.204050125313287</v>
      </c>
      <c r="BB125" s="12">
        <f>IFERROR(BB24/SUM(AQ80:AS80),"")</f>
        <v>42.813692528735636</v>
      </c>
      <c r="BC125" s="12" t="str">
        <f t="shared" ref="BC125:BD125" si="161">IFERROR(BC24/BC80,"")</f>
        <v/>
      </c>
      <c r="BD125" s="12" t="str">
        <f t="shared" si="161"/>
        <v/>
      </c>
    </row>
    <row r="127" spans="1:56" s="9" customFormat="1" x14ac:dyDescent="0.25">
      <c r="A127" s="9" t="s">
        <v>72</v>
      </c>
      <c r="B127" s="18">
        <v>1501</v>
      </c>
      <c r="C127" s="18">
        <v>1502</v>
      </c>
      <c r="D127" s="18">
        <v>1503</v>
      </c>
      <c r="E127" s="18">
        <v>1504</v>
      </c>
      <c r="F127" s="18">
        <v>1505</v>
      </c>
      <c r="G127" s="18">
        <v>1506</v>
      </c>
      <c r="H127" s="18">
        <v>1507</v>
      </c>
      <c r="I127" s="18">
        <v>1508</v>
      </c>
      <c r="J127" s="18">
        <v>1509</v>
      </c>
      <c r="K127" s="18">
        <v>1510</v>
      </c>
      <c r="L127" s="18">
        <v>1511</v>
      </c>
      <c r="M127" s="18">
        <v>1512</v>
      </c>
      <c r="N127" s="18">
        <v>1601</v>
      </c>
      <c r="O127" s="18">
        <v>1602</v>
      </c>
      <c r="P127" s="18">
        <v>1603</v>
      </c>
      <c r="Q127" s="18">
        <v>1604</v>
      </c>
      <c r="R127" s="18">
        <v>1605</v>
      </c>
      <c r="S127" s="18">
        <v>1606</v>
      </c>
      <c r="T127" s="18">
        <v>1607</v>
      </c>
      <c r="U127" s="18">
        <v>1608</v>
      </c>
      <c r="V127" s="18">
        <v>1609</v>
      </c>
      <c r="W127" s="18">
        <v>1610</v>
      </c>
      <c r="X127" s="18">
        <v>1611</v>
      </c>
      <c r="Y127" s="18">
        <v>1612</v>
      </c>
      <c r="Z127" s="19" t="s">
        <v>52</v>
      </c>
      <c r="AA127" s="19" t="s">
        <v>56</v>
      </c>
      <c r="AB127" s="19" t="s">
        <v>57</v>
      </c>
      <c r="AC127" s="19" t="s">
        <v>58</v>
      </c>
      <c r="AD127" s="19" t="s">
        <v>59</v>
      </c>
      <c r="AE127" s="20" t="s">
        <v>53</v>
      </c>
      <c r="AF127" s="20" t="s">
        <v>60</v>
      </c>
      <c r="AG127" s="20" t="s">
        <v>61</v>
      </c>
      <c r="AH127" s="20" t="s">
        <v>62</v>
      </c>
      <c r="AI127" s="20" t="s">
        <v>63</v>
      </c>
      <c r="AN127" s="18">
        <v>1701</v>
      </c>
      <c r="AO127" s="18">
        <v>1702</v>
      </c>
      <c r="AP127" s="18">
        <v>1703</v>
      </c>
      <c r="AQ127" s="18">
        <v>1704</v>
      </c>
      <c r="AR127" s="18">
        <v>1705</v>
      </c>
      <c r="AS127" s="18">
        <v>1706</v>
      </c>
      <c r="AT127" s="18">
        <v>1707</v>
      </c>
      <c r="AU127" s="18">
        <v>1708</v>
      </c>
      <c r="AV127" s="18">
        <v>1709</v>
      </c>
      <c r="AW127" s="18">
        <v>1710</v>
      </c>
      <c r="AX127" s="18">
        <v>1711</v>
      </c>
      <c r="AY127" s="18">
        <v>1712</v>
      </c>
      <c r="AZ127" s="19" t="s">
        <v>184</v>
      </c>
      <c r="BA127" s="19" t="s">
        <v>185</v>
      </c>
      <c r="BB127" s="19" t="s">
        <v>186</v>
      </c>
      <c r="BC127" s="19" t="s">
        <v>187</v>
      </c>
      <c r="BD127" s="19" t="s">
        <v>188</v>
      </c>
    </row>
    <row r="128" spans="1:56" x14ac:dyDescent="0.25">
      <c r="A128" s="17" t="s">
        <v>71</v>
      </c>
      <c r="B128">
        <v>98</v>
      </c>
      <c r="C128">
        <v>98</v>
      </c>
      <c r="D128">
        <v>99</v>
      </c>
      <c r="E128">
        <v>99</v>
      </c>
      <c r="F128">
        <v>99</v>
      </c>
      <c r="G128">
        <v>99</v>
      </c>
      <c r="H128">
        <v>99</v>
      </c>
      <c r="I128">
        <v>99</v>
      </c>
      <c r="J128">
        <v>99</v>
      </c>
      <c r="K128">
        <v>99</v>
      </c>
      <c r="L128">
        <v>99</v>
      </c>
      <c r="M128">
        <v>99</v>
      </c>
      <c r="N128">
        <v>99</v>
      </c>
      <c r="O128">
        <v>99</v>
      </c>
      <c r="P128">
        <v>99</v>
      </c>
      <c r="Q128">
        <v>99</v>
      </c>
      <c r="R128">
        <v>99</v>
      </c>
      <c r="S128">
        <v>99</v>
      </c>
      <c r="T128" s="21"/>
      <c r="U128" s="21"/>
      <c r="V128" s="21"/>
      <c r="W128" s="21"/>
      <c r="X128" s="21"/>
      <c r="Y128" s="21"/>
      <c r="Z128" s="11">
        <f>INDEX(N128:Y128,$A$3)</f>
        <v>0</v>
      </c>
      <c r="AA128" s="11">
        <f>P128</f>
        <v>99</v>
      </c>
      <c r="AB128" s="11">
        <f>S128</f>
        <v>99</v>
      </c>
      <c r="AC128" s="21">
        <f>V128</f>
        <v>0</v>
      </c>
      <c r="AD128" s="21">
        <f>Y128</f>
        <v>0</v>
      </c>
      <c r="AE128" s="21">
        <f>INDEX(B128:M128,$A$3)</f>
        <v>99</v>
      </c>
      <c r="AF128" s="21">
        <f>D128</f>
        <v>99</v>
      </c>
      <c r="AG128" s="21">
        <f>G128</f>
        <v>99</v>
      </c>
      <c r="AH128" s="21">
        <f>J128</f>
        <v>99</v>
      </c>
      <c r="AI128" s="21">
        <f>M128</f>
        <v>99</v>
      </c>
      <c r="AR128">
        <v>20</v>
      </c>
      <c r="AS128">
        <v>23</v>
      </c>
      <c r="AT128" s="225">
        <v>23</v>
      </c>
      <c r="AU128" s="21"/>
      <c r="AV128" s="21"/>
      <c r="AW128" s="21"/>
      <c r="AX128" s="21"/>
      <c r="AY128" s="21"/>
      <c r="AZ128" s="21">
        <f t="shared" ref="AZ128:AZ133" si="162">INDEX(AN128:AY128,$A$3)</f>
        <v>23</v>
      </c>
      <c r="BA128" s="21">
        <f>AP128</f>
        <v>0</v>
      </c>
      <c r="BB128" s="21">
        <f>AS128</f>
        <v>23</v>
      </c>
      <c r="BC128" s="21">
        <f>AV128</f>
        <v>0</v>
      </c>
      <c r="BD128" s="21">
        <f>AY128</f>
        <v>0</v>
      </c>
    </row>
    <row r="129" spans="1:56" x14ac:dyDescent="0.25">
      <c r="A129" s="17" t="s">
        <v>47</v>
      </c>
      <c r="B129">
        <v>170</v>
      </c>
      <c r="C129">
        <v>170</v>
      </c>
      <c r="D129">
        <v>174</v>
      </c>
      <c r="E129">
        <v>175</v>
      </c>
      <c r="F129">
        <v>176</v>
      </c>
      <c r="G129">
        <v>176</v>
      </c>
      <c r="H129">
        <v>176</v>
      </c>
      <c r="I129">
        <v>177</v>
      </c>
      <c r="J129">
        <v>178</v>
      </c>
      <c r="K129">
        <v>184</v>
      </c>
      <c r="L129">
        <v>188</v>
      </c>
      <c r="M129">
        <v>188</v>
      </c>
      <c r="N129">
        <v>188</v>
      </c>
      <c r="O129">
        <v>188</v>
      </c>
      <c r="P129">
        <v>190</v>
      </c>
      <c r="Q129">
        <v>191</v>
      </c>
      <c r="R129">
        <v>191</v>
      </c>
      <c r="S129">
        <v>191</v>
      </c>
      <c r="T129" s="21">
        <v>173</v>
      </c>
      <c r="U129" s="21">
        <v>161</v>
      </c>
      <c r="V129" s="21">
        <v>162</v>
      </c>
      <c r="W129" s="21">
        <f t="shared" ref="W129:Y130" si="163">V129</f>
        <v>162</v>
      </c>
      <c r="X129" s="21">
        <f t="shared" si="163"/>
        <v>162</v>
      </c>
      <c r="Y129" s="21">
        <f t="shared" si="163"/>
        <v>162</v>
      </c>
      <c r="Z129" s="11">
        <f>INDEX(N129:Y129,$A$3)</f>
        <v>173</v>
      </c>
      <c r="AA129" s="11">
        <f>P129</f>
        <v>190</v>
      </c>
      <c r="AB129" s="11">
        <f>S129</f>
        <v>191</v>
      </c>
      <c r="AC129" s="21">
        <f>V129</f>
        <v>162</v>
      </c>
      <c r="AD129" s="21">
        <f>Y129</f>
        <v>162</v>
      </c>
      <c r="AE129" s="21">
        <f>INDEX(B129:M129,$A$3)</f>
        <v>176</v>
      </c>
      <c r="AF129" s="21">
        <f>D129</f>
        <v>174</v>
      </c>
      <c r="AG129" s="21">
        <f>G129</f>
        <v>176</v>
      </c>
      <c r="AH129" s="21">
        <f>J129</f>
        <v>178</v>
      </c>
      <c r="AI129" s="21">
        <f>M129</f>
        <v>188</v>
      </c>
      <c r="AN129" s="21">
        <v>161</v>
      </c>
      <c r="AO129" s="21">
        <v>161</v>
      </c>
      <c r="AP129" s="21">
        <v>159</v>
      </c>
      <c r="AQ129" s="21">
        <v>163</v>
      </c>
      <c r="AR129" s="21">
        <v>163</v>
      </c>
      <c r="AS129" s="21">
        <v>168</v>
      </c>
      <c r="AT129" s="225">
        <v>168</v>
      </c>
      <c r="AU129" s="21"/>
      <c r="AV129" s="21"/>
      <c r="AW129" s="21"/>
      <c r="AX129" s="21"/>
      <c r="AY129" s="21"/>
      <c r="AZ129" s="21">
        <f t="shared" si="162"/>
        <v>168</v>
      </c>
      <c r="BA129" s="21">
        <f>AZ129</f>
        <v>168</v>
      </c>
      <c r="BB129" s="21">
        <f>AS129</f>
        <v>168</v>
      </c>
      <c r="BC129" s="21">
        <f>AV129</f>
        <v>0</v>
      </c>
      <c r="BD129" s="21">
        <f>AY129</f>
        <v>0</v>
      </c>
    </row>
    <row r="130" spans="1:56" x14ac:dyDescent="0.25">
      <c r="A130" s="17" t="s">
        <v>116</v>
      </c>
      <c r="T130" s="21"/>
      <c r="U130" s="21">
        <v>143</v>
      </c>
      <c r="V130" s="21">
        <v>140</v>
      </c>
      <c r="W130" s="21">
        <f t="shared" si="163"/>
        <v>140</v>
      </c>
      <c r="X130" s="21">
        <f t="shared" si="163"/>
        <v>140</v>
      </c>
      <c r="Y130" s="21">
        <f t="shared" si="163"/>
        <v>140</v>
      </c>
      <c r="Z130" s="11">
        <f>INDEX(N130:Y130,$A$3)</f>
        <v>0</v>
      </c>
      <c r="AA130" s="11">
        <f>P130</f>
        <v>0</v>
      </c>
      <c r="AB130" s="11">
        <f>S130</f>
        <v>0</v>
      </c>
      <c r="AC130" s="21">
        <f>V130</f>
        <v>140</v>
      </c>
      <c r="AD130" s="21">
        <f>Y130</f>
        <v>140</v>
      </c>
      <c r="AE130" s="21">
        <f>INDEX(B130:M130,$A$3)</f>
        <v>0</v>
      </c>
      <c r="AF130" s="21">
        <f>D130</f>
        <v>0</v>
      </c>
      <c r="AG130" s="21">
        <f>G130</f>
        <v>0</v>
      </c>
      <c r="AH130" s="21">
        <f>J130</f>
        <v>0</v>
      </c>
      <c r="AI130" s="21">
        <f>M130</f>
        <v>0</v>
      </c>
      <c r="AN130" s="21">
        <v>208</v>
      </c>
      <c r="AO130" s="21">
        <v>208</v>
      </c>
      <c r="AP130" s="21">
        <v>208</v>
      </c>
      <c r="AQ130" s="21">
        <v>208</v>
      </c>
      <c r="AR130" s="21">
        <v>208</v>
      </c>
      <c r="AS130" s="21">
        <v>208</v>
      </c>
      <c r="AT130" s="225">
        <v>207</v>
      </c>
      <c r="AU130" s="21"/>
      <c r="AV130" s="21"/>
      <c r="AW130" s="21"/>
      <c r="AX130" s="21"/>
      <c r="AY130" s="21"/>
      <c r="AZ130" s="21">
        <f t="shared" si="162"/>
        <v>207</v>
      </c>
      <c r="BA130" s="21">
        <f t="shared" ref="BA130:BA133" si="164">AZ130</f>
        <v>207</v>
      </c>
      <c r="BB130" s="21">
        <f>AS130</f>
        <v>208</v>
      </c>
      <c r="BC130" s="21">
        <f>AV130</f>
        <v>0</v>
      </c>
      <c r="BD130" s="21">
        <f>AY130</f>
        <v>0</v>
      </c>
    </row>
    <row r="131" spans="1:56" x14ac:dyDescent="0.25">
      <c r="A131" s="17" t="s">
        <v>48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28</v>
      </c>
      <c r="I131">
        <v>38</v>
      </c>
      <c r="J131">
        <v>41</v>
      </c>
      <c r="K131">
        <v>95</v>
      </c>
      <c r="L131">
        <v>95</v>
      </c>
      <c r="M131">
        <v>95</v>
      </c>
      <c r="N131">
        <v>95</v>
      </c>
      <c r="O131">
        <v>95</v>
      </c>
      <c r="P131">
        <v>95</v>
      </c>
      <c r="Q131">
        <v>95</v>
      </c>
      <c r="R131">
        <v>95</v>
      </c>
      <c r="S131">
        <v>95</v>
      </c>
      <c r="T131" s="21"/>
      <c r="U131" s="21"/>
      <c r="V131" s="21"/>
      <c r="W131" s="21"/>
      <c r="X131" s="21"/>
      <c r="Y131" s="21"/>
      <c r="Z131" s="11">
        <f>INDEX(N131:Y131,$A$3)</f>
        <v>0</v>
      </c>
      <c r="AA131" s="11">
        <f>P131</f>
        <v>95</v>
      </c>
      <c r="AB131" s="11">
        <f>S131</f>
        <v>95</v>
      </c>
      <c r="AC131" s="21">
        <f>V131</f>
        <v>0</v>
      </c>
      <c r="AD131" s="21">
        <f>Y131</f>
        <v>0</v>
      </c>
      <c r="AE131" s="21">
        <f>INDEX(B131:M131,$A$3)</f>
        <v>28</v>
      </c>
      <c r="AF131" s="21">
        <f>D131</f>
        <v>0</v>
      </c>
      <c r="AG131" s="21">
        <f>G131</f>
        <v>0</v>
      </c>
      <c r="AH131" s="21">
        <f>J131</f>
        <v>41</v>
      </c>
      <c r="AI131" s="21">
        <f>M131</f>
        <v>95</v>
      </c>
      <c r="AN131" s="21">
        <f t="shared" ref="AN131" si="165">Y131</f>
        <v>0</v>
      </c>
      <c r="AO131" s="21"/>
      <c r="AP131" s="21"/>
      <c r="AQ131" s="21"/>
      <c r="AR131" s="21"/>
      <c r="AS131" s="21"/>
      <c r="AT131" s="225"/>
      <c r="AU131" s="21"/>
      <c r="AV131" s="21"/>
      <c r="AW131" s="21"/>
      <c r="AX131" s="21"/>
      <c r="AY131" s="21"/>
      <c r="AZ131" s="21">
        <f t="shared" si="162"/>
        <v>0</v>
      </c>
      <c r="BA131" s="21">
        <f t="shared" si="164"/>
        <v>0</v>
      </c>
      <c r="BB131" s="21">
        <f>AS131</f>
        <v>0</v>
      </c>
      <c r="BC131" s="21">
        <f>AV131</f>
        <v>0</v>
      </c>
      <c r="BD131" s="21">
        <f>AY131</f>
        <v>0</v>
      </c>
    </row>
    <row r="132" spans="1:56" x14ac:dyDescent="0.25">
      <c r="A132" s="17" t="s">
        <v>208</v>
      </c>
      <c r="T132" s="21"/>
      <c r="U132" s="21"/>
      <c r="V132" s="21"/>
      <c r="W132" s="21"/>
      <c r="X132" s="21"/>
      <c r="Y132" s="21"/>
      <c r="Z132" s="11"/>
      <c r="AA132" s="11"/>
      <c r="AB132" s="11"/>
      <c r="AC132" s="21"/>
      <c r="AD132" s="21"/>
      <c r="AE132" s="21"/>
      <c r="AF132" s="21"/>
      <c r="AG132" s="21"/>
      <c r="AH132" s="21"/>
      <c r="AI132" s="21"/>
      <c r="AN132" s="21"/>
      <c r="AO132" s="21"/>
      <c r="AP132" s="21">
        <v>36</v>
      </c>
      <c r="AQ132" s="21">
        <v>36</v>
      </c>
      <c r="AR132" s="21">
        <v>36</v>
      </c>
      <c r="AS132" s="21">
        <v>37</v>
      </c>
      <c r="AT132" s="225">
        <v>38</v>
      </c>
      <c r="AU132" s="21"/>
      <c r="AV132" s="21"/>
      <c r="AW132" s="21"/>
      <c r="AX132" s="21"/>
      <c r="AY132" s="21"/>
      <c r="AZ132" s="21">
        <f t="shared" si="162"/>
        <v>38</v>
      </c>
      <c r="BA132" s="21">
        <f t="shared" ref="BA132" si="166">AZ132</f>
        <v>38</v>
      </c>
      <c r="BB132" s="21"/>
      <c r="BC132" s="21"/>
      <c r="BD132" s="21"/>
    </row>
    <row r="133" spans="1:56" x14ac:dyDescent="0.25">
      <c r="A133" s="17" t="s">
        <v>201</v>
      </c>
      <c r="T133" s="21"/>
      <c r="U133" s="21"/>
      <c r="V133" s="21"/>
      <c r="W133" s="21"/>
      <c r="X133" s="21"/>
      <c r="Y133" s="21"/>
      <c r="Z133" s="11"/>
      <c r="AA133" s="11"/>
      <c r="AB133" s="11"/>
      <c r="AC133" s="21"/>
      <c r="AD133" s="21"/>
      <c r="AE133" s="21">
        <f>INDEX(B133:M133,$A$3)</f>
        <v>0</v>
      </c>
      <c r="AF133" s="21">
        <f>D133</f>
        <v>0</v>
      </c>
      <c r="AG133" s="21">
        <f>G133</f>
        <v>0</v>
      </c>
      <c r="AH133" s="21">
        <f>J133</f>
        <v>0</v>
      </c>
      <c r="AI133" s="21">
        <f>M133</f>
        <v>0</v>
      </c>
      <c r="AN133" s="21">
        <v>1</v>
      </c>
      <c r="AO133" s="21">
        <v>27</v>
      </c>
      <c r="AP133" s="21">
        <v>27</v>
      </c>
      <c r="AQ133" s="21">
        <v>27</v>
      </c>
      <c r="AR133" s="21">
        <v>27</v>
      </c>
      <c r="AS133" s="21">
        <v>22</v>
      </c>
      <c r="AT133" s="225">
        <v>22</v>
      </c>
      <c r="AU133" s="21"/>
      <c r="AV133" s="21"/>
      <c r="AW133" s="21"/>
      <c r="AX133" s="21"/>
      <c r="AY133" s="21"/>
      <c r="AZ133" s="21">
        <f t="shared" si="162"/>
        <v>22</v>
      </c>
      <c r="BA133" s="21">
        <f t="shared" si="164"/>
        <v>22</v>
      </c>
      <c r="BB133" s="21">
        <f>AS133</f>
        <v>22</v>
      </c>
      <c r="BC133" s="21">
        <f>AV133</f>
        <v>0</v>
      </c>
      <c r="BD133" s="21">
        <f>AY133</f>
        <v>0</v>
      </c>
    </row>
    <row r="134" spans="1:56" x14ac:dyDescent="0.25">
      <c r="B134" s="13">
        <f t="shared" ref="B134:AI134" si="167">SUM(B128:B133)</f>
        <v>268</v>
      </c>
      <c r="C134" s="13">
        <f t="shared" si="167"/>
        <v>268</v>
      </c>
      <c r="D134" s="13">
        <f t="shared" si="167"/>
        <v>273</v>
      </c>
      <c r="E134" s="13">
        <f t="shared" si="167"/>
        <v>274</v>
      </c>
      <c r="F134" s="13">
        <f t="shared" si="167"/>
        <v>275</v>
      </c>
      <c r="G134" s="13">
        <f t="shared" si="167"/>
        <v>275</v>
      </c>
      <c r="H134" s="13">
        <f t="shared" si="167"/>
        <v>303</v>
      </c>
      <c r="I134" s="13">
        <f t="shared" si="167"/>
        <v>314</v>
      </c>
      <c r="J134" s="13">
        <f t="shared" si="167"/>
        <v>318</v>
      </c>
      <c r="K134" s="13">
        <f t="shared" si="167"/>
        <v>378</v>
      </c>
      <c r="L134" s="13">
        <f t="shared" si="167"/>
        <v>382</v>
      </c>
      <c r="M134" s="13">
        <f t="shared" si="167"/>
        <v>382</v>
      </c>
      <c r="N134" s="13">
        <f t="shared" si="167"/>
        <v>382</v>
      </c>
      <c r="O134" s="13">
        <f t="shared" si="167"/>
        <v>382</v>
      </c>
      <c r="P134" s="13">
        <f t="shared" si="167"/>
        <v>384</v>
      </c>
      <c r="Q134" s="13">
        <f t="shared" si="167"/>
        <v>385</v>
      </c>
      <c r="R134" s="13">
        <f t="shared" si="167"/>
        <v>385</v>
      </c>
      <c r="S134" s="13">
        <f t="shared" si="167"/>
        <v>385</v>
      </c>
      <c r="T134" s="22">
        <f t="shared" si="167"/>
        <v>173</v>
      </c>
      <c r="U134" s="22">
        <f t="shared" si="167"/>
        <v>304</v>
      </c>
      <c r="V134" s="22">
        <f t="shared" si="167"/>
        <v>302</v>
      </c>
      <c r="W134" s="22">
        <f t="shared" si="167"/>
        <v>302</v>
      </c>
      <c r="X134" s="22">
        <f t="shared" si="167"/>
        <v>302</v>
      </c>
      <c r="Y134" s="22">
        <f t="shared" si="167"/>
        <v>302</v>
      </c>
      <c r="Z134" s="13">
        <f t="shared" si="167"/>
        <v>173</v>
      </c>
      <c r="AA134" s="13">
        <f t="shared" si="167"/>
        <v>384</v>
      </c>
      <c r="AB134" s="13">
        <f t="shared" si="167"/>
        <v>385</v>
      </c>
      <c r="AC134" s="22">
        <f t="shared" si="167"/>
        <v>302</v>
      </c>
      <c r="AD134" s="22">
        <f t="shared" si="167"/>
        <v>302</v>
      </c>
      <c r="AE134" s="22">
        <f t="shared" si="167"/>
        <v>303</v>
      </c>
      <c r="AF134" s="22">
        <f t="shared" si="167"/>
        <v>273</v>
      </c>
      <c r="AG134" s="22">
        <f t="shared" si="167"/>
        <v>275</v>
      </c>
      <c r="AH134" s="22">
        <f t="shared" si="167"/>
        <v>318</v>
      </c>
      <c r="AI134" s="22">
        <f t="shared" si="167"/>
        <v>382</v>
      </c>
      <c r="AN134" s="22">
        <f t="shared" ref="AN134:BD134" si="168">SUM(AN128:AN133)</f>
        <v>370</v>
      </c>
      <c r="AO134" s="22">
        <f t="shared" si="168"/>
        <v>396</v>
      </c>
      <c r="AP134" s="22">
        <f t="shared" si="168"/>
        <v>430</v>
      </c>
      <c r="AQ134" s="22">
        <f t="shared" si="168"/>
        <v>434</v>
      </c>
      <c r="AR134" s="22">
        <f t="shared" si="168"/>
        <v>454</v>
      </c>
      <c r="AS134" s="22">
        <f t="shared" si="168"/>
        <v>458</v>
      </c>
      <c r="AT134" s="22">
        <f t="shared" si="168"/>
        <v>458</v>
      </c>
      <c r="AU134" s="22">
        <f t="shared" si="168"/>
        <v>0</v>
      </c>
      <c r="AV134" s="22">
        <f t="shared" si="168"/>
        <v>0</v>
      </c>
      <c r="AW134" s="22">
        <f t="shared" si="168"/>
        <v>0</v>
      </c>
      <c r="AX134" s="22">
        <f t="shared" si="168"/>
        <v>0</v>
      </c>
      <c r="AY134" s="22">
        <f t="shared" si="168"/>
        <v>0</v>
      </c>
      <c r="AZ134" s="22">
        <f t="shared" si="168"/>
        <v>458</v>
      </c>
      <c r="BA134" s="22">
        <f t="shared" si="168"/>
        <v>435</v>
      </c>
      <c r="BB134" s="22">
        <f t="shared" si="168"/>
        <v>421</v>
      </c>
      <c r="BC134" s="22">
        <f t="shared" si="168"/>
        <v>0</v>
      </c>
      <c r="BD134" s="22">
        <f t="shared" si="168"/>
        <v>0</v>
      </c>
    </row>
    <row r="136" spans="1:56" s="9" customFormat="1" x14ac:dyDescent="0.25">
      <c r="A136" s="9" t="s">
        <v>6</v>
      </c>
      <c r="B136" s="18">
        <v>1501</v>
      </c>
      <c r="C136" s="18">
        <v>1502</v>
      </c>
      <c r="D136" s="18">
        <v>1503</v>
      </c>
      <c r="E136" s="18">
        <v>1504</v>
      </c>
      <c r="F136" s="18">
        <v>1505</v>
      </c>
      <c r="G136" s="18">
        <v>1506</v>
      </c>
      <c r="H136" s="18">
        <v>1507</v>
      </c>
      <c r="I136" s="18">
        <v>1508</v>
      </c>
      <c r="J136" s="18">
        <v>1509</v>
      </c>
      <c r="K136" s="18">
        <v>1510</v>
      </c>
      <c r="L136" s="18">
        <v>1511</v>
      </c>
      <c r="M136" s="18">
        <v>1512</v>
      </c>
      <c r="N136" s="18">
        <v>1601</v>
      </c>
      <c r="O136" s="18">
        <v>1602</v>
      </c>
      <c r="P136" s="18">
        <v>1603</v>
      </c>
      <c r="Q136" s="18">
        <v>1604</v>
      </c>
      <c r="R136" s="18">
        <v>1605</v>
      </c>
      <c r="S136" s="18">
        <v>1606</v>
      </c>
      <c r="T136" s="18">
        <v>1607</v>
      </c>
      <c r="U136" s="18">
        <v>1608</v>
      </c>
      <c r="V136" s="18">
        <v>1609</v>
      </c>
      <c r="W136" s="18">
        <v>1610</v>
      </c>
      <c r="X136" s="18">
        <v>1611</v>
      </c>
      <c r="Y136" s="18">
        <v>1612</v>
      </c>
      <c r="Z136" s="19" t="s">
        <v>52</v>
      </c>
      <c r="AA136" s="19" t="s">
        <v>56</v>
      </c>
      <c r="AB136" s="19" t="s">
        <v>57</v>
      </c>
      <c r="AC136" s="19" t="s">
        <v>58</v>
      </c>
      <c r="AD136" s="19" t="s">
        <v>59</v>
      </c>
      <c r="AE136" s="20" t="s">
        <v>53</v>
      </c>
      <c r="AF136" s="20" t="s">
        <v>60</v>
      </c>
      <c r="AG136" s="20" t="s">
        <v>61</v>
      </c>
      <c r="AH136" s="20" t="s">
        <v>62</v>
      </c>
      <c r="AI136" s="20" t="s">
        <v>63</v>
      </c>
      <c r="AN136" s="18">
        <v>1701</v>
      </c>
      <c r="AO136" s="18">
        <v>1702</v>
      </c>
      <c r="AP136" s="18">
        <v>1703</v>
      </c>
      <c r="AQ136" s="18">
        <v>1704</v>
      </c>
      <c r="AR136" s="18">
        <v>1705</v>
      </c>
      <c r="AS136" s="18">
        <v>1706</v>
      </c>
      <c r="AT136" s="18">
        <v>1707</v>
      </c>
      <c r="AU136" s="18">
        <v>1708</v>
      </c>
      <c r="AV136" s="18">
        <v>1709</v>
      </c>
      <c r="AW136" s="18">
        <v>1710</v>
      </c>
      <c r="AX136" s="18">
        <v>1711</v>
      </c>
      <c r="AY136" s="18">
        <v>1712</v>
      </c>
      <c r="AZ136" s="19" t="s">
        <v>184</v>
      </c>
      <c r="BA136" s="19" t="s">
        <v>185</v>
      </c>
      <c r="BB136" s="19" t="s">
        <v>186</v>
      </c>
      <c r="BC136" s="19" t="s">
        <v>187</v>
      </c>
      <c r="BD136" s="19" t="s">
        <v>188</v>
      </c>
    </row>
    <row r="137" spans="1:56" x14ac:dyDescent="0.25">
      <c r="A137" s="17" t="s">
        <v>117</v>
      </c>
      <c r="B137" s="11">
        <v>983.875</v>
      </c>
      <c r="C137" s="11">
        <v>700.16600000000005</v>
      </c>
      <c r="D137" s="11">
        <v>1579.0050000000001</v>
      </c>
      <c r="E137" s="11">
        <v>1617.452</v>
      </c>
      <c r="F137" s="11">
        <v>1077.9680000000001</v>
      </c>
      <c r="G137" s="11">
        <v>1693.384</v>
      </c>
      <c r="H137" s="11">
        <v>1441.511</v>
      </c>
      <c r="I137" s="11">
        <v>1177.9880000000001</v>
      </c>
      <c r="J137" s="11">
        <v>1659.481</v>
      </c>
      <c r="K137" s="11">
        <v>-99.293999999999983</v>
      </c>
      <c r="L137" s="11">
        <v>-10.186</v>
      </c>
      <c r="M137" s="11">
        <v>0</v>
      </c>
      <c r="N137" s="11">
        <v>-22.065000000000001</v>
      </c>
      <c r="O137" s="11">
        <v>0</v>
      </c>
      <c r="P137" s="11">
        <v>-17.437999999999999</v>
      </c>
      <c r="Q137" s="11">
        <v>0</v>
      </c>
      <c r="R137" s="11">
        <v>0</v>
      </c>
      <c r="S137" s="11">
        <v>-23.41</v>
      </c>
      <c r="T137" s="21">
        <v>17.399999999999999</v>
      </c>
      <c r="U137" s="21"/>
      <c r="V137" s="21"/>
      <c r="W137" s="157"/>
      <c r="X137" s="21"/>
      <c r="Y137" s="21"/>
      <c r="Z137" s="26">
        <f>SUM($N137:INDEX($N137:$Y137,$A$3))</f>
        <v>-45.512999999999998</v>
      </c>
      <c r="AA137" s="11">
        <f t="shared" ref="AA137:AA142" si="169">SUM(N137:P137)</f>
        <v>-39.503</v>
      </c>
      <c r="AB137" s="11">
        <f t="shared" ref="AB137:AB142" si="170">SUM(Q137:S137)</f>
        <v>-23.41</v>
      </c>
      <c r="AC137" s="21">
        <f t="shared" ref="AC137:AC142" si="171">SUM(T137:V137)</f>
        <v>17.399999999999999</v>
      </c>
      <c r="AD137" s="21">
        <f t="shared" ref="AD137:AD142" si="172">SUM(W137:Y137)</f>
        <v>0</v>
      </c>
      <c r="AE137" s="26">
        <f>SUM($B137:INDEX($B137:$M137,$A$3))</f>
        <v>9093.3610000000008</v>
      </c>
      <c r="AF137" s="21">
        <f t="shared" ref="AF137:AF142" si="173">SUM(B137:D137)</f>
        <v>3263.0460000000003</v>
      </c>
      <c r="AG137" s="21">
        <f t="shared" ref="AG137:AG142" si="174">SUM(E137:G137)</f>
        <v>4388.8040000000001</v>
      </c>
      <c r="AH137" s="11">
        <f t="shared" ref="AH137:AH142" si="175">SUM(H137:J137)</f>
        <v>4278.9799999999996</v>
      </c>
      <c r="AI137" s="11">
        <f t="shared" ref="AI137:AI142" si="176">SUM(K137:M137)</f>
        <v>-109.47999999999999</v>
      </c>
      <c r="AJ137" s="147"/>
      <c r="AN137" s="11"/>
      <c r="AO137" s="11"/>
      <c r="AP137" s="11"/>
      <c r="AQ137" s="11">
        <f>[8]APE_IOIS!$N$21</f>
        <v>-17.218</v>
      </c>
      <c r="AR137" s="11">
        <f>[9]APE_IOIS!$N$18</f>
        <v>75.894999999999996</v>
      </c>
      <c r="AS137" s="11">
        <f>[10]APE_IOIS!$N$16</f>
        <v>117.18899999999999</v>
      </c>
      <c r="AT137" s="21">
        <f>[11]APE_IOIS!$S$16</f>
        <v>162.5</v>
      </c>
      <c r="AU137" s="21"/>
      <c r="AV137" s="21"/>
      <c r="AW137" s="157"/>
      <c r="AX137" s="21"/>
      <c r="AY137" s="21"/>
      <c r="AZ137" s="21">
        <f>SUM($AN137:INDEX($AN137:$AY137,$A$3))</f>
        <v>338.36599999999999</v>
      </c>
      <c r="BA137" s="21">
        <f t="shared" ref="BA137:BA148" si="177">SUM(AN137:AP137)</f>
        <v>0</v>
      </c>
      <c r="BB137" s="21">
        <f t="shared" ref="BB137:BB148" si="178">SUM(AQ137:AS137)</f>
        <v>175.86599999999999</v>
      </c>
      <c r="BC137" s="21">
        <f t="shared" ref="BC137:BC148" si="179">SUM(AT137:AV137)</f>
        <v>162.5</v>
      </c>
      <c r="BD137" s="21">
        <f t="shared" ref="BD137:BD148" si="180">SUM(AW137:AY137)</f>
        <v>0</v>
      </c>
    </row>
    <row r="138" spans="1:56" x14ac:dyDescent="0.25">
      <c r="A138" s="17" t="s">
        <v>118</v>
      </c>
      <c r="B138" s="11">
        <v>473.01099999999997</v>
      </c>
      <c r="C138" s="11">
        <v>128.70599999999999</v>
      </c>
      <c r="D138" s="11">
        <v>335.78500000000003</v>
      </c>
      <c r="E138" s="11">
        <v>242.33</v>
      </c>
      <c r="F138" s="11">
        <v>-4.4809999999999901</v>
      </c>
      <c r="G138" s="11">
        <v>168.202</v>
      </c>
      <c r="H138" s="11">
        <v>295.036</v>
      </c>
      <c r="I138" s="11">
        <v>140.251</v>
      </c>
      <c r="J138" s="11">
        <v>638.79</v>
      </c>
      <c r="K138" s="11">
        <v>126.568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21">
        <v>0</v>
      </c>
      <c r="U138" s="21"/>
      <c r="V138" s="157">
        <v>-11.101000000000001</v>
      </c>
      <c r="W138" s="157"/>
      <c r="X138" s="21"/>
      <c r="Y138" s="21"/>
      <c r="Z138" s="11">
        <f>SUM($N138:INDEX($N138:$Y138,$A$3))</f>
        <v>0</v>
      </c>
      <c r="AA138" s="11">
        <f t="shared" si="169"/>
        <v>0</v>
      </c>
      <c r="AB138" s="11">
        <f t="shared" si="170"/>
        <v>0</v>
      </c>
      <c r="AC138" s="21">
        <f t="shared" si="171"/>
        <v>-11.101000000000001</v>
      </c>
      <c r="AD138" s="21">
        <f t="shared" si="172"/>
        <v>0</v>
      </c>
      <c r="AE138" s="26">
        <f>SUM($B138:INDEX($B138:$M138,$A$3))</f>
        <v>1638.5889999999999</v>
      </c>
      <c r="AF138" s="21">
        <f t="shared" si="173"/>
        <v>937.50199999999995</v>
      </c>
      <c r="AG138" s="21">
        <f t="shared" si="174"/>
        <v>406.05100000000004</v>
      </c>
      <c r="AH138" s="11">
        <f t="shared" si="175"/>
        <v>1074.077</v>
      </c>
      <c r="AI138" s="11">
        <f t="shared" si="176"/>
        <v>126.568</v>
      </c>
      <c r="AJ138" s="147"/>
      <c r="AN138" s="11"/>
      <c r="AO138" s="11"/>
      <c r="AP138" s="11"/>
      <c r="AQ138" s="11"/>
      <c r="AR138" s="11"/>
      <c r="AS138" s="11"/>
      <c r="AT138" s="21"/>
      <c r="AU138" s="21"/>
      <c r="AV138" s="157"/>
      <c r="AW138" s="157"/>
      <c r="AX138" s="21"/>
      <c r="AY138" s="21"/>
      <c r="AZ138" s="21">
        <f>SUM($AN138:INDEX($AN138:$AY138,$A$3))</f>
        <v>0</v>
      </c>
      <c r="BA138" s="21">
        <f t="shared" si="177"/>
        <v>0</v>
      </c>
      <c r="BB138" s="21">
        <f t="shared" si="178"/>
        <v>0</v>
      </c>
      <c r="BC138" s="21">
        <f t="shared" si="179"/>
        <v>0</v>
      </c>
      <c r="BD138" s="21">
        <f t="shared" si="180"/>
        <v>0</v>
      </c>
    </row>
    <row r="139" spans="1:56" x14ac:dyDescent="0.25">
      <c r="A139" s="17" t="s">
        <v>119</v>
      </c>
      <c r="B139" s="11">
        <v>3192.4189999999999</v>
      </c>
      <c r="C139" s="11">
        <v>1858.2139999999999</v>
      </c>
      <c r="D139" s="11">
        <v>6233.9580000000096</v>
      </c>
      <c r="E139" s="11">
        <v>6036.01800000001</v>
      </c>
      <c r="F139" s="11">
        <v>5761.8459999999995</v>
      </c>
      <c r="G139" s="11">
        <v>7920.3379999999997</v>
      </c>
      <c r="H139" s="11">
        <v>7464.6600000000099</v>
      </c>
      <c r="I139" s="11">
        <v>4849.1499999999996</v>
      </c>
      <c r="J139" s="11">
        <v>7264.6719999999996</v>
      </c>
      <c r="K139" s="11">
        <v>10458.147000000001</v>
      </c>
      <c r="L139" s="11">
        <v>14299.66</v>
      </c>
      <c r="M139" s="11">
        <v>15245.503000000001</v>
      </c>
      <c r="N139" s="11">
        <v>4580.9319999999998</v>
      </c>
      <c r="O139" s="11">
        <v>3740.047</v>
      </c>
      <c r="P139" s="11">
        <v>7840.0290000000005</v>
      </c>
      <c r="Q139" s="11">
        <v>7292.2520000000004</v>
      </c>
      <c r="R139" s="11">
        <v>9276.1109999999899</v>
      </c>
      <c r="S139" s="11">
        <v>10152.119000000001</v>
      </c>
      <c r="T139" s="21">
        <v>7664.8050000000003</v>
      </c>
      <c r="U139" s="21">
        <v>8541.0429999999997</v>
      </c>
      <c r="V139" s="21">
        <v>8541.0429999999997</v>
      </c>
      <c r="W139" s="157">
        <f>[12]APE_IOIS!N15</f>
        <v>11594.171999999999</v>
      </c>
      <c r="X139" s="21">
        <f>[13]APE_IOIS!N15</f>
        <v>7169.4090000000006</v>
      </c>
      <c r="Y139" s="21">
        <f>[14]APE_IOIS!N15</f>
        <v>15292.083999999999</v>
      </c>
      <c r="Z139" s="11">
        <f>SUM($N139:INDEX($N139:$Y139,$A$3))</f>
        <v>50546.294999999991</v>
      </c>
      <c r="AA139" s="11">
        <f t="shared" si="169"/>
        <v>16161.008</v>
      </c>
      <c r="AB139" s="11">
        <f t="shared" si="170"/>
        <v>26720.481999999989</v>
      </c>
      <c r="AC139" s="21">
        <f t="shared" si="171"/>
        <v>24746.891</v>
      </c>
      <c r="AD139" s="21">
        <f t="shared" si="172"/>
        <v>34055.664999999994</v>
      </c>
      <c r="AE139" s="11">
        <f>SUM($B139:INDEX($B139:$M139,$A$3))</f>
        <v>38467.453000000023</v>
      </c>
      <c r="AF139" s="21">
        <f t="shared" si="173"/>
        <v>11284.591000000009</v>
      </c>
      <c r="AG139" s="21">
        <f t="shared" si="174"/>
        <v>19718.202000000008</v>
      </c>
      <c r="AH139" s="11">
        <f t="shared" si="175"/>
        <v>19578.482000000007</v>
      </c>
      <c r="AI139" s="11">
        <f t="shared" si="176"/>
        <v>40003.31</v>
      </c>
      <c r="AJ139" s="147"/>
      <c r="AN139" s="11">
        <f>[15]APE_IOIS!N13</f>
        <v>5460.5570000000007</v>
      </c>
      <c r="AO139" s="11">
        <f>[16]APE_IOIS!N12</f>
        <v>11055.407999999999</v>
      </c>
      <c r="AP139" s="11">
        <f>[17]APE_IOIS!N10</f>
        <v>13818.928000000002</v>
      </c>
      <c r="AQ139" s="11">
        <f>[8]APE_IOIS!N12</f>
        <v>8871.242000000002</v>
      </c>
      <c r="AR139" s="11">
        <f>[9]APE_IOIS!N12</f>
        <v>7529.3360000000021</v>
      </c>
      <c r="AS139" s="11">
        <f>[10]APE_IOIS!N10</f>
        <v>7064.6200000000008</v>
      </c>
      <c r="AT139" s="21">
        <f>[11]APE_IOIS!$S$10</f>
        <v>7472.857</v>
      </c>
      <c r="AU139" s="21"/>
      <c r="AV139" s="21"/>
      <c r="AW139" s="157"/>
      <c r="AX139" s="21"/>
      <c r="AY139" s="21"/>
      <c r="AZ139" s="21">
        <f>SUM($AN139:INDEX($AN139:$AY139,$A$3))</f>
        <v>61272.948000000019</v>
      </c>
      <c r="BA139" s="21">
        <f t="shared" si="177"/>
        <v>30334.893000000004</v>
      </c>
      <c r="BB139" s="21">
        <f t="shared" si="178"/>
        <v>23465.198000000004</v>
      </c>
      <c r="BC139" s="21">
        <f t="shared" si="179"/>
        <v>7472.857</v>
      </c>
      <c r="BD139" s="21">
        <f t="shared" si="180"/>
        <v>0</v>
      </c>
    </row>
    <row r="140" spans="1:56" x14ac:dyDescent="0.25">
      <c r="A140" s="17" t="s">
        <v>120</v>
      </c>
      <c r="B140" s="11">
        <v>474.71</v>
      </c>
      <c r="C140" s="11">
        <v>436.23700000000002</v>
      </c>
      <c r="D140" s="11">
        <v>1124.9090000000001</v>
      </c>
      <c r="E140" s="11">
        <v>480.08300000000003</v>
      </c>
      <c r="F140" s="11">
        <v>806.90599999999995</v>
      </c>
      <c r="G140" s="11">
        <v>661.17200000000003</v>
      </c>
      <c r="H140" s="11">
        <v>803.61699999999996</v>
      </c>
      <c r="I140" s="11">
        <v>1600.5450000000001</v>
      </c>
      <c r="J140" s="11">
        <v>1428.415</v>
      </c>
      <c r="K140" s="11">
        <v>2165.145</v>
      </c>
      <c r="L140" s="11">
        <v>2368.473</v>
      </c>
      <c r="M140" s="11">
        <v>1670.828</v>
      </c>
      <c r="N140" s="11">
        <v>1103.0029999999999</v>
      </c>
      <c r="O140" s="11">
        <v>5226.4530000000004</v>
      </c>
      <c r="P140" s="11">
        <v>6339.1480000000101</v>
      </c>
      <c r="Q140" s="11">
        <v>4479.6330000000098</v>
      </c>
      <c r="R140" s="11">
        <v>5907.3329999999896</v>
      </c>
      <c r="S140" s="11">
        <v>5856.6760000000004</v>
      </c>
      <c r="T140" s="21">
        <v>5274.0949999999903</v>
      </c>
      <c r="U140" s="21">
        <v>7920.0239999999903</v>
      </c>
      <c r="V140" s="21">
        <v>7920.0240000000031</v>
      </c>
      <c r="W140" s="157">
        <f>[12]APE_IOIS!N16</f>
        <v>4995.4130000000005</v>
      </c>
      <c r="X140" s="21">
        <f>[13]APE_IOIS!N16</f>
        <v>5636.8639999999996</v>
      </c>
      <c r="Y140" s="21">
        <f>[14]APE_IOIS!N16</f>
        <v>9297.514000000001</v>
      </c>
      <c r="Z140" s="11">
        <f>SUM($N140:INDEX($N140:$Y140,$A$3))</f>
        <v>34186.341</v>
      </c>
      <c r="AA140" s="11">
        <f t="shared" si="169"/>
        <v>12668.60400000001</v>
      </c>
      <c r="AB140" s="11">
        <f t="shared" si="170"/>
        <v>16243.642</v>
      </c>
      <c r="AC140" s="21">
        <f t="shared" si="171"/>
        <v>21114.142999999982</v>
      </c>
      <c r="AD140" s="21">
        <f t="shared" si="172"/>
        <v>19929.791000000001</v>
      </c>
      <c r="AE140" s="11">
        <f>SUM($B140:INDEX($B140:$M140,$A$3))</f>
        <v>4787.634</v>
      </c>
      <c r="AF140" s="21">
        <f t="shared" si="173"/>
        <v>2035.8560000000002</v>
      </c>
      <c r="AG140" s="21">
        <f t="shared" si="174"/>
        <v>1948.1610000000001</v>
      </c>
      <c r="AH140" s="11">
        <f t="shared" si="175"/>
        <v>3832.5770000000002</v>
      </c>
      <c r="AI140" s="11">
        <f t="shared" si="176"/>
        <v>6204.4459999999999</v>
      </c>
      <c r="AJ140" s="147"/>
      <c r="AN140" s="11">
        <f>[15]APE_IOIS!N14</f>
        <v>4051.6240000000003</v>
      </c>
      <c r="AO140" s="11">
        <f>[16]APE_IOIS!N13</f>
        <v>7518.6739999999991</v>
      </c>
      <c r="AP140" s="11">
        <f>[17]APE_IOIS!N11</f>
        <v>8926.1050000000014</v>
      </c>
      <c r="AQ140" s="11">
        <f>[8]APE_IOIS!N13</f>
        <v>8892.4980000000014</v>
      </c>
      <c r="AR140" s="11">
        <f>[9]APE_IOIS!N13</f>
        <v>9682.3079999999991</v>
      </c>
      <c r="AS140" s="11">
        <f>[10]APE_IOIS!N11</f>
        <v>6477.6189999999997</v>
      </c>
      <c r="AT140" s="21">
        <f>[11]APE_IOIS!$S$11</f>
        <v>7900.5810000000001</v>
      </c>
      <c r="AU140" s="21"/>
      <c r="AV140" s="21"/>
      <c r="AW140" s="157"/>
      <c r="AX140" s="21"/>
      <c r="AY140" s="21"/>
      <c r="AZ140" s="21">
        <f>SUM($AN140:INDEX($AN140:$AY140,$A$3))</f>
        <v>53449.408999999992</v>
      </c>
      <c r="BA140" s="21">
        <f t="shared" si="177"/>
        <v>20496.402999999998</v>
      </c>
      <c r="BB140" s="21">
        <f t="shared" si="178"/>
        <v>25052.424999999999</v>
      </c>
      <c r="BC140" s="21">
        <f t="shared" si="179"/>
        <v>7900.5810000000001</v>
      </c>
      <c r="BD140" s="21">
        <f t="shared" si="180"/>
        <v>0</v>
      </c>
    </row>
    <row r="141" spans="1:56" x14ac:dyDescent="0.25">
      <c r="A141" s="17" t="s">
        <v>121</v>
      </c>
      <c r="B141" s="11"/>
      <c r="C141" s="11"/>
      <c r="D141" s="11"/>
      <c r="E141" s="11"/>
      <c r="F141" s="11"/>
      <c r="G141" s="11"/>
      <c r="H141" s="11">
        <v>21.552</v>
      </c>
      <c r="I141" s="11">
        <v>509.74599999999998</v>
      </c>
      <c r="J141" s="11">
        <v>995.19899999999996</v>
      </c>
      <c r="K141" s="11">
        <v>1914.3620000000001</v>
      </c>
      <c r="L141" s="11">
        <v>2183.6880000000001</v>
      </c>
      <c r="M141" s="11">
        <v>3405.7559999999999</v>
      </c>
      <c r="N141" s="11">
        <v>1681.5060000000001</v>
      </c>
      <c r="O141" s="11">
        <v>653.57399999999996</v>
      </c>
      <c r="P141" s="11">
        <v>1062.5</v>
      </c>
      <c r="Q141" s="11">
        <v>655.31399999999996</v>
      </c>
      <c r="R141" s="11">
        <v>495.69299999999998</v>
      </c>
      <c r="S141" s="11">
        <v>277.75099999999998</v>
      </c>
      <c r="T141" s="125">
        <v>-15.382999999999999</v>
      </c>
      <c r="U141" s="21">
        <v>-25.204000000000001</v>
      </c>
      <c r="V141" s="21">
        <f>618.682+-25.204+-17.4</f>
        <v>576.07800000000009</v>
      </c>
      <c r="W141" s="157">
        <f>[12]APE_IOIS!N7</f>
        <v>510.09500000000003</v>
      </c>
      <c r="X141" s="21">
        <f>[13]APE_IOIS!N7</f>
        <v>215.12700000000001</v>
      </c>
      <c r="Y141" s="21">
        <f>[14]APE_IOIS!N7</f>
        <v>89.929000000000002</v>
      </c>
      <c r="Z141" s="11">
        <f>SUM($N141:INDEX($N141:$Y141,$A$3))</f>
        <v>4810.9549999999999</v>
      </c>
      <c r="AA141" s="11">
        <f t="shared" si="169"/>
        <v>3397.58</v>
      </c>
      <c r="AB141" s="11">
        <f t="shared" si="170"/>
        <v>1428.758</v>
      </c>
      <c r="AC141" s="21">
        <f t="shared" si="171"/>
        <v>535.4910000000001</v>
      </c>
      <c r="AD141" s="21">
        <f t="shared" si="172"/>
        <v>815.15099999999995</v>
      </c>
      <c r="AE141" s="11">
        <f>SUM($B141:INDEX($B141:$M141,$A$3))</f>
        <v>21.552</v>
      </c>
      <c r="AF141" s="21">
        <f t="shared" si="173"/>
        <v>0</v>
      </c>
      <c r="AG141" s="21">
        <f t="shared" si="174"/>
        <v>0</v>
      </c>
      <c r="AH141" s="11">
        <f t="shared" si="175"/>
        <v>1526.4969999999998</v>
      </c>
      <c r="AI141" s="11">
        <f t="shared" si="176"/>
        <v>7503.8060000000005</v>
      </c>
      <c r="AJ141" s="147"/>
      <c r="AN141" s="11">
        <f>[15]APE_IOIS!N7</f>
        <v>-59.771000000000001</v>
      </c>
      <c r="AO141" s="11"/>
      <c r="AP141" s="11"/>
      <c r="AQ141" s="11"/>
      <c r="AR141" s="11"/>
      <c r="AS141" s="11"/>
      <c r="AT141" s="125"/>
      <c r="AU141" s="21"/>
      <c r="AV141" s="21"/>
      <c r="AW141" s="157"/>
      <c r="AX141" s="21"/>
      <c r="AY141" s="21"/>
      <c r="AZ141" s="21">
        <f>SUM($AN141:INDEX($AN141:$AY141,$A$3))</f>
        <v>-59.771000000000001</v>
      </c>
      <c r="BA141" s="21">
        <f t="shared" si="177"/>
        <v>-59.771000000000001</v>
      </c>
      <c r="BB141" s="21">
        <f t="shared" si="178"/>
        <v>0</v>
      </c>
      <c r="BC141" s="21">
        <f t="shared" si="179"/>
        <v>0</v>
      </c>
      <c r="BD141" s="21">
        <f t="shared" si="180"/>
        <v>0</v>
      </c>
    </row>
    <row r="142" spans="1:56" x14ac:dyDescent="0.25">
      <c r="A142" s="17" t="s">
        <v>122</v>
      </c>
      <c r="B142" s="11"/>
      <c r="C142" s="11"/>
      <c r="D142" s="11"/>
      <c r="E142" s="11"/>
      <c r="F142" s="11"/>
      <c r="G142" s="11"/>
      <c r="H142" s="11"/>
      <c r="I142" s="11">
        <v>27.358000000000001</v>
      </c>
      <c r="J142" s="11">
        <v>93.081999999999994</v>
      </c>
      <c r="K142" s="11">
        <v>415.97699999999998</v>
      </c>
      <c r="L142" s="11">
        <v>303.75700000000001</v>
      </c>
      <c r="M142" s="11">
        <v>415.57799999999997</v>
      </c>
      <c r="N142" s="11">
        <v>261.96699999999998</v>
      </c>
      <c r="O142" s="11">
        <v>417.41199999999998</v>
      </c>
      <c r="P142" s="11">
        <v>198.64500000000001</v>
      </c>
      <c r="Q142" s="11">
        <v>231.113</v>
      </c>
      <c r="R142" s="11">
        <v>483.38400000000001</v>
      </c>
      <c r="S142" s="11">
        <v>131.53800000000001</v>
      </c>
      <c r="T142" s="125">
        <v>-189.86</v>
      </c>
      <c r="U142" s="21"/>
      <c r="V142" s="21">
        <v>104.444</v>
      </c>
      <c r="W142" s="157">
        <f>[12]APE_IOIS!N8</f>
        <v>-22.711999999999996</v>
      </c>
      <c r="X142" s="21">
        <f>[13]APE_IOIS!N8</f>
        <v>149.416</v>
      </c>
      <c r="Y142" s="21">
        <f>[14]APE_IOIS!N8</f>
        <v>44.936</v>
      </c>
      <c r="Z142" s="11">
        <f>SUM($N142:INDEX($N142:$Y142,$A$3))</f>
        <v>1534.1990000000001</v>
      </c>
      <c r="AA142" s="11">
        <f t="shared" si="169"/>
        <v>878.02399999999989</v>
      </c>
      <c r="AB142" s="11">
        <f t="shared" si="170"/>
        <v>846.03500000000008</v>
      </c>
      <c r="AC142" s="21">
        <f t="shared" si="171"/>
        <v>-85.416000000000011</v>
      </c>
      <c r="AD142" s="21">
        <f t="shared" si="172"/>
        <v>171.64000000000001</v>
      </c>
      <c r="AE142" s="11">
        <f>SUM($B142:INDEX($B142:$M142,$A$3))</f>
        <v>0</v>
      </c>
      <c r="AF142" s="21">
        <f t="shared" si="173"/>
        <v>0</v>
      </c>
      <c r="AG142" s="21">
        <f t="shared" si="174"/>
        <v>0</v>
      </c>
      <c r="AH142" s="11">
        <f t="shared" si="175"/>
        <v>120.44</v>
      </c>
      <c r="AI142" s="11">
        <f t="shared" si="176"/>
        <v>1135.3119999999999</v>
      </c>
      <c r="AJ142" s="147"/>
      <c r="AN142" s="11">
        <f>[15]APE_IOIS!N8</f>
        <v>-10.68</v>
      </c>
      <c r="AO142" s="11"/>
      <c r="AP142" s="11"/>
      <c r="AQ142" s="11"/>
      <c r="AR142" s="11"/>
      <c r="AS142" s="11"/>
      <c r="AT142" s="125"/>
      <c r="AU142" s="21"/>
      <c r="AV142" s="21"/>
      <c r="AW142" s="157"/>
      <c r="AX142" s="21"/>
      <c r="AY142" s="21"/>
      <c r="AZ142" s="21">
        <f>SUM($AN142:INDEX($AN142:$AY142,$A$3))</f>
        <v>-10.68</v>
      </c>
      <c r="BA142" s="21">
        <f t="shared" si="177"/>
        <v>-10.68</v>
      </c>
      <c r="BB142" s="21">
        <f t="shared" si="178"/>
        <v>0</v>
      </c>
      <c r="BC142" s="21">
        <f t="shared" si="179"/>
        <v>0</v>
      </c>
      <c r="BD142" s="21">
        <f t="shared" si="180"/>
        <v>0</v>
      </c>
    </row>
    <row r="143" spans="1:56" x14ac:dyDescent="0.25">
      <c r="A143" s="17" t="s">
        <v>123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25">
        <v>106.068</v>
      </c>
      <c r="U143" s="21">
        <v>2760.181</v>
      </c>
      <c r="V143" s="21">
        <v>2760.1809999999978</v>
      </c>
      <c r="W143" s="157">
        <f>[12]APE_IOIS!N8</f>
        <v>-22.711999999999996</v>
      </c>
      <c r="X143" s="21">
        <f>[13]APE_IOIS!N8</f>
        <v>149.416</v>
      </c>
      <c r="Y143" s="21">
        <f>[14]APE_IOIS!N10</f>
        <v>4621.4049999999997</v>
      </c>
      <c r="Z143" s="11"/>
      <c r="AA143" s="11"/>
      <c r="AB143" s="11"/>
      <c r="AC143" s="21"/>
      <c r="AD143" s="21"/>
      <c r="AE143" s="11"/>
      <c r="AF143" s="21"/>
      <c r="AG143" s="21"/>
      <c r="AH143" s="11"/>
      <c r="AI143" s="11"/>
      <c r="AJ143" s="147"/>
      <c r="AN143" s="11">
        <f>[15]APE_IOIS!N10</f>
        <v>2087.9519999999998</v>
      </c>
      <c r="AO143" s="11">
        <f>[16]APE_IOIS!N7</f>
        <v>2669.7719999999995</v>
      </c>
      <c r="AP143" s="11">
        <f>[17]APE_IOIS!N7</f>
        <v>5263.3249999999998</v>
      </c>
      <c r="AQ143" s="11">
        <f>[8]APE_IOIS!N7</f>
        <v>2997.962</v>
      </c>
      <c r="AR143" s="11">
        <f>[9]APE_IOIS!N7</f>
        <v>2810.0749999999998</v>
      </c>
      <c r="AS143" s="11">
        <f>[10]APE_IOIS!N7</f>
        <v>1163.883</v>
      </c>
      <c r="AT143" s="125">
        <f>[11]APE_IOIS!$S$7</f>
        <v>1910.604</v>
      </c>
      <c r="AU143" s="21"/>
      <c r="AV143" s="21"/>
      <c r="AW143" s="157"/>
      <c r="AX143" s="21"/>
      <c r="AY143" s="21"/>
      <c r="AZ143" s="21">
        <f>SUM($AN143:INDEX($AN143:$AY143,$A$3))</f>
        <v>18903.573</v>
      </c>
      <c r="BA143" s="21">
        <f t="shared" si="177"/>
        <v>10021.048999999999</v>
      </c>
      <c r="BB143" s="21">
        <f t="shared" si="178"/>
        <v>6971.92</v>
      </c>
      <c r="BC143" s="21">
        <f t="shared" si="179"/>
        <v>1910.604</v>
      </c>
      <c r="BD143" s="21">
        <f t="shared" si="180"/>
        <v>0</v>
      </c>
    </row>
    <row r="144" spans="1:56" x14ac:dyDescent="0.25">
      <c r="A144" s="17" t="s">
        <v>124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25">
        <v>20.457999999999998</v>
      </c>
      <c r="U144" s="21">
        <v>201.565</v>
      </c>
      <c r="V144" s="21">
        <v>201.56500000000003</v>
      </c>
      <c r="W144" s="157">
        <f>[12]APE_IOIS!N9</f>
        <v>4662.5019999999995</v>
      </c>
      <c r="X144" s="21">
        <f>[13]APE_IOIS!N9</f>
        <v>3282.4010000000003</v>
      </c>
      <c r="Y144" s="21">
        <f>[14]APE_IOIS!N11</f>
        <v>738.053</v>
      </c>
      <c r="Z144" s="11"/>
      <c r="AA144" s="11"/>
      <c r="AB144" s="11"/>
      <c r="AC144" s="21"/>
      <c r="AD144" s="21"/>
      <c r="AE144" s="11"/>
      <c r="AF144" s="21"/>
      <c r="AG144" s="21"/>
      <c r="AH144" s="11"/>
      <c r="AI144" s="11"/>
      <c r="AJ144" s="147"/>
      <c r="AN144" s="11">
        <f>[15]APE_IOIS!N11</f>
        <v>225.501</v>
      </c>
      <c r="AO144" s="11">
        <f>[16]APE_IOIS!N8</f>
        <v>306.89000000000004</v>
      </c>
      <c r="AP144" s="11">
        <f>[17]APE_IOIS!N8</f>
        <v>1068.5049999999999</v>
      </c>
      <c r="AQ144" s="11">
        <f>[8]APE_IOIS!N8</f>
        <v>1181.0360000000001</v>
      </c>
      <c r="AR144" s="11">
        <f>[9]APE_IOIS!N8</f>
        <v>860.6450000000001</v>
      </c>
      <c r="AS144" s="11">
        <f>[10]APE_IOIS!N8</f>
        <v>250.58800000000002</v>
      </c>
      <c r="AT144" s="125">
        <f>[11]APE_IOIS!$S$8</f>
        <v>268.41399999999999</v>
      </c>
      <c r="AU144" s="21"/>
      <c r="AV144" s="21"/>
      <c r="AW144" s="157"/>
      <c r="AX144" s="21"/>
      <c r="AY144" s="21"/>
      <c r="AZ144" s="21">
        <f>SUM($AN144:INDEX($AN144:$AY144,$A$3))</f>
        <v>4161.5789999999997</v>
      </c>
      <c r="BA144" s="21">
        <f t="shared" si="177"/>
        <v>1600.896</v>
      </c>
      <c r="BB144" s="21">
        <f t="shared" si="178"/>
        <v>2292.2690000000002</v>
      </c>
      <c r="BC144" s="21">
        <f t="shared" si="179"/>
        <v>268.41399999999999</v>
      </c>
      <c r="BD144" s="21">
        <f t="shared" si="180"/>
        <v>0</v>
      </c>
    </row>
    <row r="145" spans="1:56" x14ac:dyDescent="0.25">
      <c r="A145" s="17" t="s">
        <v>211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25"/>
      <c r="U145" s="21"/>
      <c r="V145" s="21"/>
      <c r="W145" s="157"/>
      <c r="X145" s="21"/>
      <c r="Y145" s="21"/>
      <c r="Z145" s="11"/>
      <c r="AA145" s="11"/>
      <c r="AB145" s="11"/>
      <c r="AC145" s="21"/>
      <c r="AD145" s="21"/>
      <c r="AE145" s="11"/>
      <c r="AF145" s="21"/>
      <c r="AG145" s="21"/>
      <c r="AH145" s="11"/>
      <c r="AI145" s="11"/>
      <c r="AJ145" s="147"/>
      <c r="AN145" s="11"/>
      <c r="AO145" s="11"/>
      <c r="AP145" s="11">
        <f>[17]APE_IOIS!$N$17</f>
        <v>727.28599999999994</v>
      </c>
      <c r="AQ145" s="11">
        <f>[8]APE_IOIS!N18</f>
        <v>686.98399999999992</v>
      </c>
      <c r="AR145" s="11">
        <f>[9]APE_IOIS!N15</f>
        <v>688.77500000000009</v>
      </c>
      <c r="AS145" s="11">
        <f>[10]APE_IOIS!N13</f>
        <v>1251.4939999999999</v>
      </c>
      <c r="AT145" s="125">
        <f>[11]APE_IOIS!$S$13</f>
        <v>469.91800000000001</v>
      </c>
      <c r="AU145" s="21"/>
      <c r="AV145" s="21"/>
      <c r="AW145" s="157"/>
      <c r="AX145" s="21"/>
      <c r="AY145" s="21"/>
      <c r="AZ145" s="21">
        <f>SUM($AN145:INDEX($AN145:$AY145,$A$3))</f>
        <v>3824.4569999999999</v>
      </c>
      <c r="BA145" s="21">
        <f t="shared" ref="BA145:BA146" si="181">SUM(AN145:AP145)</f>
        <v>727.28599999999994</v>
      </c>
      <c r="BB145" s="21">
        <f t="shared" ref="BB145:BB146" si="182">SUM(AQ145:AS145)</f>
        <v>2627.2529999999997</v>
      </c>
      <c r="BC145" s="21">
        <f t="shared" ref="BC145:BC146" si="183">SUM(AT145:AV145)</f>
        <v>469.91800000000001</v>
      </c>
      <c r="BD145" s="21">
        <f t="shared" ref="BD145:BD146" si="184">SUM(AW145:AY145)</f>
        <v>0</v>
      </c>
    </row>
    <row r="146" spans="1:56" x14ac:dyDescent="0.25">
      <c r="A146" s="17" t="s">
        <v>212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25"/>
      <c r="U146" s="21"/>
      <c r="V146" s="21"/>
      <c r="W146" s="157"/>
      <c r="X146" s="21"/>
      <c r="Y146" s="21"/>
      <c r="Z146" s="11"/>
      <c r="AA146" s="11"/>
      <c r="AB146" s="11"/>
      <c r="AC146" s="21"/>
      <c r="AD146" s="21"/>
      <c r="AE146" s="11"/>
      <c r="AF146" s="21"/>
      <c r="AG146" s="21"/>
      <c r="AH146" s="11"/>
      <c r="AI146" s="11"/>
      <c r="AJ146" s="147"/>
      <c r="AN146" s="11"/>
      <c r="AO146" s="11"/>
      <c r="AP146" s="11"/>
      <c r="AQ146" s="11">
        <f>[8]APE_IOIS!N19</f>
        <v>157.983</v>
      </c>
      <c r="AR146" s="11">
        <f>[9]APE_IOIS!N16</f>
        <v>212.99300000000002</v>
      </c>
      <c r="AS146" s="11">
        <f>[10]APE_IOIS!N14</f>
        <v>117.929</v>
      </c>
      <c r="AT146" s="125">
        <f>[11]APE_IOIS!$S$14</f>
        <v>139.61199999999999</v>
      </c>
      <c r="AU146" s="21"/>
      <c r="AV146" s="21"/>
      <c r="AW146" s="157"/>
      <c r="AX146" s="21"/>
      <c r="AY146" s="21"/>
      <c r="AZ146" s="21">
        <f>SUM($AN146:INDEX($AN146:$AY146,$A$3))</f>
        <v>628.51699999999994</v>
      </c>
      <c r="BA146" s="21">
        <f t="shared" si="181"/>
        <v>0</v>
      </c>
      <c r="BB146" s="21">
        <f t="shared" si="182"/>
        <v>488.90499999999997</v>
      </c>
      <c r="BC146" s="21">
        <f t="shared" si="183"/>
        <v>139.61199999999999</v>
      </c>
      <c r="BD146" s="21">
        <f t="shared" si="184"/>
        <v>0</v>
      </c>
    </row>
    <row r="147" spans="1:56" x14ac:dyDescent="0.25">
      <c r="A147" s="17" t="s">
        <v>202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25"/>
      <c r="U147" s="21"/>
      <c r="V147" s="21"/>
      <c r="W147" s="157"/>
      <c r="X147" s="21"/>
      <c r="Y147" s="21"/>
      <c r="Z147" s="11"/>
      <c r="AA147" s="11"/>
      <c r="AB147" s="11"/>
      <c r="AC147" s="21"/>
      <c r="AD147" s="21"/>
      <c r="AE147" s="11"/>
      <c r="AF147" s="21"/>
      <c r="AG147" s="21"/>
      <c r="AH147" s="11"/>
      <c r="AI147" s="11"/>
      <c r="AJ147" s="147"/>
      <c r="AN147" s="11">
        <f>[15]APE_IOIS!$N$16</f>
        <v>33.945999999999998</v>
      </c>
      <c r="AO147" s="11">
        <f>[16]APE_IOIS!$N$15</f>
        <v>85.402000000000001</v>
      </c>
      <c r="AP147" s="11">
        <f>[17]APE_IOIS!$N$13</f>
        <v>48.35</v>
      </c>
      <c r="AQ147" s="11">
        <f>[8]APE_IOIS!N15</f>
        <v>98.697000000000003</v>
      </c>
      <c r="AR147" s="11">
        <f>[9]APE_IOIS!N20</f>
        <v>70.793000000000006</v>
      </c>
      <c r="AS147" s="11">
        <f>[10]APE_IOIS!N18</f>
        <v>46.411000000000001</v>
      </c>
      <c r="AT147" s="125">
        <f>[11]APE_IOIS!$S$18</f>
        <v>68.274000000000001</v>
      </c>
      <c r="AU147" s="21"/>
      <c r="AV147" s="21"/>
      <c r="AW147" s="157"/>
      <c r="AX147" s="21"/>
      <c r="AY147" s="21"/>
      <c r="AZ147" s="21">
        <f>SUM($AN147:INDEX($AN147:$AY147,$A$3))</f>
        <v>451.87299999999999</v>
      </c>
      <c r="BA147" s="21">
        <f t="shared" si="177"/>
        <v>167.69800000000001</v>
      </c>
      <c r="BB147" s="21">
        <f t="shared" si="178"/>
        <v>215.90100000000001</v>
      </c>
      <c r="BC147" s="21">
        <f t="shared" si="179"/>
        <v>68.274000000000001</v>
      </c>
      <c r="BD147" s="21">
        <f t="shared" si="180"/>
        <v>0</v>
      </c>
    </row>
    <row r="148" spans="1:56" x14ac:dyDescent="0.25">
      <c r="A148" s="17" t="s">
        <v>203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25"/>
      <c r="U148" s="21"/>
      <c r="V148" s="21"/>
      <c r="W148" s="157"/>
      <c r="X148" s="21"/>
      <c r="Y148" s="21"/>
      <c r="Z148" s="11"/>
      <c r="AA148" s="11"/>
      <c r="AB148" s="11"/>
      <c r="AC148" s="21"/>
      <c r="AD148" s="21"/>
      <c r="AE148" s="11"/>
      <c r="AF148" s="21"/>
      <c r="AG148" s="21"/>
      <c r="AH148" s="11"/>
      <c r="AI148" s="11"/>
      <c r="AJ148" s="147"/>
      <c r="AN148" s="11"/>
      <c r="AO148" s="11">
        <f>[16]APE_IOIS!$N$17</f>
        <v>126.563</v>
      </c>
      <c r="AP148" s="11">
        <f>[17]APE_IOIS!$N$15</f>
        <v>280.89400000000001</v>
      </c>
      <c r="AQ148" s="11">
        <f>[8]APE_IOIS!N16</f>
        <v>220.90199999999999</v>
      </c>
      <c r="AR148" s="11">
        <f>[9]APE_IOIS!N21</f>
        <v>270.072</v>
      </c>
      <c r="AS148" s="11">
        <f>[10]APE_IOIS!N19</f>
        <v>44.720999999999997</v>
      </c>
      <c r="AT148" s="125">
        <f>[11]APE_IOIS!$S$19</f>
        <v>101.68899999999999</v>
      </c>
      <c r="AU148" s="21"/>
      <c r="AV148" s="21"/>
      <c r="AW148" s="157"/>
      <c r="AX148" s="21"/>
      <c r="AY148" s="21"/>
      <c r="AZ148" s="21">
        <f>SUM($AN148:INDEX($AN148:$AY148,$A$3))</f>
        <v>1044.8409999999999</v>
      </c>
      <c r="BA148" s="21">
        <f t="shared" si="177"/>
        <v>407.45699999999999</v>
      </c>
      <c r="BB148" s="21">
        <f t="shared" si="178"/>
        <v>535.69499999999994</v>
      </c>
      <c r="BC148" s="21">
        <f t="shared" si="179"/>
        <v>101.68899999999999</v>
      </c>
      <c r="BD148" s="21">
        <f t="shared" si="180"/>
        <v>0</v>
      </c>
    </row>
    <row r="149" spans="1:56" x14ac:dyDescent="0.25">
      <c r="B149" s="13">
        <f>SUM(B137:B148)</f>
        <v>5124.0150000000003</v>
      </c>
      <c r="C149" s="13">
        <f t="shared" ref="C149:AI149" si="185">SUM(C137:C148)</f>
        <v>3123.3230000000003</v>
      </c>
      <c r="D149" s="13">
        <f t="shared" si="185"/>
        <v>9273.6570000000102</v>
      </c>
      <c r="E149" s="13">
        <f t="shared" si="185"/>
        <v>8375.8830000000107</v>
      </c>
      <c r="F149" s="13">
        <f t="shared" si="185"/>
        <v>7642.2389999999996</v>
      </c>
      <c r="G149" s="13">
        <f t="shared" si="185"/>
        <v>10443.096</v>
      </c>
      <c r="H149" s="13">
        <f t="shared" si="185"/>
        <v>10026.376000000009</v>
      </c>
      <c r="I149" s="13">
        <f t="shared" si="185"/>
        <v>8305.0379999999986</v>
      </c>
      <c r="J149" s="13">
        <f t="shared" si="185"/>
        <v>12079.639000000001</v>
      </c>
      <c r="K149" s="13">
        <f t="shared" si="185"/>
        <v>14980.905000000001</v>
      </c>
      <c r="L149" s="13">
        <f t="shared" si="185"/>
        <v>19145.392000000003</v>
      </c>
      <c r="M149" s="13">
        <f t="shared" si="185"/>
        <v>20737.665000000005</v>
      </c>
      <c r="N149" s="13">
        <f t="shared" si="185"/>
        <v>7605.3429999999998</v>
      </c>
      <c r="O149" s="13">
        <f t="shared" si="185"/>
        <v>10037.486000000001</v>
      </c>
      <c r="P149" s="13">
        <f t="shared" si="185"/>
        <v>15422.884000000011</v>
      </c>
      <c r="Q149" s="13">
        <f t="shared" si="185"/>
        <v>12658.312000000009</v>
      </c>
      <c r="R149" s="13">
        <f t="shared" si="185"/>
        <v>16162.520999999979</v>
      </c>
      <c r="S149" s="13">
        <f t="shared" si="185"/>
        <v>16394.674000000003</v>
      </c>
      <c r="T149" s="13">
        <f t="shared" si="185"/>
        <v>12877.58299999999</v>
      </c>
      <c r="U149" s="13">
        <f t="shared" si="185"/>
        <v>19397.608999999986</v>
      </c>
      <c r="V149" s="13">
        <f t="shared" si="185"/>
        <v>20092.233999999997</v>
      </c>
      <c r="W149" s="13">
        <f t="shared" si="185"/>
        <v>21716.758000000002</v>
      </c>
      <c r="X149" s="13">
        <f t="shared" si="185"/>
        <v>16602.633000000002</v>
      </c>
      <c r="Y149" s="13">
        <f t="shared" si="185"/>
        <v>30083.920999999998</v>
      </c>
      <c r="Z149" s="13">
        <f t="shared" si="185"/>
        <v>91032.276999999987</v>
      </c>
      <c r="AA149" s="13">
        <f t="shared" si="185"/>
        <v>33065.713000000011</v>
      </c>
      <c r="AB149" s="13">
        <f t="shared" si="185"/>
        <v>45215.506999999998</v>
      </c>
      <c r="AC149" s="13">
        <f t="shared" si="185"/>
        <v>46317.407999999989</v>
      </c>
      <c r="AD149" s="13">
        <f t="shared" si="185"/>
        <v>54972.246999999988</v>
      </c>
      <c r="AE149" s="13">
        <f t="shared" si="185"/>
        <v>54008.589000000022</v>
      </c>
      <c r="AF149" s="13">
        <f t="shared" si="185"/>
        <v>17520.99500000001</v>
      </c>
      <c r="AG149" s="13">
        <f t="shared" si="185"/>
        <v>26461.218000000008</v>
      </c>
      <c r="AH149" s="13">
        <f t="shared" si="185"/>
        <v>30411.053000000007</v>
      </c>
      <c r="AI149" s="13">
        <f t="shared" si="185"/>
        <v>54863.961999999992</v>
      </c>
      <c r="AJ149" s="147"/>
      <c r="AK149" s="14"/>
      <c r="AN149" s="13">
        <f t="shared" ref="AN149:BD149" si="186">SUM(AN137:AN148)</f>
        <v>11789.128999999999</v>
      </c>
      <c r="AO149" s="13">
        <f t="shared" si="186"/>
        <v>21762.708999999995</v>
      </c>
      <c r="AP149" s="13">
        <f t="shared" si="186"/>
        <v>30133.393000000004</v>
      </c>
      <c r="AQ149" s="13">
        <f t="shared" si="186"/>
        <v>23090.086000000003</v>
      </c>
      <c r="AR149" s="13">
        <f t="shared" si="186"/>
        <v>22200.892000000003</v>
      </c>
      <c r="AS149" s="13">
        <f t="shared" si="186"/>
        <v>16534.454000000002</v>
      </c>
      <c r="AT149" s="13">
        <f t="shared" si="186"/>
        <v>18494.449000000004</v>
      </c>
      <c r="AU149" s="13">
        <f t="shared" si="186"/>
        <v>0</v>
      </c>
      <c r="AV149" s="13">
        <f t="shared" si="186"/>
        <v>0</v>
      </c>
      <c r="AW149" s="13">
        <f t="shared" si="186"/>
        <v>0</v>
      </c>
      <c r="AX149" s="13">
        <f t="shared" si="186"/>
        <v>0</v>
      </c>
      <c r="AY149" s="13">
        <f t="shared" si="186"/>
        <v>0</v>
      </c>
      <c r="AZ149" s="13">
        <f t="shared" si="186"/>
        <v>144005.11199999999</v>
      </c>
      <c r="BA149" s="13">
        <f t="shared" si="186"/>
        <v>63685.231</v>
      </c>
      <c r="BB149" s="13">
        <f t="shared" si="186"/>
        <v>61825.431999999993</v>
      </c>
      <c r="BC149" s="13">
        <f t="shared" si="186"/>
        <v>18494.449000000004</v>
      </c>
      <c r="BD149" s="13">
        <f t="shared" si="186"/>
        <v>0</v>
      </c>
    </row>
    <row r="153" spans="1:56" x14ac:dyDescent="0.25">
      <c r="A153" s="9" t="s">
        <v>64</v>
      </c>
      <c r="B153" s="18">
        <v>1501</v>
      </c>
      <c r="C153" s="18">
        <v>1502</v>
      </c>
      <c r="D153" s="18">
        <v>1503</v>
      </c>
      <c r="E153" s="18">
        <v>1504</v>
      </c>
      <c r="F153" s="18">
        <v>1505</v>
      </c>
      <c r="G153" s="18">
        <v>1506</v>
      </c>
      <c r="H153" s="18">
        <v>1507</v>
      </c>
      <c r="I153" s="18">
        <v>1508</v>
      </c>
      <c r="J153" s="18">
        <v>1509</v>
      </c>
      <c r="K153" s="18">
        <v>1510</v>
      </c>
      <c r="L153" s="18">
        <v>1511</v>
      </c>
      <c r="M153" s="18">
        <v>1512</v>
      </c>
      <c r="N153" s="18">
        <v>1601</v>
      </c>
      <c r="O153" s="18">
        <v>1602</v>
      </c>
      <c r="P153" s="18">
        <v>1603</v>
      </c>
      <c r="Q153" s="18">
        <v>1604</v>
      </c>
      <c r="R153" s="18">
        <v>1605</v>
      </c>
      <c r="S153" s="18">
        <v>1606</v>
      </c>
      <c r="T153" s="18">
        <v>1607</v>
      </c>
      <c r="U153" s="18">
        <v>1608</v>
      </c>
      <c r="V153" s="18">
        <v>1609</v>
      </c>
      <c r="W153" s="18">
        <v>1610</v>
      </c>
      <c r="X153" s="18">
        <v>1611</v>
      </c>
      <c r="Y153" s="18">
        <v>1612</v>
      </c>
      <c r="Z153" s="19" t="s">
        <v>52</v>
      </c>
      <c r="AA153" s="19" t="s">
        <v>56</v>
      </c>
      <c r="AB153" s="19" t="s">
        <v>57</v>
      </c>
      <c r="AC153" s="19" t="s">
        <v>58</v>
      </c>
      <c r="AD153" s="19" t="s">
        <v>59</v>
      </c>
      <c r="AE153" s="20" t="s">
        <v>53</v>
      </c>
      <c r="AF153" s="20" t="s">
        <v>60</v>
      </c>
      <c r="AG153" s="20" t="s">
        <v>61</v>
      </c>
      <c r="AH153" s="20" t="s">
        <v>62</v>
      </c>
      <c r="AI153" s="20" t="s">
        <v>63</v>
      </c>
      <c r="AN153" s="18">
        <v>1701</v>
      </c>
      <c r="AO153" s="18">
        <v>1702</v>
      </c>
      <c r="AP153" s="18">
        <v>1703</v>
      </c>
      <c r="AQ153" s="18">
        <v>1704</v>
      </c>
      <c r="AR153" s="18">
        <v>1705</v>
      </c>
      <c r="AS153" s="18">
        <v>1706</v>
      </c>
      <c r="AT153" s="18">
        <v>1707</v>
      </c>
      <c r="AU153" s="18">
        <v>1708</v>
      </c>
      <c r="AV153" s="18">
        <v>1709</v>
      </c>
      <c r="AW153" s="18">
        <v>1710</v>
      </c>
      <c r="AX153" s="18">
        <v>1711</v>
      </c>
      <c r="AY153" s="18">
        <v>1712</v>
      </c>
      <c r="AZ153" s="19" t="s">
        <v>184</v>
      </c>
      <c r="BA153" s="19" t="s">
        <v>185</v>
      </c>
      <c r="BB153" s="19" t="s">
        <v>186</v>
      </c>
      <c r="BC153" s="19" t="s">
        <v>187</v>
      </c>
      <c r="BD153" s="19" t="s">
        <v>188</v>
      </c>
    </row>
    <row r="154" spans="1:56" x14ac:dyDescent="0.25">
      <c r="A154" s="17" t="s">
        <v>117</v>
      </c>
      <c r="B154">
        <v>45</v>
      </c>
      <c r="C154">
        <v>49</v>
      </c>
      <c r="D154">
        <v>57</v>
      </c>
      <c r="E154">
        <v>56</v>
      </c>
      <c r="F154">
        <v>54</v>
      </c>
      <c r="G154">
        <v>52</v>
      </c>
      <c r="H154">
        <v>49</v>
      </c>
      <c r="I154">
        <v>44</v>
      </c>
      <c r="J154">
        <v>39</v>
      </c>
      <c r="T154" s="21"/>
      <c r="U154" s="21"/>
      <c r="V154" s="21"/>
      <c r="W154" s="21"/>
      <c r="X154" s="21"/>
      <c r="Y154" s="21"/>
      <c r="Z154" s="11">
        <f t="shared" ref="Z154:Z165" si="187">INDEX(N154:Y154,$A$3)</f>
        <v>0</v>
      </c>
      <c r="AA154" s="11">
        <f t="shared" ref="AA154:AA165" si="188">P154</f>
        <v>0</v>
      </c>
      <c r="AB154" s="11">
        <f t="shared" ref="AB154:AB165" si="189">S154</f>
        <v>0</v>
      </c>
      <c r="AC154" s="21">
        <f t="shared" ref="AC154:AC165" si="190">V154</f>
        <v>0</v>
      </c>
      <c r="AD154" s="21">
        <f t="shared" ref="AD154:AD165" si="191">Y154</f>
        <v>0</v>
      </c>
      <c r="AE154" s="21">
        <f t="shared" ref="AE154:AE165" si="192">INDEX(B154:M154,$A$3)</f>
        <v>49</v>
      </c>
      <c r="AF154" s="21">
        <f t="shared" ref="AF154:AF165" si="193">D154</f>
        <v>57</v>
      </c>
      <c r="AG154" s="21">
        <f t="shared" ref="AG154:AG165" si="194">G154</f>
        <v>52</v>
      </c>
      <c r="AH154" s="21">
        <f t="shared" ref="AH154:AH165" si="195">J154</f>
        <v>39</v>
      </c>
      <c r="AI154" s="21">
        <f t="shared" ref="AI154:AI165" si="196">M154</f>
        <v>0</v>
      </c>
      <c r="AN154" s="21"/>
      <c r="AO154" s="21"/>
      <c r="AP154" s="21"/>
      <c r="AQ154" s="21"/>
      <c r="AR154" s="21">
        <v>17</v>
      </c>
      <c r="AS154" s="21">
        <f>[29]Sheet2!$C$5</f>
        <v>21</v>
      </c>
      <c r="AT154" s="21">
        <f>[30]TONGHOP!$B$7</f>
        <v>11</v>
      </c>
      <c r="AU154" s="21"/>
      <c r="AV154" s="21"/>
      <c r="AW154" s="21"/>
      <c r="AX154" s="21"/>
      <c r="AY154" s="21"/>
      <c r="AZ154" s="21">
        <f t="shared" ref="AZ154:AZ165" si="197">INDEX(AN154:AY154,$A$3)</f>
        <v>11</v>
      </c>
      <c r="BA154" s="21">
        <f t="shared" ref="BA154:BA165" si="198">AP154</f>
        <v>0</v>
      </c>
      <c r="BB154" s="21">
        <f t="shared" ref="BB154:BB165" si="199">AS154</f>
        <v>21</v>
      </c>
      <c r="BC154" s="21">
        <f t="shared" ref="BC154:BC165" si="200">AV154</f>
        <v>0</v>
      </c>
      <c r="BD154" s="21">
        <f t="shared" ref="BD154:BD165" si="201">AY154</f>
        <v>0</v>
      </c>
    </row>
    <row r="155" spans="1:56" x14ac:dyDescent="0.25">
      <c r="A155" s="17" t="s">
        <v>118</v>
      </c>
      <c r="B155">
        <v>5</v>
      </c>
      <c r="C155">
        <v>6</v>
      </c>
      <c r="D155">
        <v>6</v>
      </c>
      <c r="E155">
        <v>6</v>
      </c>
      <c r="F155">
        <v>6</v>
      </c>
      <c r="G155">
        <v>4</v>
      </c>
      <c r="H155">
        <v>4</v>
      </c>
      <c r="I155">
        <v>4</v>
      </c>
      <c r="J155">
        <v>4</v>
      </c>
      <c r="T155" s="21"/>
      <c r="U155" s="21"/>
      <c r="V155" s="21"/>
      <c r="W155" s="21"/>
      <c r="X155" s="21"/>
      <c r="Y155" s="21"/>
      <c r="Z155" s="11">
        <f t="shared" si="187"/>
        <v>0</v>
      </c>
      <c r="AA155" s="11">
        <f t="shared" si="188"/>
        <v>0</v>
      </c>
      <c r="AB155" s="11">
        <f t="shared" si="189"/>
        <v>0</v>
      </c>
      <c r="AC155" s="21">
        <f t="shared" si="190"/>
        <v>0</v>
      </c>
      <c r="AD155" s="21">
        <f t="shared" si="191"/>
        <v>0</v>
      </c>
      <c r="AE155" s="21">
        <f t="shared" si="192"/>
        <v>4</v>
      </c>
      <c r="AF155" s="21">
        <f t="shared" si="193"/>
        <v>6</v>
      </c>
      <c r="AG155" s="21">
        <f t="shared" si="194"/>
        <v>4</v>
      </c>
      <c r="AH155" s="21">
        <f t="shared" si="195"/>
        <v>4</v>
      </c>
      <c r="AI155" s="21">
        <f t="shared" si="196"/>
        <v>0</v>
      </c>
      <c r="AN155" s="21"/>
      <c r="AO155" s="21"/>
      <c r="AP155" s="21"/>
      <c r="AQ155" s="21"/>
      <c r="AR155" s="21"/>
      <c r="AS155" s="21">
        <f>[29]Sheet2!$D$5</f>
        <v>6</v>
      </c>
      <c r="AT155" s="21">
        <f>[30]TONGHOP!$C$7</f>
        <v>0</v>
      </c>
      <c r="AU155" s="21"/>
      <c r="AV155" s="21"/>
      <c r="AW155" s="21"/>
      <c r="AX155" s="21"/>
      <c r="AY155" s="21"/>
      <c r="AZ155" s="21">
        <f t="shared" si="197"/>
        <v>0</v>
      </c>
      <c r="BA155" s="21">
        <f t="shared" si="198"/>
        <v>0</v>
      </c>
      <c r="BB155" s="21">
        <f t="shared" si="199"/>
        <v>6</v>
      </c>
      <c r="BC155" s="21">
        <f t="shared" si="200"/>
        <v>0</v>
      </c>
      <c r="BD155" s="21">
        <f t="shared" si="201"/>
        <v>0</v>
      </c>
    </row>
    <row r="156" spans="1:56" x14ac:dyDescent="0.25">
      <c r="A156" s="17" t="s">
        <v>119</v>
      </c>
      <c r="B156">
        <v>115</v>
      </c>
      <c r="C156">
        <v>118</v>
      </c>
      <c r="D156">
        <v>118</v>
      </c>
      <c r="E156">
        <v>128</v>
      </c>
      <c r="F156">
        <v>125</v>
      </c>
      <c r="G156">
        <v>127</v>
      </c>
      <c r="H156">
        <v>135</v>
      </c>
      <c r="I156">
        <v>127</v>
      </c>
      <c r="J156">
        <v>140</v>
      </c>
      <c r="K156">
        <v>152</v>
      </c>
      <c r="L156">
        <v>150</v>
      </c>
      <c r="M156">
        <v>152</v>
      </c>
      <c r="N156">
        <v>152</v>
      </c>
      <c r="O156">
        <v>116</v>
      </c>
      <c r="P156">
        <v>119</v>
      </c>
      <c r="Q156">
        <v>134</v>
      </c>
      <c r="R156">
        <v>134</v>
      </c>
      <c r="S156">
        <v>135</v>
      </c>
      <c r="T156" s="21">
        <v>138</v>
      </c>
      <c r="U156" s="21">
        <v>242</v>
      </c>
      <c r="V156" s="188">
        <f>[14]MP_IOIS!G23</f>
        <v>104</v>
      </c>
      <c r="W156" s="21">
        <f>[12]MP_IOIS!D10</f>
        <v>135</v>
      </c>
      <c r="X156" s="212">
        <f>W156</f>
        <v>135</v>
      </c>
      <c r="Y156" s="21">
        <f>[31]Sheet1!B11-10</f>
        <v>131</v>
      </c>
      <c r="Z156" s="11">
        <f t="shared" si="187"/>
        <v>138</v>
      </c>
      <c r="AA156" s="11">
        <f t="shared" si="188"/>
        <v>119</v>
      </c>
      <c r="AB156" s="11">
        <f t="shared" si="189"/>
        <v>135</v>
      </c>
      <c r="AC156" s="21">
        <f t="shared" si="190"/>
        <v>104</v>
      </c>
      <c r="AD156" s="21">
        <f t="shared" si="191"/>
        <v>131</v>
      </c>
      <c r="AE156" s="21">
        <f t="shared" si="192"/>
        <v>135</v>
      </c>
      <c r="AF156" s="21">
        <f t="shared" si="193"/>
        <v>118</v>
      </c>
      <c r="AG156" s="21">
        <f t="shared" si="194"/>
        <v>127</v>
      </c>
      <c r="AH156" s="21">
        <f t="shared" si="195"/>
        <v>140</v>
      </c>
      <c r="AI156" s="21">
        <f t="shared" si="196"/>
        <v>152</v>
      </c>
      <c r="AN156" s="21">
        <f>[32]Sheet1!D9</f>
        <v>133</v>
      </c>
      <c r="AO156" s="21">
        <f>[33]Sheet1!B11</f>
        <v>133</v>
      </c>
      <c r="AP156" s="21">
        <f>[34]Sheet1!B13</f>
        <v>116</v>
      </c>
      <c r="AQ156" s="21">
        <f>[35]Sheet1!B13</f>
        <v>110</v>
      </c>
      <c r="AR156" s="21">
        <f>[36]Sheet1!B15</f>
        <v>130</v>
      </c>
      <c r="AS156" s="21">
        <f>[29]Sheet1!$C$8</f>
        <v>152</v>
      </c>
      <c r="AT156">
        <v>118</v>
      </c>
      <c r="AU156" s="21"/>
      <c r="AV156" s="194"/>
      <c r="AW156" s="21"/>
      <c r="AX156" s="21"/>
      <c r="AY156" s="21"/>
      <c r="AZ156" s="21">
        <f t="shared" si="197"/>
        <v>118</v>
      </c>
      <c r="BA156" s="21">
        <f t="shared" si="198"/>
        <v>116</v>
      </c>
      <c r="BB156" s="21">
        <f t="shared" si="199"/>
        <v>152</v>
      </c>
      <c r="BC156" s="21">
        <f t="shared" si="200"/>
        <v>0</v>
      </c>
      <c r="BD156" s="21">
        <f t="shared" si="201"/>
        <v>0</v>
      </c>
    </row>
    <row r="157" spans="1:56" x14ac:dyDescent="0.25">
      <c r="A157" s="17" t="s">
        <v>120</v>
      </c>
      <c r="B157">
        <v>18</v>
      </c>
      <c r="C157">
        <v>18</v>
      </c>
      <c r="D157">
        <v>18</v>
      </c>
      <c r="E157">
        <v>17</v>
      </c>
      <c r="F157">
        <v>15</v>
      </c>
      <c r="G157">
        <v>12</v>
      </c>
      <c r="H157">
        <v>12</v>
      </c>
      <c r="I157">
        <v>20</v>
      </c>
      <c r="J157">
        <v>17</v>
      </c>
      <c r="K157">
        <v>17</v>
      </c>
      <c r="L157">
        <v>17</v>
      </c>
      <c r="M157">
        <v>18</v>
      </c>
      <c r="N157">
        <v>19</v>
      </c>
      <c r="O157">
        <v>51</v>
      </c>
      <c r="P157">
        <v>49</v>
      </c>
      <c r="Q157">
        <v>49</v>
      </c>
      <c r="R157">
        <v>46</v>
      </c>
      <c r="S157">
        <v>46</v>
      </c>
      <c r="T157" s="21">
        <v>45</v>
      </c>
      <c r="U157" s="21">
        <v>128</v>
      </c>
      <c r="V157" s="21">
        <f>[14]MP_IOIS!G24</f>
        <v>62</v>
      </c>
      <c r="W157" s="21">
        <f>[12]MP_IOIS!D11</f>
        <v>61</v>
      </c>
      <c r="X157" s="212">
        <f t="shared" ref="X157:X159" si="202">W157</f>
        <v>61</v>
      </c>
      <c r="Y157" s="21">
        <f>[31]Sheet1!B12</f>
        <v>52</v>
      </c>
      <c r="Z157" s="11">
        <f t="shared" si="187"/>
        <v>45</v>
      </c>
      <c r="AA157" s="11">
        <f t="shared" si="188"/>
        <v>49</v>
      </c>
      <c r="AB157" s="11">
        <f t="shared" si="189"/>
        <v>46</v>
      </c>
      <c r="AC157" s="21">
        <f t="shared" si="190"/>
        <v>62</v>
      </c>
      <c r="AD157" s="21">
        <f t="shared" si="191"/>
        <v>52</v>
      </c>
      <c r="AE157" s="21">
        <f t="shared" si="192"/>
        <v>12</v>
      </c>
      <c r="AF157" s="21">
        <f t="shared" si="193"/>
        <v>18</v>
      </c>
      <c r="AG157" s="21">
        <f t="shared" si="194"/>
        <v>12</v>
      </c>
      <c r="AH157" s="21">
        <f t="shared" si="195"/>
        <v>17</v>
      </c>
      <c r="AI157" s="21">
        <f t="shared" si="196"/>
        <v>18</v>
      </c>
      <c r="AN157" s="21">
        <f>[32]Sheet1!D10</f>
        <v>44</v>
      </c>
      <c r="AO157" s="21">
        <f>[33]Sheet1!B12</f>
        <v>49</v>
      </c>
      <c r="AP157" s="21">
        <f>[34]Sheet1!B14</f>
        <v>79</v>
      </c>
      <c r="AQ157" s="21">
        <f>[35]Sheet1!B14</f>
        <v>66</v>
      </c>
      <c r="AR157" s="21">
        <f>[36]Sheet1!B16</f>
        <v>73</v>
      </c>
      <c r="AS157" s="21">
        <f>[29]Sheet1!$D$8</f>
        <v>63</v>
      </c>
      <c r="AT157" s="21">
        <f>[30]TONGHOP!$C$3</f>
        <v>76</v>
      </c>
      <c r="AU157" s="21"/>
      <c r="AV157" s="194"/>
      <c r="AW157" s="21"/>
      <c r="AX157" s="21"/>
      <c r="AY157" s="21"/>
      <c r="AZ157" s="21">
        <f t="shared" si="197"/>
        <v>76</v>
      </c>
      <c r="BA157" s="21">
        <f t="shared" si="198"/>
        <v>79</v>
      </c>
      <c r="BB157" s="21">
        <f t="shared" si="199"/>
        <v>63</v>
      </c>
      <c r="BC157" s="21">
        <f t="shared" si="200"/>
        <v>0</v>
      </c>
      <c r="BD157" s="21">
        <f t="shared" si="201"/>
        <v>0</v>
      </c>
    </row>
    <row r="158" spans="1:56" x14ac:dyDescent="0.25">
      <c r="A158" s="17" t="s">
        <v>121</v>
      </c>
      <c r="H158">
        <v>17</v>
      </c>
      <c r="I158">
        <v>21</v>
      </c>
      <c r="J158">
        <v>37</v>
      </c>
      <c r="K158">
        <v>67</v>
      </c>
      <c r="L158">
        <v>74</v>
      </c>
      <c r="M158">
        <v>75</v>
      </c>
      <c r="N158">
        <v>74</v>
      </c>
      <c r="O158">
        <v>69</v>
      </c>
      <c r="P158">
        <v>62</v>
      </c>
      <c r="Q158">
        <v>52</v>
      </c>
      <c r="R158">
        <v>47</v>
      </c>
      <c r="S158">
        <v>53</v>
      </c>
      <c r="T158" s="21">
        <v>141</v>
      </c>
      <c r="U158" s="21">
        <v>144</v>
      </c>
      <c r="V158" s="21">
        <f>[14]MP_IOIS!G19</f>
        <v>65</v>
      </c>
      <c r="W158" s="21">
        <f>[12]MP_IOIS!D6</f>
        <v>64</v>
      </c>
      <c r="X158" s="212">
        <f t="shared" si="202"/>
        <v>64</v>
      </c>
      <c r="Y158" s="21">
        <f>[31]Sheet1!B5-4</f>
        <v>14</v>
      </c>
      <c r="Z158" s="11">
        <f t="shared" si="187"/>
        <v>141</v>
      </c>
      <c r="AA158" s="11">
        <f t="shared" si="188"/>
        <v>62</v>
      </c>
      <c r="AB158" s="11">
        <f t="shared" si="189"/>
        <v>53</v>
      </c>
      <c r="AC158" s="21">
        <f t="shared" si="190"/>
        <v>65</v>
      </c>
      <c r="AD158" s="21">
        <f t="shared" si="191"/>
        <v>14</v>
      </c>
      <c r="AE158" s="21">
        <f t="shared" si="192"/>
        <v>17</v>
      </c>
      <c r="AF158" s="21">
        <f t="shared" si="193"/>
        <v>0</v>
      </c>
      <c r="AG158" s="21">
        <f t="shared" si="194"/>
        <v>0</v>
      </c>
      <c r="AH158" s="21">
        <f t="shared" si="195"/>
        <v>37</v>
      </c>
      <c r="AI158" s="21">
        <f t="shared" si="196"/>
        <v>75</v>
      </c>
      <c r="AN158" s="21"/>
      <c r="AO158" s="21"/>
      <c r="AP158" s="21"/>
      <c r="AQ158" s="21"/>
      <c r="AR158" s="21"/>
      <c r="AS158" s="21"/>
      <c r="AT158" s="21"/>
      <c r="AU158" s="21"/>
      <c r="AV158" s="194"/>
      <c r="AW158" s="21"/>
      <c r="AX158" s="21"/>
      <c r="AY158" s="21"/>
      <c r="AZ158" s="21">
        <f t="shared" si="197"/>
        <v>0</v>
      </c>
      <c r="BA158" s="21">
        <f t="shared" si="198"/>
        <v>0</v>
      </c>
      <c r="BB158" s="21">
        <f t="shared" si="199"/>
        <v>0</v>
      </c>
      <c r="BC158" s="21">
        <f t="shared" si="200"/>
        <v>0</v>
      </c>
      <c r="BD158" s="21">
        <f t="shared" si="201"/>
        <v>0</v>
      </c>
    </row>
    <row r="159" spans="1:56" x14ac:dyDescent="0.25">
      <c r="A159" s="17" t="s">
        <v>122</v>
      </c>
      <c r="I159">
        <v>1</v>
      </c>
      <c r="J159">
        <v>2</v>
      </c>
      <c r="K159">
        <v>5</v>
      </c>
      <c r="L159">
        <v>4</v>
      </c>
      <c r="M159">
        <v>4</v>
      </c>
      <c r="N159">
        <v>4</v>
      </c>
      <c r="O159">
        <v>7</v>
      </c>
      <c r="P159">
        <v>6</v>
      </c>
      <c r="Q159">
        <v>6</v>
      </c>
      <c r="R159">
        <v>6</v>
      </c>
      <c r="S159">
        <v>6</v>
      </c>
      <c r="T159" s="21">
        <v>10</v>
      </c>
      <c r="U159" s="21">
        <v>22</v>
      </c>
      <c r="V159" s="21">
        <f>[14]MP_IOIS!G20</f>
        <v>16</v>
      </c>
      <c r="W159" s="21">
        <f>[12]MP_IOIS!D7</f>
        <v>9</v>
      </c>
      <c r="X159" s="212">
        <f t="shared" si="202"/>
        <v>9</v>
      </c>
      <c r="Y159" s="21">
        <f>[31]Sheet1!B6</f>
        <v>5</v>
      </c>
      <c r="Z159" s="11">
        <f t="shared" si="187"/>
        <v>10</v>
      </c>
      <c r="AA159" s="11">
        <f t="shared" si="188"/>
        <v>6</v>
      </c>
      <c r="AB159" s="11">
        <f t="shared" si="189"/>
        <v>6</v>
      </c>
      <c r="AC159" s="21">
        <f t="shared" si="190"/>
        <v>16</v>
      </c>
      <c r="AD159" s="21">
        <f t="shared" si="191"/>
        <v>5</v>
      </c>
      <c r="AE159" s="21">
        <f t="shared" si="192"/>
        <v>0</v>
      </c>
      <c r="AF159" s="21">
        <f t="shared" si="193"/>
        <v>0</v>
      </c>
      <c r="AG159" s="21">
        <f t="shared" si="194"/>
        <v>0</v>
      </c>
      <c r="AH159" s="21">
        <f t="shared" si="195"/>
        <v>2</v>
      </c>
      <c r="AI159" s="21">
        <f t="shared" si="196"/>
        <v>4</v>
      </c>
      <c r="AN159" s="21"/>
      <c r="AO159" s="21"/>
      <c r="AP159" s="21"/>
      <c r="AQ159" s="21"/>
      <c r="AR159" s="21"/>
      <c r="AS159" s="21"/>
      <c r="AT159" s="21"/>
      <c r="AU159" s="21"/>
      <c r="AV159" s="194"/>
      <c r="AW159" s="21"/>
      <c r="AX159" s="21"/>
      <c r="AY159" s="21"/>
      <c r="AZ159" s="21">
        <f t="shared" si="197"/>
        <v>0</v>
      </c>
      <c r="BA159" s="21">
        <f t="shared" si="198"/>
        <v>0</v>
      </c>
      <c r="BB159" s="21">
        <f t="shared" si="199"/>
        <v>0</v>
      </c>
      <c r="BC159" s="21">
        <f t="shared" si="200"/>
        <v>0</v>
      </c>
      <c r="BD159" s="21">
        <f t="shared" si="201"/>
        <v>0</v>
      </c>
    </row>
    <row r="160" spans="1:56" x14ac:dyDescent="0.25">
      <c r="A160" s="17" t="s">
        <v>123</v>
      </c>
      <c r="T160" s="21">
        <v>23</v>
      </c>
      <c r="U160" s="21">
        <v>304</v>
      </c>
      <c r="V160" s="188">
        <f>[14]MP_IOIS!G19</f>
        <v>65</v>
      </c>
      <c r="W160" s="21">
        <f>[12]MP_IOIS!D6</f>
        <v>64</v>
      </c>
      <c r="X160" s="21">
        <f>[13]MP_IOIS!D6-7</f>
        <v>51</v>
      </c>
      <c r="Y160" s="21">
        <f>[31]Sheet1!B6</f>
        <v>5</v>
      </c>
      <c r="Z160" s="11">
        <f t="shared" ref="Z160:Z161" si="203">INDEX(N160:Y160,$A$3)</f>
        <v>23</v>
      </c>
      <c r="AA160" s="11">
        <f t="shared" ref="AA160:AA161" si="204">P160</f>
        <v>0</v>
      </c>
      <c r="AB160" s="11">
        <f t="shared" ref="AB160:AB161" si="205">S160</f>
        <v>0</v>
      </c>
      <c r="AC160" s="21">
        <f t="shared" ref="AC160:AC161" si="206">V160</f>
        <v>65</v>
      </c>
      <c r="AD160" s="21">
        <f t="shared" ref="AD160:AD161" si="207">Y160</f>
        <v>5</v>
      </c>
      <c r="AE160" s="21">
        <f t="shared" ref="AE160:AE161" si="208">INDEX(B160:M160,$A$3)</f>
        <v>0</v>
      </c>
      <c r="AF160" s="21">
        <f t="shared" ref="AF160:AF161" si="209">D160</f>
        <v>0</v>
      </c>
      <c r="AG160" s="21">
        <f t="shared" ref="AG160:AG161" si="210">G160</f>
        <v>0</v>
      </c>
      <c r="AH160" s="21">
        <f t="shared" ref="AH160:AH161" si="211">J160</f>
        <v>0</v>
      </c>
      <c r="AI160" s="21">
        <f t="shared" ref="AI160:AI161" si="212">M160</f>
        <v>0</v>
      </c>
      <c r="AN160" s="21">
        <f>[32]Sheet1!C9</f>
        <v>170</v>
      </c>
      <c r="AO160" s="21">
        <f>[33]Sheet1!B7</f>
        <v>187</v>
      </c>
      <c r="AP160" s="21">
        <f>[34]Sheet1!B7</f>
        <v>204</v>
      </c>
      <c r="AQ160" s="21">
        <f>[35]Sheet1!B7</f>
        <v>177</v>
      </c>
      <c r="AR160" s="21">
        <f>[36]Sheet1!B7</f>
        <v>185</v>
      </c>
      <c r="AS160" s="21">
        <f>[29]Sheet1!$C$6</f>
        <v>182</v>
      </c>
      <c r="AT160" s="21">
        <f>[30]TONGHOP!$B$4</f>
        <v>175</v>
      </c>
      <c r="AU160" s="21"/>
      <c r="AV160" s="194"/>
      <c r="AW160" s="21"/>
      <c r="AX160" s="21"/>
      <c r="AY160" s="21"/>
      <c r="AZ160" s="21">
        <f t="shared" ref="AZ160:AZ161" si="213">INDEX(AN160:AY160,$A$3)</f>
        <v>175</v>
      </c>
      <c r="BA160" s="21">
        <f t="shared" ref="BA160:BA161" si="214">AP160</f>
        <v>204</v>
      </c>
      <c r="BB160" s="21">
        <f t="shared" ref="BB160:BB161" si="215">AS160</f>
        <v>182</v>
      </c>
      <c r="BC160" s="21">
        <f t="shared" ref="BC160:BC161" si="216">AV160</f>
        <v>0</v>
      </c>
      <c r="BD160" s="21">
        <f t="shared" ref="BD160:BD161" si="217">AY160</f>
        <v>0</v>
      </c>
    </row>
    <row r="161" spans="1:56" x14ac:dyDescent="0.25">
      <c r="A161" s="17" t="s">
        <v>124</v>
      </c>
      <c r="T161" s="21">
        <v>1</v>
      </c>
      <c r="U161" s="21">
        <v>16</v>
      </c>
      <c r="V161" s="21">
        <f>[14]MP_IOIS!G20</f>
        <v>16</v>
      </c>
      <c r="W161" s="21">
        <f>[12]MP_IOIS!D7</f>
        <v>9</v>
      </c>
      <c r="X161" s="21">
        <f>[13]MP_IOIS!D7</f>
        <v>8</v>
      </c>
      <c r="Y161" s="21">
        <f>[31]Sheet1!B7</f>
        <v>202</v>
      </c>
      <c r="Z161" s="11">
        <f t="shared" si="203"/>
        <v>1</v>
      </c>
      <c r="AA161" s="11">
        <f t="shared" si="204"/>
        <v>0</v>
      </c>
      <c r="AB161" s="11">
        <f t="shared" si="205"/>
        <v>0</v>
      </c>
      <c r="AC161" s="21">
        <f t="shared" si="206"/>
        <v>16</v>
      </c>
      <c r="AD161" s="21">
        <f t="shared" si="207"/>
        <v>202</v>
      </c>
      <c r="AE161" s="21">
        <f t="shared" si="208"/>
        <v>0</v>
      </c>
      <c r="AF161" s="21">
        <f t="shared" si="209"/>
        <v>0</v>
      </c>
      <c r="AG161" s="21">
        <f t="shared" si="210"/>
        <v>0</v>
      </c>
      <c r="AH161" s="21">
        <f t="shared" si="211"/>
        <v>0</v>
      </c>
      <c r="AI161" s="21">
        <f t="shared" si="212"/>
        <v>0</v>
      </c>
      <c r="AN161" s="21">
        <f>[32]Sheet1!C10</f>
        <v>18</v>
      </c>
      <c r="AO161" s="21">
        <f>[33]Sheet1!B8</f>
        <v>15</v>
      </c>
      <c r="AP161" s="21">
        <f>[34]Sheet1!B8</f>
        <v>21</v>
      </c>
      <c r="AQ161" s="21">
        <f>[35]Sheet1!B8</f>
        <v>22</v>
      </c>
      <c r="AR161" s="21">
        <f>[36]Sheet1!B8</f>
        <v>21</v>
      </c>
      <c r="AS161" s="21">
        <f>[29]Sheet1!$D$6</f>
        <v>20</v>
      </c>
      <c r="AT161" s="21">
        <f>[30]TONGHOP!$C$4</f>
        <v>13</v>
      </c>
      <c r="AU161" s="21"/>
      <c r="AV161" s="194"/>
      <c r="AW161" s="21"/>
      <c r="AX161" s="21"/>
      <c r="AY161" s="21"/>
      <c r="AZ161" s="21">
        <f t="shared" si="213"/>
        <v>13</v>
      </c>
      <c r="BA161" s="21">
        <f t="shared" si="214"/>
        <v>21</v>
      </c>
      <c r="BB161" s="21">
        <f t="shared" si="215"/>
        <v>20</v>
      </c>
      <c r="BC161" s="21">
        <f t="shared" si="216"/>
        <v>0</v>
      </c>
      <c r="BD161" s="21">
        <f t="shared" si="217"/>
        <v>0</v>
      </c>
    </row>
    <row r="162" spans="1:56" x14ac:dyDescent="0.25">
      <c r="A162" s="17" t="s">
        <v>211</v>
      </c>
      <c r="T162" s="21"/>
      <c r="U162" s="21"/>
      <c r="V162" s="188"/>
      <c r="W162" s="21"/>
      <c r="X162" s="21"/>
      <c r="Y162" s="21"/>
      <c r="Z162" s="11"/>
      <c r="AA162" s="11"/>
      <c r="AB162" s="11"/>
      <c r="AC162" s="21"/>
      <c r="AD162" s="21"/>
      <c r="AE162" s="21"/>
      <c r="AF162" s="21"/>
      <c r="AG162" s="21"/>
      <c r="AH162" s="21"/>
      <c r="AI162" s="21"/>
      <c r="AN162" s="21"/>
      <c r="AO162" s="21"/>
      <c r="AP162" s="21">
        <f>[34]Sheet1!B10</f>
        <v>14</v>
      </c>
      <c r="AQ162" s="21">
        <f>[35]Sheet1!B10</f>
        <v>25</v>
      </c>
      <c r="AR162" s="21">
        <f>[36]Sheet1!B11</f>
        <v>36</v>
      </c>
      <c r="AS162" s="21">
        <f>[29]Sheet1!$C$7</f>
        <v>38</v>
      </c>
      <c r="AT162" s="21">
        <f>[30]TONGHOP!$B$5</f>
        <v>34</v>
      </c>
      <c r="AU162" s="21"/>
      <c r="AV162" s="194"/>
      <c r="AW162" s="21"/>
      <c r="AX162" s="21"/>
      <c r="AY162" s="21"/>
      <c r="AZ162" s="21">
        <f t="shared" ref="AZ162:AZ163" si="218">INDEX(AN162:AY162,$A$3)</f>
        <v>34</v>
      </c>
      <c r="BA162" s="21">
        <f t="shared" ref="BA162:BA163" si="219">AP162</f>
        <v>14</v>
      </c>
      <c r="BB162" s="21">
        <f t="shared" ref="BB162:BB163" si="220">AS162</f>
        <v>38</v>
      </c>
      <c r="BC162" s="21">
        <f t="shared" ref="BC162:BC163" si="221">AV162</f>
        <v>0</v>
      </c>
      <c r="BD162" s="21">
        <f t="shared" ref="BD162:BD163" si="222">AY162</f>
        <v>0</v>
      </c>
    </row>
    <row r="163" spans="1:56" x14ac:dyDescent="0.25">
      <c r="A163" s="17" t="s">
        <v>212</v>
      </c>
      <c r="T163" s="21"/>
      <c r="U163" s="21"/>
      <c r="V163" s="21"/>
      <c r="W163" s="21"/>
      <c r="X163" s="21"/>
      <c r="Y163" s="21"/>
      <c r="Z163" s="11"/>
      <c r="AA163" s="11"/>
      <c r="AB163" s="11"/>
      <c r="AC163" s="21"/>
      <c r="AD163" s="21"/>
      <c r="AE163" s="21"/>
      <c r="AF163" s="21"/>
      <c r="AG163" s="21"/>
      <c r="AH163" s="21"/>
      <c r="AI163" s="21"/>
      <c r="AN163" s="21"/>
      <c r="AO163" s="21"/>
      <c r="AP163" s="21">
        <f>[34]Sheet1!B11</f>
        <v>1</v>
      </c>
      <c r="AQ163" s="21">
        <f>[35]Sheet1!B11</f>
        <v>3</v>
      </c>
      <c r="AR163" s="21">
        <f>[36]Sheet1!B12</f>
        <v>3</v>
      </c>
      <c r="AS163" s="21">
        <f>[29]Sheet1!$D$7</f>
        <v>3</v>
      </c>
      <c r="AT163" s="21">
        <f>[30]TONGHOP!$C$5</f>
        <v>4</v>
      </c>
      <c r="AU163" s="21"/>
      <c r="AV163" s="194"/>
      <c r="AW163" s="21"/>
      <c r="AX163" s="21"/>
      <c r="AY163" s="21"/>
      <c r="AZ163" s="21">
        <f t="shared" si="218"/>
        <v>4</v>
      </c>
      <c r="BA163" s="21">
        <f t="shared" si="219"/>
        <v>1</v>
      </c>
      <c r="BB163" s="21">
        <f t="shared" si="220"/>
        <v>3</v>
      </c>
      <c r="BC163" s="21">
        <f t="shared" si="221"/>
        <v>0</v>
      </c>
      <c r="BD163" s="21">
        <f t="shared" si="222"/>
        <v>0</v>
      </c>
    </row>
    <row r="164" spans="1:56" x14ac:dyDescent="0.25">
      <c r="A164" s="17" t="s">
        <v>202</v>
      </c>
      <c r="T164" s="21"/>
      <c r="U164" s="21"/>
      <c r="V164" s="188"/>
      <c r="W164" s="21"/>
      <c r="X164" s="21"/>
      <c r="Y164" s="21"/>
      <c r="Z164" s="11">
        <f t="shared" si="187"/>
        <v>0</v>
      </c>
      <c r="AA164" s="11">
        <f t="shared" si="188"/>
        <v>0</v>
      </c>
      <c r="AB164" s="11">
        <f t="shared" si="189"/>
        <v>0</v>
      </c>
      <c r="AC164" s="21">
        <f t="shared" si="190"/>
        <v>0</v>
      </c>
      <c r="AD164" s="21">
        <f t="shared" si="191"/>
        <v>0</v>
      </c>
      <c r="AE164" s="21">
        <f t="shared" si="192"/>
        <v>0</v>
      </c>
      <c r="AF164" s="21">
        <f t="shared" si="193"/>
        <v>0</v>
      </c>
      <c r="AG164" s="21">
        <f t="shared" si="194"/>
        <v>0</v>
      </c>
      <c r="AH164" s="21">
        <f t="shared" si="195"/>
        <v>0</v>
      </c>
      <c r="AI164" s="21">
        <f t="shared" si="196"/>
        <v>0</v>
      </c>
      <c r="AN164" s="21">
        <v>6</v>
      </c>
      <c r="AO164" s="21">
        <v>6</v>
      </c>
      <c r="AP164" s="21">
        <v>9</v>
      </c>
      <c r="AQ164" s="21">
        <v>8</v>
      </c>
      <c r="AR164" s="21">
        <v>23</v>
      </c>
      <c r="AS164" s="21">
        <v>20</v>
      </c>
      <c r="AT164" s="21">
        <f>[30]TONGHOP!$B$6</f>
        <v>21</v>
      </c>
      <c r="AU164" s="21"/>
      <c r="AV164" s="194"/>
      <c r="AW164" s="21"/>
      <c r="AX164" s="21"/>
      <c r="AY164" s="21"/>
      <c r="AZ164" s="21">
        <f t="shared" si="197"/>
        <v>21</v>
      </c>
      <c r="BA164" s="21">
        <f t="shared" si="198"/>
        <v>9</v>
      </c>
      <c r="BB164" s="21">
        <f t="shared" si="199"/>
        <v>20</v>
      </c>
      <c r="BC164" s="21">
        <f t="shared" si="200"/>
        <v>0</v>
      </c>
      <c r="BD164" s="21">
        <f t="shared" si="201"/>
        <v>0</v>
      </c>
    </row>
    <row r="165" spans="1:56" x14ac:dyDescent="0.25">
      <c r="A165" s="17" t="s">
        <v>203</v>
      </c>
      <c r="T165" s="21"/>
      <c r="U165" s="21"/>
      <c r="V165" s="21"/>
      <c r="W165" s="21"/>
      <c r="X165" s="21"/>
      <c r="Y165" s="21"/>
      <c r="Z165" s="11">
        <f t="shared" si="187"/>
        <v>0</v>
      </c>
      <c r="AA165" s="11">
        <f t="shared" si="188"/>
        <v>0</v>
      </c>
      <c r="AB165" s="11">
        <f t="shared" si="189"/>
        <v>0</v>
      </c>
      <c r="AC165" s="21">
        <f t="shared" si="190"/>
        <v>0</v>
      </c>
      <c r="AD165" s="21">
        <f t="shared" si="191"/>
        <v>0</v>
      </c>
      <c r="AE165" s="21">
        <f t="shared" si="192"/>
        <v>0</v>
      </c>
      <c r="AF165" s="21">
        <f t="shared" si="193"/>
        <v>0</v>
      </c>
      <c r="AG165" s="21">
        <f t="shared" si="194"/>
        <v>0</v>
      </c>
      <c r="AH165" s="21">
        <f t="shared" si="195"/>
        <v>0</v>
      </c>
      <c r="AI165" s="21">
        <f t="shared" si="196"/>
        <v>0</v>
      </c>
      <c r="AN165" s="21">
        <v>6</v>
      </c>
      <c r="AO165" s="21">
        <v>5</v>
      </c>
      <c r="AP165" s="21">
        <v>7</v>
      </c>
      <c r="AQ165" s="21">
        <v>5</v>
      </c>
      <c r="AR165" s="21">
        <v>7</v>
      </c>
      <c r="AS165" s="21"/>
      <c r="AT165" s="21">
        <f>[30]TONGHOP!$C$6</f>
        <v>8</v>
      </c>
      <c r="AU165" s="21"/>
      <c r="AV165" s="194"/>
      <c r="AW165" s="21"/>
      <c r="AX165" s="21"/>
      <c r="AY165" s="21"/>
      <c r="AZ165" s="21">
        <f t="shared" si="197"/>
        <v>8</v>
      </c>
      <c r="BA165" s="21">
        <f t="shared" si="198"/>
        <v>7</v>
      </c>
      <c r="BB165" s="21">
        <f t="shared" si="199"/>
        <v>0</v>
      </c>
      <c r="BC165" s="21">
        <f t="shared" si="200"/>
        <v>0</v>
      </c>
      <c r="BD165" s="21">
        <f t="shared" si="201"/>
        <v>0</v>
      </c>
    </row>
    <row r="166" spans="1:56" x14ac:dyDescent="0.25">
      <c r="B166" s="13">
        <f>SUM(B154:B165)</f>
        <v>183</v>
      </c>
      <c r="C166" s="13">
        <f t="shared" ref="C166:AI166" si="223">SUM(C154:C165)</f>
        <v>191</v>
      </c>
      <c r="D166" s="13">
        <f t="shared" si="223"/>
        <v>199</v>
      </c>
      <c r="E166" s="13">
        <f t="shared" si="223"/>
        <v>207</v>
      </c>
      <c r="F166" s="13">
        <f t="shared" si="223"/>
        <v>200</v>
      </c>
      <c r="G166" s="13">
        <f t="shared" si="223"/>
        <v>195</v>
      </c>
      <c r="H166" s="13">
        <f t="shared" si="223"/>
        <v>217</v>
      </c>
      <c r="I166" s="13">
        <f t="shared" si="223"/>
        <v>217</v>
      </c>
      <c r="J166" s="13">
        <f t="shared" si="223"/>
        <v>239</v>
      </c>
      <c r="K166" s="13">
        <f t="shared" si="223"/>
        <v>241</v>
      </c>
      <c r="L166" s="13">
        <f t="shared" si="223"/>
        <v>245</v>
      </c>
      <c r="M166" s="13">
        <f t="shared" si="223"/>
        <v>249</v>
      </c>
      <c r="N166" s="13">
        <f t="shared" si="223"/>
        <v>249</v>
      </c>
      <c r="O166" s="13">
        <f t="shared" si="223"/>
        <v>243</v>
      </c>
      <c r="P166" s="13">
        <f t="shared" si="223"/>
        <v>236</v>
      </c>
      <c r="Q166" s="13">
        <f t="shared" si="223"/>
        <v>241</v>
      </c>
      <c r="R166" s="13">
        <f t="shared" si="223"/>
        <v>233</v>
      </c>
      <c r="S166" s="13">
        <f t="shared" si="223"/>
        <v>240</v>
      </c>
      <c r="T166" s="22">
        <f t="shared" si="223"/>
        <v>358</v>
      </c>
      <c r="U166" s="22">
        <f t="shared" si="223"/>
        <v>856</v>
      </c>
      <c r="V166" s="22">
        <f t="shared" si="223"/>
        <v>328</v>
      </c>
      <c r="W166" s="22">
        <f t="shared" si="223"/>
        <v>342</v>
      </c>
      <c r="X166" s="22">
        <f t="shared" si="223"/>
        <v>328</v>
      </c>
      <c r="Y166" s="22">
        <f t="shared" si="223"/>
        <v>409</v>
      </c>
      <c r="Z166" s="13">
        <f t="shared" si="223"/>
        <v>358</v>
      </c>
      <c r="AA166" s="13">
        <f t="shared" si="223"/>
        <v>236</v>
      </c>
      <c r="AB166" s="13">
        <f t="shared" si="223"/>
        <v>240</v>
      </c>
      <c r="AC166" s="22">
        <f t="shared" si="223"/>
        <v>328</v>
      </c>
      <c r="AD166" s="22">
        <f t="shared" si="223"/>
        <v>409</v>
      </c>
      <c r="AE166" s="22">
        <f t="shared" si="223"/>
        <v>217</v>
      </c>
      <c r="AF166" s="22">
        <f t="shared" si="223"/>
        <v>199</v>
      </c>
      <c r="AG166" s="22">
        <f t="shared" si="223"/>
        <v>195</v>
      </c>
      <c r="AH166" s="22">
        <f t="shared" si="223"/>
        <v>239</v>
      </c>
      <c r="AI166" s="22">
        <f t="shared" si="223"/>
        <v>249</v>
      </c>
      <c r="AN166" s="22">
        <f t="shared" ref="AN166:BD166" si="224">SUM(AN154:AN165)</f>
        <v>377</v>
      </c>
      <c r="AO166" s="22">
        <f t="shared" si="224"/>
        <v>395</v>
      </c>
      <c r="AP166" s="22">
        <f t="shared" si="224"/>
        <v>451</v>
      </c>
      <c r="AQ166" s="22">
        <f t="shared" si="224"/>
        <v>416</v>
      </c>
      <c r="AR166" s="22">
        <f t="shared" si="224"/>
        <v>495</v>
      </c>
      <c r="AS166" s="22">
        <f t="shared" si="224"/>
        <v>505</v>
      </c>
      <c r="AT166" s="22">
        <f t="shared" si="224"/>
        <v>460</v>
      </c>
      <c r="AU166" s="22">
        <f t="shared" si="224"/>
        <v>0</v>
      </c>
      <c r="AV166" s="195">
        <f t="shared" si="224"/>
        <v>0</v>
      </c>
      <c r="AW166" s="22">
        <f t="shared" si="224"/>
        <v>0</v>
      </c>
      <c r="AX166" s="22">
        <f t="shared" si="224"/>
        <v>0</v>
      </c>
      <c r="AY166" s="22">
        <f t="shared" si="224"/>
        <v>0</v>
      </c>
      <c r="AZ166" s="22">
        <f t="shared" si="224"/>
        <v>460</v>
      </c>
      <c r="BA166" s="22">
        <f t="shared" si="224"/>
        <v>451</v>
      </c>
      <c r="BB166" s="22">
        <f t="shared" si="224"/>
        <v>505</v>
      </c>
      <c r="BC166" s="22">
        <f t="shared" si="224"/>
        <v>0</v>
      </c>
      <c r="BD166" s="22">
        <f t="shared" si="224"/>
        <v>0</v>
      </c>
    </row>
    <row r="168" spans="1:56" s="9" customFormat="1" x14ac:dyDescent="0.25">
      <c r="A168" s="9" t="s">
        <v>70</v>
      </c>
      <c r="B168" s="18">
        <v>1501</v>
      </c>
      <c r="C168" s="18">
        <v>1502</v>
      </c>
      <c r="D168" s="18">
        <v>1503</v>
      </c>
      <c r="E168" s="18">
        <v>1504</v>
      </c>
      <c r="F168" s="18">
        <v>1505</v>
      </c>
      <c r="G168" s="18">
        <v>1506</v>
      </c>
      <c r="H168" s="18">
        <v>1507</v>
      </c>
      <c r="I168" s="18">
        <v>1508</v>
      </c>
      <c r="J168" s="18">
        <v>1509</v>
      </c>
      <c r="K168" s="18">
        <v>1510</v>
      </c>
      <c r="L168" s="18">
        <v>1511</v>
      </c>
      <c r="M168" s="18">
        <v>1512</v>
      </c>
      <c r="N168" s="18">
        <v>1601</v>
      </c>
      <c r="O168" s="18">
        <v>1602</v>
      </c>
      <c r="P168" s="18">
        <v>1603</v>
      </c>
      <c r="Q168" s="18">
        <v>1604</v>
      </c>
      <c r="R168" s="18">
        <v>1605</v>
      </c>
      <c r="S168" s="18">
        <v>1606</v>
      </c>
      <c r="T168" s="18">
        <v>1607</v>
      </c>
      <c r="U168" s="18">
        <v>1608</v>
      </c>
      <c r="V168" s="18">
        <v>1609</v>
      </c>
      <c r="W168" s="18">
        <v>1610</v>
      </c>
      <c r="X168" s="18">
        <v>1611</v>
      </c>
      <c r="Y168" s="18">
        <v>1612</v>
      </c>
      <c r="Z168" s="19" t="s">
        <v>52</v>
      </c>
      <c r="AA168" s="19" t="s">
        <v>56</v>
      </c>
      <c r="AB168" s="19" t="s">
        <v>57</v>
      </c>
      <c r="AC168" s="19" t="s">
        <v>58</v>
      </c>
      <c r="AD168" s="19" t="s">
        <v>59</v>
      </c>
      <c r="AE168" s="20" t="s">
        <v>53</v>
      </c>
      <c r="AF168" s="20" t="s">
        <v>60</v>
      </c>
      <c r="AG168" s="20" t="s">
        <v>61</v>
      </c>
      <c r="AH168" s="20" t="s">
        <v>62</v>
      </c>
      <c r="AI168" s="20" t="s">
        <v>63</v>
      </c>
      <c r="AN168" s="18">
        <v>1701</v>
      </c>
      <c r="AO168" s="18">
        <v>1702</v>
      </c>
      <c r="AP168" s="18">
        <v>1703</v>
      </c>
      <c r="AQ168" s="18">
        <v>1704</v>
      </c>
      <c r="AR168" s="18">
        <v>1705</v>
      </c>
      <c r="AS168" s="18">
        <v>1706</v>
      </c>
      <c r="AT168" s="18">
        <v>1707</v>
      </c>
      <c r="AU168" s="18">
        <v>1708</v>
      </c>
      <c r="AV168" s="18">
        <v>1709</v>
      </c>
      <c r="AW168" s="18">
        <v>1710</v>
      </c>
      <c r="AX168" s="18">
        <v>1711</v>
      </c>
      <c r="AY168" s="18">
        <v>1712</v>
      </c>
      <c r="AZ168" s="19" t="s">
        <v>184</v>
      </c>
      <c r="BA168" s="19" t="s">
        <v>185</v>
      </c>
      <c r="BB168" s="19" t="s">
        <v>186</v>
      </c>
      <c r="BC168" s="19" t="s">
        <v>187</v>
      </c>
      <c r="BD168" s="19" t="s">
        <v>188</v>
      </c>
    </row>
    <row r="169" spans="1:56" x14ac:dyDescent="0.25">
      <c r="A169" s="17" t="s">
        <v>117</v>
      </c>
      <c r="B169" s="8">
        <f>IFERROR(B137/B154,"")</f>
        <v>21.863888888888887</v>
      </c>
      <c r="C169" s="8">
        <f t="shared" ref="C169:Y169" si="225">IFERROR(C137/C154,"")</f>
        <v>14.289102040816328</v>
      </c>
      <c r="D169" s="8">
        <f t="shared" si="225"/>
        <v>27.701842105263161</v>
      </c>
      <c r="E169" s="8">
        <f t="shared" si="225"/>
        <v>28.88307142857143</v>
      </c>
      <c r="F169" s="8">
        <f t="shared" si="225"/>
        <v>19.962370370370373</v>
      </c>
      <c r="G169" s="8">
        <f t="shared" si="225"/>
        <v>32.565076923076923</v>
      </c>
      <c r="H169" s="8">
        <f t="shared" si="225"/>
        <v>29.418591836734691</v>
      </c>
      <c r="I169" s="8">
        <f t="shared" si="225"/>
        <v>26.772454545454547</v>
      </c>
      <c r="J169" s="8">
        <f t="shared" si="225"/>
        <v>42.550794871794871</v>
      </c>
      <c r="K169" s="8" t="str">
        <f t="shared" si="225"/>
        <v/>
      </c>
      <c r="L169" s="8" t="str">
        <f t="shared" si="225"/>
        <v/>
      </c>
      <c r="M169" s="8" t="str">
        <f t="shared" si="225"/>
        <v/>
      </c>
      <c r="N169" s="8" t="str">
        <f t="shared" si="225"/>
        <v/>
      </c>
      <c r="O169" s="8" t="str">
        <f t="shared" si="225"/>
        <v/>
      </c>
      <c r="P169" s="8" t="str">
        <f t="shared" si="225"/>
        <v/>
      </c>
      <c r="Q169" s="8" t="str">
        <f t="shared" si="225"/>
        <v/>
      </c>
      <c r="R169" s="8" t="str">
        <f t="shared" si="225"/>
        <v/>
      </c>
      <c r="S169" s="8" t="str">
        <f t="shared" si="225"/>
        <v/>
      </c>
      <c r="T169" s="8" t="str">
        <f t="shared" si="225"/>
        <v/>
      </c>
      <c r="U169" s="8" t="str">
        <f t="shared" si="225"/>
        <v/>
      </c>
      <c r="V169" s="8" t="str">
        <f t="shared" ref="V169" si="226">IFERROR(V137/V154,"")</f>
        <v/>
      </c>
      <c r="W169" s="8" t="str">
        <f t="shared" si="225"/>
        <v/>
      </c>
      <c r="X169" s="8" t="str">
        <f t="shared" si="225"/>
        <v/>
      </c>
      <c r="Y169" s="8" t="str">
        <f t="shared" si="225"/>
        <v/>
      </c>
      <c r="Z169" s="8" t="str">
        <f>IFERROR(Z74/Z128,"")</f>
        <v/>
      </c>
      <c r="AA169" s="8">
        <f>IFERROR(AA74/AA128,"")</f>
        <v>0</v>
      </c>
      <c r="AB169" s="8">
        <f>IFERROR(AB74/AB128,"")</f>
        <v>0</v>
      </c>
      <c r="AC169" s="8" t="str">
        <f>IFERROR(AC74/AC128,"")</f>
        <v/>
      </c>
      <c r="AD169" s="8" t="str">
        <f>IFERROR(AD74/AD128,"")</f>
        <v/>
      </c>
      <c r="AE169" s="8">
        <f>IFERROR(AE74/SUM($B128:INDEX($B128:$M128,$A$3)),"")</f>
        <v>7.6700434153400873E-2</v>
      </c>
      <c r="AF169" s="8">
        <f>IFERROR(AF74/SUM(B128:D128),"")</f>
        <v>0.2135593220338983</v>
      </c>
      <c r="AG169" s="8">
        <f>IFERROR(AG74/SUM(E128:G128),"")</f>
        <v>0.18855218855218855</v>
      </c>
      <c r="AH169" s="8">
        <f>IFERROR(AH74/SUM(H128:J128),"")</f>
        <v>0.14478114478114479</v>
      </c>
      <c r="AI169" s="8">
        <f>IFERROR(AI74/SUM(K128:M128),"")</f>
        <v>0</v>
      </c>
      <c r="AN169" s="8" t="str">
        <f>IFERROR(AN137/AN154,"")</f>
        <v/>
      </c>
      <c r="AO169" s="8" t="str">
        <f t="shared" ref="AO169:AY169" si="227">IFERROR(AO137/AO154,"")</f>
        <v/>
      </c>
      <c r="AP169" s="8" t="str">
        <f t="shared" si="227"/>
        <v/>
      </c>
      <c r="AQ169" s="8" t="str">
        <f t="shared" si="227"/>
        <v/>
      </c>
      <c r="AR169" s="8">
        <f t="shared" si="227"/>
        <v>4.4644117647058819</v>
      </c>
      <c r="AS169" s="8">
        <f t="shared" si="227"/>
        <v>5.5804285714285715</v>
      </c>
      <c r="AT169" s="8">
        <f t="shared" si="227"/>
        <v>14.772727272727273</v>
      </c>
      <c r="AU169" s="8" t="str">
        <f t="shared" si="227"/>
        <v/>
      </c>
      <c r="AV169" s="8" t="str">
        <f t="shared" si="227"/>
        <v/>
      </c>
      <c r="AW169" s="8" t="str">
        <f t="shared" si="227"/>
        <v/>
      </c>
      <c r="AX169" s="8" t="str">
        <f t="shared" si="227"/>
        <v/>
      </c>
      <c r="AY169" s="8" t="str">
        <f t="shared" si="227"/>
        <v/>
      </c>
      <c r="AZ169" s="8">
        <f t="shared" ref="AZ169:BD169" si="228">IFERROR(AZ137/AZ154,"")</f>
        <v>30.760545454545454</v>
      </c>
      <c r="BA169" s="8" t="str">
        <f t="shared" si="228"/>
        <v/>
      </c>
      <c r="BB169" s="8">
        <f t="shared" si="228"/>
        <v>8.3745714285714286</v>
      </c>
      <c r="BC169" s="8" t="str">
        <f t="shared" si="228"/>
        <v/>
      </c>
      <c r="BD169" s="8" t="str">
        <f t="shared" si="228"/>
        <v/>
      </c>
    </row>
    <row r="170" spans="1:56" x14ac:dyDescent="0.25">
      <c r="A170" s="17" t="s">
        <v>118</v>
      </c>
      <c r="B170" s="8">
        <f t="shared" ref="B170:Y170" si="229">IFERROR(B138/B155,"")</f>
        <v>94.602199999999996</v>
      </c>
      <c r="C170" s="8">
        <f t="shared" si="229"/>
        <v>21.450999999999997</v>
      </c>
      <c r="D170" s="8">
        <f t="shared" si="229"/>
        <v>55.964166666666671</v>
      </c>
      <c r="E170" s="8">
        <f t="shared" si="229"/>
        <v>40.388333333333335</v>
      </c>
      <c r="F170" s="8">
        <f t="shared" si="229"/>
        <v>-0.74683333333333168</v>
      </c>
      <c r="G170" s="8">
        <f t="shared" si="229"/>
        <v>42.0505</v>
      </c>
      <c r="H170" s="8">
        <f t="shared" si="229"/>
        <v>73.759</v>
      </c>
      <c r="I170" s="8">
        <f t="shared" si="229"/>
        <v>35.062750000000001</v>
      </c>
      <c r="J170" s="8">
        <f t="shared" si="229"/>
        <v>159.69749999999999</v>
      </c>
      <c r="K170" s="8" t="str">
        <f t="shared" si="229"/>
        <v/>
      </c>
      <c r="L170" s="8" t="str">
        <f t="shared" si="229"/>
        <v/>
      </c>
      <c r="M170" s="8" t="str">
        <f t="shared" si="229"/>
        <v/>
      </c>
      <c r="N170" s="8" t="str">
        <f t="shared" si="229"/>
        <v/>
      </c>
      <c r="O170" s="8" t="str">
        <f t="shared" si="229"/>
        <v/>
      </c>
      <c r="P170" s="8" t="str">
        <f t="shared" si="229"/>
        <v/>
      </c>
      <c r="Q170" s="8" t="str">
        <f t="shared" si="229"/>
        <v/>
      </c>
      <c r="R170" s="8" t="str">
        <f t="shared" si="229"/>
        <v/>
      </c>
      <c r="S170" s="8" t="str">
        <f t="shared" si="229"/>
        <v/>
      </c>
      <c r="T170" s="8" t="str">
        <f t="shared" si="229"/>
        <v/>
      </c>
      <c r="U170" s="8" t="str">
        <f t="shared" si="229"/>
        <v/>
      </c>
      <c r="V170" s="8" t="str">
        <f t="shared" ref="V170" si="230">IFERROR(V138/V155,"")</f>
        <v/>
      </c>
      <c r="W170" s="8" t="str">
        <f t="shared" si="229"/>
        <v/>
      </c>
      <c r="X170" s="8" t="str">
        <f t="shared" si="229"/>
        <v/>
      </c>
      <c r="Y170" s="8" t="str">
        <f t="shared" si="229"/>
        <v/>
      </c>
      <c r="Z170" s="8">
        <f>IFERROR(Z71/SUM($N125:INDEX($N125:$Y125,$A$3)),"")</f>
        <v>2.501466388682073E-3</v>
      </c>
      <c r="AA170" s="8">
        <f>IFERROR(AA71/SUM(N125:P125),"")</f>
        <v>7.2070012212613992E-3</v>
      </c>
      <c r="AB170" s="8">
        <f>IFERROR(AB71/SUM(Q125:S125),"")</f>
        <v>5.1748431643876764E-3</v>
      </c>
      <c r="AC170" s="8">
        <f>IFERROR(AC71/AC125,"")</f>
        <v>7.3871662502424679E-3</v>
      </c>
      <c r="AD170" s="8">
        <f>IFERROR(AD71/AD125,"")</f>
        <v>5.9941363609992294E-3</v>
      </c>
      <c r="AE170" s="8">
        <f>IFERROR(AE71/SUM($B125:INDEX($B125:$M125,$A$3)),"")</f>
        <v>3.4623805755110435E-3</v>
      </c>
      <c r="AF170" s="8">
        <f>IFERROR(AF71/SUM(B125:D125),"")</f>
        <v>1.0467737010489917E-2</v>
      </c>
      <c r="AG170" s="8">
        <f>IFERROR(AG71/SUM(E125:G125),"")</f>
        <v>6.8687390188597501E-3</v>
      </c>
      <c r="AH170" s="8">
        <f>IFERROR(AH71/SUM(H125:J125),"")</f>
        <v>6.8518555928656607E-3</v>
      </c>
      <c r="AI170" s="8">
        <f>IFERROR(AI71/SUM(K125:M125),"")</f>
        <v>4.1665672517635852E-3</v>
      </c>
      <c r="AN170" s="8" t="str">
        <f t="shared" ref="AN170:AY170" si="231">IFERROR(AN138/AN155,"")</f>
        <v/>
      </c>
      <c r="AO170" s="8" t="str">
        <f t="shared" si="231"/>
        <v/>
      </c>
      <c r="AP170" s="8" t="str">
        <f t="shared" si="231"/>
        <v/>
      </c>
      <c r="AQ170" s="8" t="str">
        <f t="shared" si="231"/>
        <v/>
      </c>
      <c r="AR170" s="8" t="str">
        <f t="shared" si="231"/>
        <v/>
      </c>
      <c r="AS170" s="8">
        <f t="shared" si="231"/>
        <v>0</v>
      </c>
      <c r="AT170" s="224" t="str">
        <f t="shared" si="231"/>
        <v/>
      </c>
      <c r="AU170" s="8" t="str">
        <f t="shared" si="231"/>
        <v/>
      </c>
      <c r="AV170" s="8" t="str">
        <f t="shared" si="231"/>
        <v/>
      </c>
      <c r="AW170" s="8" t="str">
        <f t="shared" si="231"/>
        <v/>
      </c>
      <c r="AX170" s="8" t="str">
        <f t="shared" si="231"/>
        <v/>
      </c>
      <c r="AY170" s="8" t="str">
        <f t="shared" si="231"/>
        <v/>
      </c>
      <c r="AZ170" s="8" t="str">
        <f t="shared" ref="AZ170:BD170" si="232">IFERROR(AZ138/AZ155,"")</f>
        <v/>
      </c>
      <c r="BA170" s="8" t="str">
        <f t="shared" si="232"/>
        <v/>
      </c>
      <c r="BB170" s="8">
        <f t="shared" si="232"/>
        <v>0</v>
      </c>
      <c r="BC170" s="8" t="str">
        <f t="shared" si="232"/>
        <v/>
      </c>
      <c r="BD170" s="8" t="str">
        <f t="shared" si="232"/>
        <v/>
      </c>
    </row>
    <row r="171" spans="1:56" x14ac:dyDescent="0.25">
      <c r="A171" s="17" t="s">
        <v>119</v>
      </c>
      <c r="B171" s="8">
        <f t="shared" ref="B171:Y171" si="233">IFERROR(B139/B156,"")</f>
        <v>27.760165217391304</v>
      </c>
      <c r="C171" s="8">
        <f t="shared" si="233"/>
        <v>15.747576271186441</v>
      </c>
      <c r="D171" s="8">
        <f t="shared" si="233"/>
        <v>52.830152542372964</v>
      </c>
      <c r="E171" s="8">
        <f t="shared" si="233"/>
        <v>47.156390625000078</v>
      </c>
      <c r="F171" s="8">
        <f t="shared" si="233"/>
        <v>46.094767999999995</v>
      </c>
      <c r="G171" s="8">
        <f t="shared" si="233"/>
        <v>62.364866141732278</v>
      </c>
      <c r="H171" s="8">
        <f t="shared" si="233"/>
        <v>55.293777777777848</v>
      </c>
      <c r="I171" s="8">
        <f t="shared" si="233"/>
        <v>38.182283464566929</v>
      </c>
      <c r="J171" s="8">
        <f t="shared" si="233"/>
        <v>51.890514285714282</v>
      </c>
      <c r="K171" s="8">
        <f t="shared" si="233"/>
        <v>68.803598684210527</v>
      </c>
      <c r="L171" s="8">
        <f t="shared" si="233"/>
        <v>95.331066666666672</v>
      </c>
      <c r="M171" s="8">
        <f t="shared" si="233"/>
        <v>100.29936184210527</v>
      </c>
      <c r="N171" s="8">
        <f t="shared" si="233"/>
        <v>30.137710526315789</v>
      </c>
      <c r="O171" s="8">
        <f t="shared" si="233"/>
        <v>32.241784482758618</v>
      </c>
      <c r="P171" s="8">
        <f t="shared" si="233"/>
        <v>65.882596638655471</v>
      </c>
      <c r="Q171" s="8">
        <f t="shared" si="233"/>
        <v>54.419791044776126</v>
      </c>
      <c r="R171" s="8">
        <f t="shared" si="233"/>
        <v>69.224708955223804</v>
      </c>
      <c r="S171" s="8">
        <f t="shared" si="233"/>
        <v>75.200881481481488</v>
      </c>
      <c r="T171" s="8">
        <f t="shared" si="233"/>
        <v>55.542065217391304</v>
      </c>
      <c r="U171" s="8">
        <f t="shared" si="233"/>
        <v>35.293566115702475</v>
      </c>
      <c r="V171" s="8">
        <f t="shared" ref="V171" si="234">IFERROR(V139/V156,"")</f>
        <v>82.125413461538457</v>
      </c>
      <c r="W171" s="8">
        <f t="shared" si="233"/>
        <v>85.882755555555548</v>
      </c>
      <c r="X171" s="8">
        <f t="shared" si="233"/>
        <v>53.106733333333338</v>
      </c>
      <c r="Y171" s="8">
        <f t="shared" si="233"/>
        <v>116.73346564885496</v>
      </c>
      <c r="Z171" s="8" t="str">
        <f>IFERROR(Z72/SUM($N126:INDEX($N126:$Y126,$A$3)),"")</f>
        <v/>
      </c>
      <c r="AA171" s="8" t="str">
        <f>IFERROR(AA72/SUM(N126:P126),"")</f>
        <v/>
      </c>
      <c r="AB171" s="8" t="str">
        <f>IFERROR(AB72/SUM(Q126:S126),"")</f>
        <v/>
      </c>
      <c r="AC171" s="8" t="str">
        <f>IFERROR(AC72/AC126,"")</f>
        <v/>
      </c>
      <c r="AD171" s="8" t="str">
        <f>IFERROR(AD72/AD126,"")</f>
        <v/>
      </c>
      <c r="AE171" s="8" t="str">
        <f>IFERROR(AE72/SUM($B126:INDEX($B126:$M126,$A$3)),"")</f>
        <v/>
      </c>
      <c r="AF171" s="8" t="str">
        <f>IFERROR(AF72/SUM(B126:D126),"")</f>
        <v/>
      </c>
      <c r="AG171" s="8" t="str">
        <f>IFERROR(AG72/SUM(E126:G126),"")</f>
        <v/>
      </c>
      <c r="AH171" s="8" t="str">
        <f>IFERROR(AH72/SUM(H126:J126),"")</f>
        <v/>
      </c>
      <c r="AI171" s="8" t="str">
        <f>IFERROR(AI72/SUM(K126:M126),"")</f>
        <v/>
      </c>
      <c r="AN171" s="8">
        <f t="shared" ref="AN171:AY171" si="235">IFERROR(AN139/AN156,"")</f>
        <v>41.056819548872184</v>
      </c>
      <c r="AO171" s="8">
        <f t="shared" si="235"/>
        <v>83.123368421052632</v>
      </c>
      <c r="AP171" s="8">
        <f t="shared" si="235"/>
        <v>119.12868965517242</v>
      </c>
      <c r="AQ171" s="8">
        <f t="shared" si="235"/>
        <v>80.647654545454557</v>
      </c>
      <c r="AR171" s="8">
        <f t="shared" si="235"/>
        <v>57.917969230769245</v>
      </c>
      <c r="AS171" s="8">
        <f t="shared" si="235"/>
        <v>46.477763157894742</v>
      </c>
      <c r="AT171" s="8">
        <f t="shared" si="235"/>
        <v>63.329296610169493</v>
      </c>
      <c r="AU171" s="8" t="str">
        <f t="shared" si="235"/>
        <v/>
      </c>
      <c r="AV171" s="8" t="str">
        <f t="shared" si="235"/>
        <v/>
      </c>
      <c r="AW171" s="8" t="str">
        <f t="shared" si="235"/>
        <v/>
      </c>
      <c r="AX171" s="8" t="str">
        <f t="shared" si="235"/>
        <v/>
      </c>
      <c r="AY171" s="8" t="str">
        <f t="shared" si="235"/>
        <v/>
      </c>
      <c r="AZ171" s="8">
        <f t="shared" ref="AZ171:BD171" si="236">IFERROR(AZ139/AZ156,"")</f>
        <v>519.26227118644078</v>
      </c>
      <c r="BA171" s="8">
        <f t="shared" si="236"/>
        <v>261.50769827586208</v>
      </c>
      <c r="BB171" s="8">
        <f t="shared" si="236"/>
        <v>154.37630263157897</v>
      </c>
      <c r="BC171" s="8" t="str">
        <f t="shared" si="236"/>
        <v/>
      </c>
      <c r="BD171" s="8" t="str">
        <f t="shared" si="236"/>
        <v/>
      </c>
    </row>
    <row r="172" spans="1:56" x14ac:dyDescent="0.25">
      <c r="A172" s="17" t="s">
        <v>120</v>
      </c>
      <c r="B172" s="8">
        <f t="shared" ref="B172:Y172" si="237">IFERROR(B140/B157,"")</f>
        <v>26.372777777777777</v>
      </c>
      <c r="C172" s="8">
        <f t="shared" si="237"/>
        <v>24.235388888888892</v>
      </c>
      <c r="D172" s="8">
        <f t="shared" si="237"/>
        <v>62.49494444444445</v>
      </c>
      <c r="E172" s="8">
        <f t="shared" si="237"/>
        <v>28.240176470588239</v>
      </c>
      <c r="F172" s="8">
        <f t="shared" si="237"/>
        <v>53.793733333333329</v>
      </c>
      <c r="G172" s="8">
        <f t="shared" si="237"/>
        <v>55.097666666666669</v>
      </c>
      <c r="H172" s="8">
        <f t="shared" si="237"/>
        <v>66.968083333333325</v>
      </c>
      <c r="I172" s="8">
        <f t="shared" si="237"/>
        <v>80.027250000000009</v>
      </c>
      <c r="J172" s="8">
        <f t="shared" si="237"/>
        <v>84.024411764705874</v>
      </c>
      <c r="K172" s="8">
        <f t="shared" si="237"/>
        <v>127.36147058823529</v>
      </c>
      <c r="L172" s="8">
        <f t="shared" si="237"/>
        <v>139.32194117647057</v>
      </c>
      <c r="M172" s="8">
        <f t="shared" si="237"/>
        <v>92.823777777777778</v>
      </c>
      <c r="N172" s="8">
        <f t="shared" si="237"/>
        <v>58.052789473684207</v>
      </c>
      <c r="O172" s="8">
        <f t="shared" si="237"/>
        <v>102.4794705882353</v>
      </c>
      <c r="P172" s="8">
        <f t="shared" si="237"/>
        <v>129.37036734693899</v>
      </c>
      <c r="Q172" s="8">
        <f t="shared" si="237"/>
        <v>91.421081632653255</v>
      </c>
      <c r="R172" s="8">
        <f t="shared" si="237"/>
        <v>128.42028260869543</v>
      </c>
      <c r="S172" s="8">
        <f t="shared" si="237"/>
        <v>127.31904347826088</v>
      </c>
      <c r="T172" s="8">
        <f t="shared" si="237"/>
        <v>117.2021111111109</v>
      </c>
      <c r="U172" s="8">
        <f t="shared" si="237"/>
        <v>61.875187499999925</v>
      </c>
      <c r="V172" s="8">
        <f t="shared" ref="V172" si="238">IFERROR(V140/V157,"")</f>
        <v>127.74232258064521</v>
      </c>
      <c r="W172" s="8">
        <f t="shared" si="237"/>
        <v>81.892016393442631</v>
      </c>
      <c r="X172" s="8">
        <f t="shared" si="237"/>
        <v>92.407606557377036</v>
      </c>
      <c r="Y172" s="8">
        <f t="shared" si="237"/>
        <v>178.79834615384618</v>
      </c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N172" s="8">
        <f t="shared" ref="AN172:AY172" si="239">IFERROR(AN140/AN157,"")</f>
        <v>92.082363636363638</v>
      </c>
      <c r="AO172" s="8">
        <f t="shared" si="239"/>
        <v>153.44232653061223</v>
      </c>
      <c r="AP172" s="8">
        <f t="shared" si="239"/>
        <v>112.98867088607597</v>
      </c>
      <c r="AQ172" s="8">
        <f t="shared" si="239"/>
        <v>134.73481818181821</v>
      </c>
      <c r="AR172" s="8">
        <f t="shared" si="239"/>
        <v>132.63435616438355</v>
      </c>
      <c r="AS172" s="8">
        <f t="shared" si="239"/>
        <v>102.8193492063492</v>
      </c>
      <c r="AT172" s="8">
        <f t="shared" si="239"/>
        <v>103.95501315789474</v>
      </c>
      <c r="AU172" s="8" t="str">
        <f t="shared" si="239"/>
        <v/>
      </c>
      <c r="AV172" s="8" t="str">
        <f t="shared" si="239"/>
        <v/>
      </c>
      <c r="AW172" s="8" t="str">
        <f t="shared" si="239"/>
        <v/>
      </c>
      <c r="AX172" s="8" t="str">
        <f t="shared" si="239"/>
        <v/>
      </c>
      <c r="AY172" s="8" t="str">
        <f t="shared" si="239"/>
        <v/>
      </c>
      <c r="AZ172" s="8">
        <f t="shared" ref="AZ172:BD172" si="240">IFERROR(AZ140/AZ157,"")</f>
        <v>703.28169736842096</v>
      </c>
      <c r="BA172" s="8">
        <f t="shared" si="240"/>
        <v>259.44813924050629</v>
      </c>
      <c r="BB172" s="8">
        <f t="shared" si="240"/>
        <v>397.65753968253966</v>
      </c>
      <c r="BC172" s="8" t="str">
        <f t="shared" si="240"/>
        <v/>
      </c>
      <c r="BD172" s="8" t="str">
        <f t="shared" si="240"/>
        <v/>
      </c>
    </row>
    <row r="173" spans="1:56" x14ac:dyDescent="0.25">
      <c r="A173" s="17" t="s">
        <v>121</v>
      </c>
      <c r="B173" s="8" t="str">
        <f t="shared" ref="B173:Y173" si="241">IFERROR(B141/B158,"")</f>
        <v/>
      </c>
      <c r="C173" s="8" t="str">
        <f t="shared" si="241"/>
        <v/>
      </c>
      <c r="D173" s="8" t="str">
        <f t="shared" si="241"/>
        <v/>
      </c>
      <c r="E173" s="8" t="str">
        <f t="shared" si="241"/>
        <v/>
      </c>
      <c r="F173" s="8" t="str">
        <f t="shared" si="241"/>
        <v/>
      </c>
      <c r="G173" s="8" t="str">
        <f t="shared" si="241"/>
        <v/>
      </c>
      <c r="H173" s="8">
        <f t="shared" si="241"/>
        <v>1.2677647058823529</v>
      </c>
      <c r="I173" s="8">
        <f t="shared" si="241"/>
        <v>24.273619047619047</v>
      </c>
      <c r="J173" s="8">
        <f t="shared" si="241"/>
        <v>26.897270270270269</v>
      </c>
      <c r="K173" s="8">
        <f t="shared" si="241"/>
        <v>28.572567164179105</v>
      </c>
      <c r="L173" s="8">
        <f t="shared" si="241"/>
        <v>29.509297297297298</v>
      </c>
      <c r="M173" s="8">
        <f t="shared" si="241"/>
        <v>45.410080000000001</v>
      </c>
      <c r="N173" s="8">
        <f t="shared" si="241"/>
        <v>22.723054054054057</v>
      </c>
      <c r="O173" s="8">
        <f t="shared" si="241"/>
        <v>9.4720869565217392</v>
      </c>
      <c r="P173" s="8">
        <f t="shared" si="241"/>
        <v>17.137096774193548</v>
      </c>
      <c r="Q173" s="8">
        <f t="shared" si="241"/>
        <v>12.602192307692308</v>
      </c>
      <c r="R173" s="8">
        <f t="shared" si="241"/>
        <v>10.546659574468086</v>
      </c>
      <c r="S173" s="8">
        <f t="shared" si="241"/>
        <v>5.240584905660377</v>
      </c>
      <c r="T173" s="8">
        <f t="shared" si="241"/>
        <v>-0.10909929078014184</v>
      </c>
      <c r="U173" s="8">
        <f t="shared" si="241"/>
        <v>-0.17502777777777778</v>
      </c>
      <c r="V173" s="8">
        <f t="shared" ref="V173:Y175" si="242">IFERROR(V141/V158,"")</f>
        <v>8.8627384615384628</v>
      </c>
      <c r="W173" s="8">
        <f t="shared" si="241"/>
        <v>7.9702343750000004</v>
      </c>
      <c r="X173" s="8">
        <f t="shared" si="241"/>
        <v>3.3613593750000001</v>
      </c>
      <c r="Y173" s="8">
        <f t="shared" si="241"/>
        <v>6.4234999999999998</v>
      </c>
      <c r="Z173" s="8" t="s">
        <v>183</v>
      </c>
      <c r="AA173" s="8" t="str">
        <f>IFERROR(AA73/SUM(N127:P127),"")</f>
        <v/>
      </c>
      <c r="AB173" s="8" t="str">
        <f>IFERROR(AB73/SUM(Q127:S127),"")</f>
        <v/>
      </c>
      <c r="AC173" s="8" t="str">
        <f t="shared" ref="AC173:AD177" si="243">IFERROR(AC73/AC127,"")</f>
        <v/>
      </c>
      <c r="AD173" s="8" t="str">
        <f t="shared" si="243"/>
        <v/>
      </c>
      <c r="AE173" s="8" t="str">
        <f>IFERROR(AE73/SUM($B127:INDEX($B127:$M127,$A$3)),"")</f>
        <v/>
      </c>
      <c r="AF173" s="8" t="str">
        <f>IFERROR(AF73/SUM(B127:D127),"")</f>
        <v/>
      </c>
      <c r="AG173" s="8" t="str">
        <f>IFERROR(AG73/SUM(E127:G127),"")</f>
        <v/>
      </c>
      <c r="AH173" s="8" t="str">
        <f>IFERROR(AH73/SUM(H127:J127),"")</f>
        <v/>
      </c>
      <c r="AI173" s="8" t="str">
        <f>IFERROR(AI73/SUM(K127:M127),"")</f>
        <v/>
      </c>
      <c r="AN173" s="8" t="str">
        <f t="shared" ref="AN173:AY173" si="244">IFERROR(AN141/AN158,"")</f>
        <v/>
      </c>
      <c r="AO173" s="8" t="str">
        <f t="shared" si="244"/>
        <v/>
      </c>
      <c r="AP173" s="8" t="str">
        <f t="shared" si="244"/>
        <v/>
      </c>
      <c r="AQ173" s="8" t="str">
        <f t="shared" si="244"/>
        <v/>
      </c>
      <c r="AR173" s="8" t="str">
        <f t="shared" si="244"/>
        <v/>
      </c>
      <c r="AS173" s="8" t="str">
        <f t="shared" si="244"/>
        <v/>
      </c>
      <c r="AT173" s="8" t="str">
        <f t="shared" si="244"/>
        <v/>
      </c>
      <c r="AU173" s="8" t="str">
        <f t="shared" si="244"/>
        <v/>
      </c>
      <c r="AV173" s="8" t="str">
        <f t="shared" si="244"/>
        <v/>
      </c>
      <c r="AW173" s="8" t="str">
        <f t="shared" si="244"/>
        <v/>
      </c>
      <c r="AX173" s="8" t="str">
        <f t="shared" si="244"/>
        <v/>
      </c>
      <c r="AY173" s="8" t="str">
        <f t="shared" si="244"/>
        <v/>
      </c>
      <c r="AZ173" s="8" t="str">
        <f t="shared" ref="AZ173:BD173" si="245">IFERROR(AZ141/AZ158,"")</f>
        <v/>
      </c>
      <c r="BA173" s="8" t="str">
        <f t="shared" si="245"/>
        <v/>
      </c>
      <c r="BB173" s="8" t="str">
        <f t="shared" si="245"/>
        <v/>
      </c>
      <c r="BC173" s="8" t="str">
        <f t="shared" si="245"/>
        <v/>
      </c>
      <c r="BD173" s="8" t="str">
        <f t="shared" si="245"/>
        <v/>
      </c>
    </row>
    <row r="174" spans="1:56" x14ac:dyDescent="0.25">
      <c r="A174" s="17" t="s">
        <v>122</v>
      </c>
      <c r="B174" s="8" t="str">
        <f t="shared" ref="B174:Y174" si="246">IFERROR(B142/B159,"")</f>
        <v/>
      </c>
      <c r="C174" s="8" t="str">
        <f t="shared" si="246"/>
        <v/>
      </c>
      <c r="D174" s="8" t="str">
        <f t="shared" si="246"/>
        <v/>
      </c>
      <c r="E174" s="8" t="str">
        <f t="shared" si="246"/>
        <v/>
      </c>
      <c r="F174" s="8" t="str">
        <f t="shared" si="246"/>
        <v/>
      </c>
      <c r="G174" s="8" t="str">
        <f t="shared" si="246"/>
        <v/>
      </c>
      <c r="H174" s="8" t="str">
        <f t="shared" si="246"/>
        <v/>
      </c>
      <c r="I174" s="8">
        <f t="shared" si="246"/>
        <v>27.358000000000001</v>
      </c>
      <c r="J174" s="8">
        <f t="shared" si="246"/>
        <v>46.540999999999997</v>
      </c>
      <c r="K174" s="8">
        <f t="shared" si="246"/>
        <v>83.195399999999992</v>
      </c>
      <c r="L174" s="8">
        <f t="shared" si="246"/>
        <v>75.939250000000001</v>
      </c>
      <c r="M174" s="8">
        <f t="shared" si="246"/>
        <v>103.89449999999999</v>
      </c>
      <c r="N174" s="8">
        <f t="shared" si="246"/>
        <v>65.491749999999996</v>
      </c>
      <c r="O174" s="8">
        <f t="shared" si="246"/>
        <v>59.630285714285712</v>
      </c>
      <c r="P174" s="8">
        <f t="shared" si="246"/>
        <v>33.107500000000002</v>
      </c>
      <c r="Q174" s="8">
        <f t="shared" si="246"/>
        <v>38.518833333333333</v>
      </c>
      <c r="R174" s="8">
        <f t="shared" si="246"/>
        <v>80.564000000000007</v>
      </c>
      <c r="S174" s="8">
        <f t="shared" si="246"/>
        <v>21.923000000000002</v>
      </c>
      <c r="T174" s="8">
        <f t="shared" si="246"/>
        <v>-18.986000000000001</v>
      </c>
      <c r="U174" s="8">
        <f t="shared" si="246"/>
        <v>0</v>
      </c>
      <c r="V174" s="8">
        <f t="shared" ref="V174:Y176" si="247">IFERROR(V142/V159,"")</f>
        <v>6.5277500000000002</v>
      </c>
      <c r="W174" s="8">
        <f t="shared" si="246"/>
        <v>-2.5235555555555553</v>
      </c>
      <c r="X174" s="8">
        <f t="shared" si="246"/>
        <v>16.601777777777777</v>
      </c>
      <c r="Y174" s="8">
        <f t="shared" si="246"/>
        <v>8.9871999999999996</v>
      </c>
      <c r="Z174" s="8">
        <f>IFERROR(Z74/SUM($N128:INDEX($N128:$Y128,$A$3)),"")</f>
        <v>4.0404040404040407E-2</v>
      </c>
      <c r="AA174" s="8">
        <f>IFERROR(AA74/SUM(N128:P128),"")</f>
        <v>0</v>
      </c>
      <c r="AB174" s="8">
        <f>IFERROR(AB74/SUM(Q128:S128),"")</f>
        <v>0</v>
      </c>
      <c r="AC174" s="8" t="str">
        <f t="shared" si="243"/>
        <v/>
      </c>
      <c r="AD174" s="8" t="str">
        <f t="shared" si="243"/>
        <v/>
      </c>
      <c r="AE174" s="8">
        <f>IFERROR(AE74/SUM($B128:INDEX($B128:$M128,$A$3)),"")</f>
        <v>7.6700434153400873E-2</v>
      </c>
      <c r="AF174" s="8">
        <f>IFERROR(AF74/SUM(B128:D128),"")</f>
        <v>0.2135593220338983</v>
      </c>
      <c r="AG174" s="8">
        <f>IFERROR(AG74/SUM(E128:G128),"")</f>
        <v>0.18855218855218855</v>
      </c>
      <c r="AH174" s="8">
        <f>IFERROR(AH74/SUM(H128:J128),"")</f>
        <v>0.14478114478114479</v>
      </c>
      <c r="AI174" s="8">
        <f>IFERROR(AI74/SUM(K128:M128),"")</f>
        <v>0</v>
      </c>
      <c r="AN174" s="8" t="str">
        <f t="shared" ref="AN174:AY174" si="248">IFERROR(AN142/AN159,"")</f>
        <v/>
      </c>
      <c r="AO174" s="8" t="str">
        <f t="shared" si="248"/>
        <v/>
      </c>
      <c r="AP174" s="8" t="str">
        <f t="shared" si="248"/>
        <v/>
      </c>
      <c r="AQ174" s="8" t="str">
        <f t="shared" si="248"/>
        <v/>
      </c>
      <c r="AR174" s="8" t="str">
        <f t="shared" si="248"/>
        <v/>
      </c>
      <c r="AS174" s="8" t="str">
        <f t="shared" si="248"/>
        <v/>
      </c>
      <c r="AT174" s="8" t="str">
        <f t="shared" si="248"/>
        <v/>
      </c>
      <c r="AU174" s="8" t="str">
        <f t="shared" si="248"/>
        <v/>
      </c>
      <c r="AV174" s="8" t="str">
        <f t="shared" si="248"/>
        <v/>
      </c>
      <c r="AW174" s="8" t="str">
        <f t="shared" si="248"/>
        <v/>
      </c>
      <c r="AX174" s="8" t="str">
        <f t="shared" si="248"/>
        <v/>
      </c>
      <c r="AY174" s="8" t="str">
        <f t="shared" si="248"/>
        <v/>
      </c>
      <c r="AZ174" s="8" t="str">
        <f t="shared" ref="AZ174:BD174" si="249">IFERROR(AZ142/AZ159,"")</f>
        <v/>
      </c>
      <c r="BA174" s="8" t="str">
        <f t="shared" si="249"/>
        <v/>
      </c>
      <c r="BB174" s="8" t="str">
        <f t="shared" si="249"/>
        <v/>
      </c>
      <c r="BC174" s="8" t="str">
        <f t="shared" si="249"/>
        <v/>
      </c>
      <c r="BD174" s="8" t="str">
        <f t="shared" si="249"/>
        <v/>
      </c>
    </row>
    <row r="175" spans="1:56" x14ac:dyDescent="0.25">
      <c r="A175" s="17" t="s">
        <v>123</v>
      </c>
      <c r="B175" s="8" t="str">
        <f t="shared" ref="B175:U175" si="250">IFERROR(B143/B160,"")</f>
        <v/>
      </c>
      <c r="C175" s="8" t="str">
        <f t="shared" si="250"/>
        <v/>
      </c>
      <c r="D175" s="8" t="str">
        <f t="shared" si="250"/>
        <v/>
      </c>
      <c r="E175" s="8" t="str">
        <f t="shared" si="250"/>
        <v/>
      </c>
      <c r="F175" s="8" t="str">
        <f t="shared" si="250"/>
        <v/>
      </c>
      <c r="G175" s="8" t="str">
        <f t="shared" si="250"/>
        <v/>
      </c>
      <c r="H175" s="8" t="str">
        <f t="shared" si="250"/>
        <v/>
      </c>
      <c r="I175" s="8" t="str">
        <f t="shared" si="250"/>
        <v/>
      </c>
      <c r="J175" s="8" t="str">
        <f t="shared" si="250"/>
        <v/>
      </c>
      <c r="K175" s="8" t="str">
        <f t="shared" si="250"/>
        <v/>
      </c>
      <c r="L175" s="8" t="str">
        <f t="shared" si="250"/>
        <v/>
      </c>
      <c r="M175" s="8" t="str">
        <f t="shared" si="250"/>
        <v/>
      </c>
      <c r="N175" s="8" t="str">
        <f t="shared" si="250"/>
        <v/>
      </c>
      <c r="O175" s="8" t="str">
        <f t="shared" si="250"/>
        <v/>
      </c>
      <c r="P175" s="8" t="str">
        <f t="shared" si="250"/>
        <v/>
      </c>
      <c r="Q175" s="8" t="str">
        <f t="shared" si="250"/>
        <v/>
      </c>
      <c r="R175" s="8" t="str">
        <f t="shared" si="250"/>
        <v/>
      </c>
      <c r="S175" s="8" t="str">
        <f t="shared" si="250"/>
        <v/>
      </c>
      <c r="T175" s="8">
        <f t="shared" si="250"/>
        <v>4.6116521739130434</v>
      </c>
      <c r="U175" s="8">
        <f t="shared" si="250"/>
        <v>9.0795427631578942</v>
      </c>
      <c r="V175" s="8">
        <f t="shared" si="242"/>
        <v>42.464323076923044</v>
      </c>
      <c r="W175" s="8">
        <f t="shared" si="242"/>
        <v>-0.35487499999999994</v>
      </c>
      <c r="X175" s="8">
        <f t="shared" si="242"/>
        <v>2.9297254901960783</v>
      </c>
      <c r="Y175" s="8">
        <f t="shared" si="242"/>
        <v>924.28099999999995</v>
      </c>
      <c r="Z175" s="8" t="s">
        <v>183</v>
      </c>
      <c r="AA175" s="8">
        <f>IFERROR(AA75/SUM(N129:P129),"")</f>
        <v>0.29681978798586572</v>
      </c>
      <c r="AB175" s="8">
        <f>IFERROR(AB75/SUM(Q129:S129),"")</f>
        <v>0.31588132635253052</v>
      </c>
      <c r="AC175" s="8">
        <f t="shared" si="243"/>
        <v>1.0246913580246915</v>
      </c>
      <c r="AD175" s="8">
        <f t="shared" si="243"/>
        <v>1.1296296296296295</v>
      </c>
      <c r="AE175" s="8">
        <f>IFERROR(AE75/SUM($B129:INDEX($B129:$M129,$A$3)),"")</f>
        <v>0.12078882497945768</v>
      </c>
      <c r="AF175" s="8">
        <f>IFERROR(AF75/SUM(B129:D129),"")</f>
        <v>0.26459143968871596</v>
      </c>
      <c r="AG175" s="8">
        <f>IFERROR(AG75/SUM(E129:G129),"")</f>
        <v>0.26375711574952559</v>
      </c>
      <c r="AH175" s="8">
        <f>IFERROR(AH75/SUM(H129:J129),"")</f>
        <v>0.29566854990583802</v>
      </c>
      <c r="AI175" s="8">
        <f>IFERROR(AI75/SUM(K129:M129),"")</f>
        <v>0.30357142857142855</v>
      </c>
      <c r="AN175" s="8">
        <f t="shared" ref="AN175:BD175" si="251">IFERROR(AN143/AN160,"")</f>
        <v>12.282070588235293</v>
      </c>
      <c r="AO175" s="8">
        <f t="shared" si="251"/>
        <v>14.276855614973259</v>
      </c>
      <c r="AP175" s="8">
        <f t="shared" si="251"/>
        <v>25.800612745098039</v>
      </c>
      <c r="AQ175" s="8">
        <f t="shared" si="251"/>
        <v>16.937638418079096</v>
      </c>
      <c r="AR175" s="8">
        <f t="shared" si="251"/>
        <v>15.189594594594594</v>
      </c>
      <c r="AS175" s="8">
        <f t="shared" si="251"/>
        <v>6.3949615384615388</v>
      </c>
      <c r="AT175" s="8">
        <f t="shared" si="251"/>
        <v>10.917737142857144</v>
      </c>
      <c r="AU175" s="8" t="str">
        <f t="shared" si="251"/>
        <v/>
      </c>
      <c r="AV175" s="8" t="str">
        <f t="shared" si="251"/>
        <v/>
      </c>
      <c r="AW175" s="8" t="str">
        <f t="shared" si="251"/>
        <v/>
      </c>
      <c r="AX175" s="8" t="str">
        <f t="shared" si="251"/>
        <v/>
      </c>
      <c r="AY175" s="8" t="str">
        <f t="shared" si="251"/>
        <v/>
      </c>
      <c r="AZ175" s="8">
        <f t="shared" si="251"/>
        <v>108.02041714285714</v>
      </c>
      <c r="BA175" s="8">
        <f t="shared" si="251"/>
        <v>49.122789215686268</v>
      </c>
      <c r="BB175" s="8">
        <f t="shared" si="251"/>
        <v>38.307252747252747</v>
      </c>
      <c r="BC175" s="8" t="str">
        <f t="shared" si="251"/>
        <v/>
      </c>
      <c r="BD175" s="8" t="str">
        <f t="shared" si="251"/>
        <v/>
      </c>
    </row>
    <row r="176" spans="1:56" x14ac:dyDescent="0.25">
      <c r="A176" s="17" t="s">
        <v>124</v>
      </c>
      <c r="B176" s="8" t="str">
        <f t="shared" ref="B176:U176" si="252">IFERROR(B144/B161,"")</f>
        <v/>
      </c>
      <c r="C176" s="8" t="str">
        <f t="shared" si="252"/>
        <v/>
      </c>
      <c r="D176" s="8" t="str">
        <f t="shared" si="252"/>
        <v/>
      </c>
      <c r="E176" s="8" t="str">
        <f t="shared" si="252"/>
        <v/>
      </c>
      <c r="F176" s="8" t="str">
        <f t="shared" si="252"/>
        <v/>
      </c>
      <c r="G176" s="8" t="str">
        <f t="shared" si="252"/>
        <v/>
      </c>
      <c r="H176" s="8" t="str">
        <f t="shared" si="252"/>
        <v/>
      </c>
      <c r="I176" s="8" t="str">
        <f t="shared" si="252"/>
        <v/>
      </c>
      <c r="J176" s="8" t="str">
        <f t="shared" si="252"/>
        <v/>
      </c>
      <c r="K176" s="8" t="str">
        <f t="shared" si="252"/>
        <v/>
      </c>
      <c r="L176" s="8" t="str">
        <f t="shared" si="252"/>
        <v/>
      </c>
      <c r="M176" s="8" t="str">
        <f t="shared" si="252"/>
        <v/>
      </c>
      <c r="N176" s="8" t="str">
        <f t="shared" si="252"/>
        <v/>
      </c>
      <c r="O176" s="8" t="str">
        <f t="shared" si="252"/>
        <v/>
      </c>
      <c r="P176" s="8" t="str">
        <f t="shared" si="252"/>
        <v/>
      </c>
      <c r="Q176" s="8" t="str">
        <f t="shared" si="252"/>
        <v/>
      </c>
      <c r="R176" s="8" t="str">
        <f t="shared" si="252"/>
        <v/>
      </c>
      <c r="S176" s="8" t="str">
        <f t="shared" si="252"/>
        <v/>
      </c>
      <c r="T176" s="8">
        <f t="shared" si="252"/>
        <v>20.457999999999998</v>
      </c>
      <c r="U176" s="8">
        <f t="shared" si="252"/>
        <v>12.5978125</v>
      </c>
      <c r="V176" s="8">
        <f t="shared" si="247"/>
        <v>12.597812500000002</v>
      </c>
      <c r="W176" s="8">
        <f t="shared" si="247"/>
        <v>518.05577777777773</v>
      </c>
      <c r="X176" s="8">
        <f t="shared" si="247"/>
        <v>410.30012500000004</v>
      </c>
      <c r="Y176" s="8">
        <f t="shared" si="247"/>
        <v>3.6537277227722771</v>
      </c>
      <c r="Z176" s="8" t="str">
        <f>IFERROR(Z76/SUM($N130:INDEX($N130:$Y130,$A$3)),"")</f>
        <v/>
      </c>
      <c r="AA176" s="8" t="str">
        <f>IFERROR(AA76/SUM(N130:P130),"")</f>
        <v/>
      </c>
      <c r="AB176" s="8" t="str">
        <f>IFERROR(AB76/SUM(Q130:S130),"")</f>
        <v/>
      </c>
      <c r="AC176" s="8">
        <f t="shared" si="243"/>
        <v>1.0571428571428572</v>
      </c>
      <c r="AD176" s="8">
        <f t="shared" si="243"/>
        <v>1.4428571428571428</v>
      </c>
      <c r="AE176" s="8" t="str">
        <f>IFERROR(AE76/SUM($B130:INDEX($B130:$M130,$A$3)),"")</f>
        <v/>
      </c>
      <c r="AF176" s="8" t="str">
        <f>IFERROR(AF76/SUM(B130:D130),"")</f>
        <v/>
      </c>
      <c r="AG176" s="8" t="str">
        <f>IFERROR(AG76/SUM(E130:G130),"")</f>
        <v/>
      </c>
      <c r="AH176" s="8" t="str">
        <f>IFERROR(AH76/SUM(H130:J130),"")</f>
        <v/>
      </c>
      <c r="AI176" s="8" t="str">
        <f>IFERROR(AI76/SUM(K130:M130),"")</f>
        <v/>
      </c>
      <c r="AN176" s="8">
        <f t="shared" ref="AN176:BD176" si="253">IFERROR(AN144/AN161,"")</f>
        <v>12.527833333333334</v>
      </c>
      <c r="AO176" s="8">
        <f t="shared" si="253"/>
        <v>20.459333333333337</v>
      </c>
      <c r="AP176" s="8">
        <f t="shared" si="253"/>
        <v>50.881190476190469</v>
      </c>
      <c r="AQ176" s="8">
        <f t="shared" si="253"/>
        <v>53.683454545454545</v>
      </c>
      <c r="AR176" s="8">
        <f t="shared" si="253"/>
        <v>40.983095238095245</v>
      </c>
      <c r="AS176" s="8">
        <f t="shared" si="253"/>
        <v>12.529400000000001</v>
      </c>
      <c r="AT176" s="8">
        <f t="shared" si="253"/>
        <v>20.647230769230767</v>
      </c>
      <c r="AU176" s="8" t="str">
        <f t="shared" si="253"/>
        <v/>
      </c>
      <c r="AV176" s="8" t="str">
        <f t="shared" si="253"/>
        <v/>
      </c>
      <c r="AW176" s="8" t="str">
        <f t="shared" si="253"/>
        <v/>
      </c>
      <c r="AX176" s="8" t="str">
        <f t="shared" si="253"/>
        <v/>
      </c>
      <c r="AY176" s="8" t="str">
        <f t="shared" si="253"/>
        <v/>
      </c>
      <c r="AZ176" s="8">
        <f t="shared" si="253"/>
        <v>320.12146153846152</v>
      </c>
      <c r="BA176" s="8">
        <f t="shared" si="253"/>
        <v>76.233142857142852</v>
      </c>
      <c r="BB176" s="8">
        <f t="shared" si="253"/>
        <v>114.61345000000001</v>
      </c>
      <c r="BC176" s="8" t="str">
        <f t="shared" si="253"/>
        <v/>
      </c>
      <c r="BD176" s="8" t="str">
        <f t="shared" si="253"/>
        <v/>
      </c>
    </row>
    <row r="177" spans="1:56" x14ac:dyDescent="0.25">
      <c r="A177" s="17" t="s">
        <v>211</v>
      </c>
      <c r="B177" s="8" t="str">
        <f t="shared" ref="B177:Y177" si="254">IFERROR(B145/B162,"")</f>
        <v/>
      </c>
      <c r="C177" s="8" t="str">
        <f t="shared" si="254"/>
        <v/>
      </c>
      <c r="D177" s="8" t="str">
        <f t="shared" si="254"/>
        <v/>
      </c>
      <c r="E177" s="8" t="str">
        <f t="shared" si="254"/>
        <v/>
      </c>
      <c r="F177" s="8" t="str">
        <f t="shared" si="254"/>
        <v/>
      </c>
      <c r="G177" s="8" t="str">
        <f t="shared" si="254"/>
        <v/>
      </c>
      <c r="H177" s="8" t="str">
        <f t="shared" si="254"/>
        <v/>
      </c>
      <c r="I177" s="8" t="str">
        <f t="shared" si="254"/>
        <v/>
      </c>
      <c r="J177" s="8" t="str">
        <f t="shared" si="254"/>
        <v/>
      </c>
      <c r="K177" s="8" t="str">
        <f t="shared" si="254"/>
        <v/>
      </c>
      <c r="L177" s="8" t="str">
        <f t="shared" si="254"/>
        <v/>
      </c>
      <c r="M177" s="8" t="str">
        <f t="shared" si="254"/>
        <v/>
      </c>
      <c r="N177" s="8" t="str">
        <f t="shared" si="254"/>
        <v/>
      </c>
      <c r="O177" s="8" t="str">
        <f t="shared" si="254"/>
        <v/>
      </c>
      <c r="P177" s="8" t="str">
        <f t="shared" si="254"/>
        <v/>
      </c>
      <c r="Q177" s="8" t="str">
        <f t="shared" si="254"/>
        <v/>
      </c>
      <c r="R177" s="8" t="str">
        <f t="shared" si="254"/>
        <v/>
      </c>
      <c r="S177" s="8" t="str">
        <f t="shared" si="254"/>
        <v/>
      </c>
      <c r="T177" s="8" t="str">
        <f t="shared" si="254"/>
        <v/>
      </c>
      <c r="U177" s="8" t="str">
        <f t="shared" si="254"/>
        <v/>
      </c>
      <c r="V177" s="8" t="str">
        <f t="shared" si="254"/>
        <v/>
      </c>
      <c r="W177" s="8" t="str">
        <f t="shared" si="254"/>
        <v/>
      </c>
      <c r="X177" s="8" t="str">
        <f t="shared" si="254"/>
        <v/>
      </c>
      <c r="Y177" s="8" t="str">
        <f t="shared" si="254"/>
        <v/>
      </c>
      <c r="Z177" s="8" t="s">
        <v>183</v>
      </c>
      <c r="AA177" s="8">
        <f>IFERROR(AA77/SUM(N131:P131),"")</f>
        <v>0.23859649122807017</v>
      </c>
      <c r="AB177" s="8">
        <f>IFERROR(AB77/SUM(Q131:S131),"")</f>
        <v>0.20701754385964913</v>
      </c>
      <c r="AC177" s="8" t="str">
        <f t="shared" si="243"/>
        <v/>
      </c>
      <c r="AD177" s="8" t="str">
        <f t="shared" si="243"/>
        <v/>
      </c>
      <c r="AE177" s="8">
        <f>IFERROR(AE77/SUM($B131:INDEX($B131:$M131,$A$3)),"")</f>
        <v>0.6071428571428571</v>
      </c>
      <c r="AF177" s="8" t="str">
        <f>IFERROR(AF77/SUM(B131:D131),"")</f>
        <v/>
      </c>
      <c r="AG177" s="8" t="str">
        <f>IFERROR(AG77/SUM(E131:G131),"")</f>
        <v/>
      </c>
      <c r="AH177" s="8">
        <f>IFERROR(AH77/SUM(H131:J131),"")</f>
        <v>0.3644859813084112</v>
      </c>
      <c r="AI177" s="8">
        <f>IFERROR(AI77/SUM(K131:M131),"")</f>
        <v>0.27719298245614032</v>
      </c>
      <c r="AN177" s="8" t="str">
        <f t="shared" ref="AN177:BD177" si="255">IFERROR(AN145/AN162,"")</f>
        <v/>
      </c>
      <c r="AO177" s="8" t="str">
        <f t="shared" si="255"/>
        <v/>
      </c>
      <c r="AP177" s="8">
        <f t="shared" si="255"/>
        <v>51.948999999999998</v>
      </c>
      <c r="AQ177" s="8">
        <f t="shared" si="255"/>
        <v>27.479359999999996</v>
      </c>
      <c r="AR177" s="8">
        <f t="shared" si="255"/>
        <v>19.132638888888891</v>
      </c>
      <c r="AS177" s="8">
        <f t="shared" si="255"/>
        <v>32.934052631578943</v>
      </c>
      <c r="AT177" s="8">
        <f t="shared" si="255"/>
        <v>13.821117647058824</v>
      </c>
      <c r="AU177" s="8" t="str">
        <f t="shared" si="255"/>
        <v/>
      </c>
      <c r="AV177" s="8" t="str">
        <f t="shared" si="255"/>
        <v/>
      </c>
      <c r="AW177" s="8" t="str">
        <f t="shared" si="255"/>
        <v/>
      </c>
      <c r="AX177" s="8" t="str">
        <f t="shared" si="255"/>
        <v/>
      </c>
      <c r="AY177" s="8" t="str">
        <f t="shared" si="255"/>
        <v/>
      </c>
      <c r="AZ177" s="8">
        <f t="shared" si="255"/>
        <v>112.48402941176471</v>
      </c>
      <c r="BA177" s="8">
        <f t="shared" si="255"/>
        <v>51.948999999999998</v>
      </c>
      <c r="BB177" s="8">
        <f t="shared" si="255"/>
        <v>69.138236842105258</v>
      </c>
      <c r="BC177" s="8" t="str">
        <f t="shared" si="255"/>
        <v/>
      </c>
      <c r="BD177" s="8" t="str">
        <f t="shared" si="255"/>
        <v/>
      </c>
    </row>
    <row r="178" spans="1:56" x14ac:dyDescent="0.25">
      <c r="A178" s="17" t="s">
        <v>212</v>
      </c>
      <c r="B178" s="8" t="str">
        <f t="shared" ref="B178:Y178" si="256">IFERROR(B146/B163,"")</f>
        <v/>
      </c>
      <c r="C178" s="8" t="str">
        <f t="shared" si="256"/>
        <v/>
      </c>
      <c r="D178" s="8" t="str">
        <f t="shared" si="256"/>
        <v/>
      </c>
      <c r="E178" s="8" t="str">
        <f t="shared" si="256"/>
        <v/>
      </c>
      <c r="F178" s="8" t="str">
        <f t="shared" si="256"/>
        <v/>
      </c>
      <c r="G178" s="8" t="str">
        <f t="shared" si="256"/>
        <v/>
      </c>
      <c r="H178" s="8" t="str">
        <f t="shared" si="256"/>
        <v/>
      </c>
      <c r="I178" s="8" t="str">
        <f t="shared" si="256"/>
        <v/>
      </c>
      <c r="J178" s="8" t="str">
        <f t="shared" si="256"/>
        <v/>
      </c>
      <c r="K178" s="8" t="str">
        <f t="shared" si="256"/>
        <v/>
      </c>
      <c r="L178" s="8" t="str">
        <f t="shared" si="256"/>
        <v/>
      </c>
      <c r="M178" s="8" t="str">
        <f t="shared" si="256"/>
        <v/>
      </c>
      <c r="N178" s="8" t="str">
        <f t="shared" si="256"/>
        <v/>
      </c>
      <c r="O178" s="8" t="str">
        <f t="shared" si="256"/>
        <v/>
      </c>
      <c r="P178" s="8" t="str">
        <f t="shared" si="256"/>
        <v/>
      </c>
      <c r="Q178" s="8" t="str">
        <f t="shared" si="256"/>
        <v/>
      </c>
      <c r="R178" s="8" t="str">
        <f t="shared" si="256"/>
        <v/>
      </c>
      <c r="S178" s="8" t="str">
        <f t="shared" si="256"/>
        <v/>
      </c>
      <c r="T178" s="8" t="str">
        <f t="shared" si="256"/>
        <v/>
      </c>
      <c r="U178" s="8" t="str">
        <f t="shared" si="256"/>
        <v/>
      </c>
      <c r="V178" s="8" t="str">
        <f t="shared" si="256"/>
        <v/>
      </c>
      <c r="W178" s="8" t="str">
        <f t="shared" si="256"/>
        <v/>
      </c>
      <c r="X178" s="8" t="str">
        <f t="shared" si="256"/>
        <v/>
      </c>
      <c r="Y178" s="8" t="str">
        <f t="shared" si="256"/>
        <v/>
      </c>
      <c r="Z178" s="8" t="str">
        <f>IFERROR(Z79/SUM($N132:INDEX($N132:$Y132,$A$3)),"")</f>
        <v/>
      </c>
      <c r="AA178" s="8" t="str">
        <f>IFERROR(AA79/SUM(N132:P132),"")</f>
        <v/>
      </c>
      <c r="AB178" s="8" t="str">
        <f>IFERROR(AB79/SUM(Q132:S132),"")</f>
        <v/>
      </c>
      <c r="AC178" s="8" t="str">
        <f t="shared" ref="AC178:AD180" si="257">IFERROR(AC79/AC132,"")</f>
        <v/>
      </c>
      <c r="AD178" s="8" t="str">
        <f t="shared" si="257"/>
        <v/>
      </c>
      <c r="AE178" s="8" t="str">
        <f>IFERROR(AE79/SUM($B132:INDEX($B132:$M132,$A$3)),"")</f>
        <v/>
      </c>
      <c r="AF178" s="8" t="str">
        <f>IFERROR(AF79/SUM(B132:D132),"")</f>
        <v/>
      </c>
      <c r="AG178" s="8" t="str">
        <f>IFERROR(AG79/SUM(E132:G132),"")</f>
        <v/>
      </c>
      <c r="AH178" s="8" t="str">
        <f>IFERROR(AH79/SUM(H132:J132),"")</f>
        <v/>
      </c>
      <c r="AI178" s="8" t="str">
        <f>IFERROR(AI79/SUM(K132:M132),"")</f>
        <v/>
      </c>
      <c r="AN178" s="8" t="str">
        <f t="shared" ref="AN178:BD178" si="258">IFERROR(AN146/AN163,"")</f>
        <v/>
      </c>
      <c r="AO178" s="8" t="str">
        <f t="shared" si="258"/>
        <v/>
      </c>
      <c r="AP178" s="8">
        <f t="shared" si="258"/>
        <v>0</v>
      </c>
      <c r="AQ178" s="8">
        <f t="shared" si="258"/>
        <v>52.661000000000001</v>
      </c>
      <c r="AR178" s="8">
        <f t="shared" si="258"/>
        <v>70.997666666666674</v>
      </c>
      <c r="AS178" s="8">
        <f t="shared" si="258"/>
        <v>39.309666666666665</v>
      </c>
      <c r="AT178" s="8">
        <f t="shared" si="258"/>
        <v>34.902999999999999</v>
      </c>
      <c r="AU178" s="8" t="str">
        <f t="shared" si="258"/>
        <v/>
      </c>
      <c r="AV178" s="8" t="str">
        <f t="shared" si="258"/>
        <v/>
      </c>
      <c r="AW178" s="8" t="str">
        <f t="shared" si="258"/>
        <v/>
      </c>
      <c r="AX178" s="8" t="str">
        <f t="shared" si="258"/>
        <v/>
      </c>
      <c r="AY178" s="8" t="str">
        <f t="shared" si="258"/>
        <v/>
      </c>
      <c r="AZ178" s="8">
        <f t="shared" si="258"/>
        <v>157.12924999999998</v>
      </c>
      <c r="BA178" s="8">
        <f t="shared" si="258"/>
        <v>0</v>
      </c>
      <c r="BB178" s="8">
        <f t="shared" si="258"/>
        <v>162.96833333333333</v>
      </c>
      <c r="BC178" s="8" t="str">
        <f t="shared" si="258"/>
        <v/>
      </c>
      <c r="BD178" s="8" t="str">
        <f t="shared" si="258"/>
        <v/>
      </c>
    </row>
    <row r="179" spans="1:56" x14ac:dyDescent="0.25">
      <c r="A179" s="17" t="s">
        <v>202</v>
      </c>
      <c r="B179" s="8" t="str">
        <f t="shared" ref="B179:Y179" si="259">IFERROR(B147/B164,"")</f>
        <v/>
      </c>
      <c r="C179" s="8" t="str">
        <f t="shared" si="259"/>
        <v/>
      </c>
      <c r="D179" s="8" t="str">
        <f t="shared" si="259"/>
        <v/>
      </c>
      <c r="E179" s="8" t="str">
        <f t="shared" si="259"/>
        <v/>
      </c>
      <c r="F179" s="8" t="str">
        <f t="shared" si="259"/>
        <v/>
      </c>
      <c r="G179" s="8" t="str">
        <f t="shared" si="259"/>
        <v/>
      </c>
      <c r="H179" s="8" t="str">
        <f t="shared" si="259"/>
        <v/>
      </c>
      <c r="I179" s="8" t="str">
        <f t="shared" si="259"/>
        <v/>
      </c>
      <c r="J179" s="8" t="str">
        <f t="shared" si="259"/>
        <v/>
      </c>
      <c r="K179" s="8" t="str">
        <f t="shared" si="259"/>
        <v/>
      </c>
      <c r="L179" s="8" t="str">
        <f t="shared" si="259"/>
        <v/>
      </c>
      <c r="M179" s="8" t="str">
        <f t="shared" si="259"/>
        <v/>
      </c>
      <c r="N179" s="8" t="str">
        <f t="shared" si="259"/>
        <v/>
      </c>
      <c r="O179" s="8" t="str">
        <f t="shared" si="259"/>
        <v/>
      </c>
      <c r="P179" s="8" t="str">
        <f t="shared" si="259"/>
        <v/>
      </c>
      <c r="Q179" s="8" t="str">
        <f t="shared" si="259"/>
        <v/>
      </c>
      <c r="R179" s="8" t="str">
        <f t="shared" si="259"/>
        <v/>
      </c>
      <c r="S179" s="8" t="str">
        <f t="shared" si="259"/>
        <v/>
      </c>
      <c r="T179" s="8" t="str">
        <f t="shared" si="259"/>
        <v/>
      </c>
      <c r="U179" s="8" t="str">
        <f t="shared" si="259"/>
        <v/>
      </c>
      <c r="V179" s="8" t="str">
        <f t="shared" si="259"/>
        <v/>
      </c>
      <c r="W179" s="8" t="str">
        <f t="shared" si="259"/>
        <v/>
      </c>
      <c r="X179" s="8" t="str">
        <f t="shared" si="259"/>
        <v/>
      </c>
      <c r="Y179" s="8" t="str">
        <f t="shared" si="259"/>
        <v/>
      </c>
      <c r="Z179" s="8" t="s">
        <v>183</v>
      </c>
      <c r="AA179" s="8" t="str">
        <f>IFERROR(AA80/SUM(N133:P133),"")</f>
        <v/>
      </c>
      <c r="AB179" s="8" t="str">
        <f>IFERROR(AB80/SUM(Q133:S133),"")</f>
        <v/>
      </c>
      <c r="AC179" s="8" t="str">
        <f t="shared" si="257"/>
        <v/>
      </c>
      <c r="AD179" s="8" t="str">
        <f t="shared" si="257"/>
        <v/>
      </c>
      <c r="AE179" s="8" t="str">
        <f>IFERROR(AE80/SUM($B133:INDEX($B133:$M133,$A$3)),"")</f>
        <v/>
      </c>
      <c r="AF179" s="8" t="str">
        <f>IFERROR(AF80/SUM(B133:D133),"")</f>
        <v/>
      </c>
      <c r="AG179" s="8" t="str">
        <f>IFERROR(AG80/SUM(E133:G133),"")</f>
        <v/>
      </c>
      <c r="AH179" s="8" t="str">
        <f>IFERROR(AH80/SUM(H133:J133),"")</f>
        <v/>
      </c>
      <c r="AI179" s="8" t="str">
        <f>IFERROR(AI80/SUM(K133:M133),"")</f>
        <v/>
      </c>
      <c r="AN179" s="8">
        <f t="shared" ref="AN179:BD179" si="260">IFERROR(AN147/AN164,"")</f>
        <v>5.6576666666666666</v>
      </c>
      <c r="AO179" s="8">
        <f t="shared" si="260"/>
        <v>14.233666666666666</v>
      </c>
      <c r="AP179" s="8">
        <f t="shared" si="260"/>
        <v>5.3722222222222227</v>
      </c>
      <c r="AQ179" s="8">
        <f t="shared" si="260"/>
        <v>12.337125</v>
      </c>
      <c r="AR179" s="8">
        <f t="shared" si="260"/>
        <v>3.0779565217391309</v>
      </c>
      <c r="AS179" s="8">
        <f t="shared" si="260"/>
        <v>2.3205499999999999</v>
      </c>
      <c r="AT179" s="8">
        <f t="shared" si="260"/>
        <v>3.2511428571428573</v>
      </c>
      <c r="AU179" s="8" t="str">
        <f t="shared" si="260"/>
        <v/>
      </c>
      <c r="AV179" s="8" t="str">
        <f t="shared" si="260"/>
        <v/>
      </c>
      <c r="AW179" s="8" t="str">
        <f t="shared" si="260"/>
        <v/>
      </c>
      <c r="AX179" s="8" t="str">
        <f t="shared" si="260"/>
        <v/>
      </c>
      <c r="AY179" s="8" t="str">
        <f t="shared" si="260"/>
        <v/>
      </c>
      <c r="AZ179" s="8">
        <f t="shared" si="260"/>
        <v>21.517761904761905</v>
      </c>
      <c r="BA179" s="8">
        <f t="shared" si="260"/>
        <v>18.633111111111113</v>
      </c>
      <c r="BB179" s="8">
        <f t="shared" si="260"/>
        <v>10.79505</v>
      </c>
      <c r="BC179" s="8" t="str">
        <f t="shared" si="260"/>
        <v/>
      </c>
      <c r="BD179" s="8" t="str">
        <f t="shared" si="260"/>
        <v/>
      </c>
    </row>
    <row r="180" spans="1:56" x14ac:dyDescent="0.25">
      <c r="A180" s="17" t="s">
        <v>203</v>
      </c>
      <c r="B180" s="8" t="str">
        <f t="shared" ref="B180:Y180" si="261">IFERROR(B148/B165,"")</f>
        <v/>
      </c>
      <c r="C180" s="8" t="str">
        <f t="shared" si="261"/>
        <v/>
      </c>
      <c r="D180" s="8" t="str">
        <f t="shared" si="261"/>
        <v/>
      </c>
      <c r="E180" s="8" t="str">
        <f t="shared" si="261"/>
        <v/>
      </c>
      <c r="F180" s="8" t="str">
        <f t="shared" si="261"/>
        <v/>
      </c>
      <c r="G180" s="8" t="str">
        <f t="shared" si="261"/>
        <v/>
      </c>
      <c r="H180" s="8" t="str">
        <f t="shared" si="261"/>
        <v/>
      </c>
      <c r="I180" s="8" t="str">
        <f t="shared" si="261"/>
        <v/>
      </c>
      <c r="J180" s="8" t="str">
        <f t="shared" si="261"/>
        <v/>
      </c>
      <c r="K180" s="8" t="str">
        <f t="shared" si="261"/>
        <v/>
      </c>
      <c r="L180" s="8" t="str">
        <f t="shared" si="261"/>
        <v/>
      </c>
      <c r="M180" s="8" t="str">
        <f t="shared" si="261"/>
        <v/>
      </c>
      <c r="N180" s="8" t="str">
        <f t="shared" si="261"/>
        <v/>
      </c>
      <c r="O180" s="8" t="str">
        <f t="shared" si="261"/>
        <v/>
      </c>
      <c r="P180" s="8" t="str">
        <f t="shared" si="261"/>
        <v/>
      </c>
      <c r="Q180" s="8" t="str">
        <f t="shared" si="261"/>
        <v/>
      </c>
      <c r="R180" s="8" t="str">
        <f t="shared" si="261"/>
        <v/>
      </c>
      <c r="S180" s="8" t="str">
        <f t="shared" si="261"/>
        <v/>
      </c>
      <c r="T180" s="8" t="str">
        <f t="shared" si="261"/>
        <v/>
      </c>
      <c r="U180" s="8" t="str">
        <f t="shared" si="261"/>
        <v/>
      </c>
      <c r="V180" s="8" t="str">
        <f t="shared" si="261"/>
        <v/>
      </c>
      <c r="W180" s="8" t="str">
        <f t="shared" si="261"/>
        <v/>
      </c>
      <c r="X180" s="8" t="str">
        <f t="shared" si="261"/>
        <v/>
      </c>
      <c r="Y180" s="8" t="str">
        <f t="shared" si="261"/>
        <v/>
      </c>
      <c r="Z180" s="8">
        <f>IFERROR(Z81/SUM($N134:INDEX($N134:$Y134,$A$3)),"")</f>
        <v>0</v>
      </c>
      <c r="AA180" s="8">
        <f>IFERROR(AA81/SUM(N134:P134),"")</f>
        <v>0</v>
      </c>
      <c r="AB180" s="8">
        <f>IFERROR(AB81/SUM(Q134:S134),"")</f>
        <v>0</v>
      </c>
      <c r="AC180" s="8">
        <f t="shared" si="257"/>
        <v>0</v>
      </c>
      <c r="AD180" s="8">
        <f t="shared" si="257"/>
        <v>0</v>
      </c>
      <c r="AE180" s="8">
        <f>IFERROR(AE81/SUM($B134:INDEX($B134:$M134,$A$3)),"")</f>
        <v>0</v>
      </c>
      <c r="AF180" s="8">
        <f>IFERROR(AF81/SUM(B134:D134),"")</f>
        <v>0</v>
      </c>
      <c r="AG180" s="8">
        <f>IFERROR(AG81/SUM(E134:G134),"")</f>
        <v>0</v>
      </c>
      <c r="AH180" s="8">
        <f>IFERROR(AH81/SUM(H134:J134),"")</f>
        <v>0</v>
      </c>
      <c r="AI180" s="8">
        <f>IFERROR(AI81/SUM(K134:M134),"")</f>
        <v>0</v>
      </c>
      <c r="AN180" s="8"/>
      <c r="AO180" s="8">
        <f t="shared" ref="AO180:BD180" si="262">IFERROR(AO148/AO165,"")</f>
        <v>25.3126</v>
      </c>
      <c r="AP180" s="8">
        <f t="shared" si="262"/>
        <v>40.127714285714283</v>
      </c>
      <c r="AQ180" s="8">
        <f t="shared" si="262"/>
        <v>44.180399999999999</v>
      </c>
      <c r="AR180" s="8">
        <f t="shared" si="262"/>
        <v>38.581714285714284</v>
      </c>
      <c r="AS180" s="8" t="str">
        <f t="shared" si="262"/>
        <v/>
      </c>
      <c r="AT180" s="8">
        <f t="shared" si="262"/>
        <v>12.711124999999999</v>
      </c>
      <c r="AU180" s="8" t="str">
        <f t="shared" si="262"/>
        <v/>
      </c>
      <c r="AV180" s="8" t="str">
        <f t="shared" si="262"/>
        <v/>
      </c>
      <c r="AW180" s="8" t="str">
        <f t="shared" si="262"/>
        <v/>
      </c>
      <c r="AX180" s="8" t="str">
        <f t="shared" si="262"/>
        <v/>
      </c>
      <c r="AY180" s="8" t="str">
        <f t="shared" si="262"/>
        <v/>
      </c>
      <c r="AZ180" s="8">
        <f t="shared" si="262"/>
        <v>130.60512499999999</v>
      </c>
      <c r="BA180" s="8">
        <f t="shared" si="262"/>
        <v>58.208142857142853</v>
      </c>
      <c r="BB180" s="8" t="str">
        <f t="shared" si="262"/>
        <v/>
      </c>
      <c r="BC180" s="8" t="str">
        <f t="shared" si="262"/>
        <v/>
      </c>
      <c r="BD180" s="8" t="str">
        <f t="shared" si="262"/>
        <v/>
      </c>
    </row>
    <row r="181" spans="1:56" x14ac:dyDescent="0.25">
      <c r="A181" s="148" t="s">
        <v>125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>
        <f>SUM(M137,M139,M141,M147)/SUM(M154,M156,M158,M164)</f>
        <v>82.164136563876653</v>
      </c>
      <c r="N181" s="8">
        <f t="shared" ref="N181:S181" si="263">SUM(N137,N139,N141,N147)/SUM(N154,N156,N158,N164)</f>
        <v>27.612269911504427</v>
      </c>
      <c r="O181" s="8">
        <f t="shared" si="263"/>
        <v>23.749302702702703</v>
      </c>
      <c r="P181" s="8">
        <f t="shared" si="263"/>
        <v>49.088900552486187</v>
      </c>
      <c r="Q181" s="8">
        <f t="shared" si="263"/>
        <v>42.728849462365595</v>
      </c>
      <c r="R181" s="8">
        <f t="shared" si="263"/>
        <v>53.987867403314858</v>
      </c>
      <c r="S181" s="8">
        <f t="shared" si="263"/>
        <v>55.353510638297877</v>
      </c>
      <c r="T181" s="8">
        <f>SUM(T137,T139,T141,T143,T145,T147)/SUM(T154,T156,T158,T160,T162,T164)</f>
        <v>25.738046357615897</v>
      </c>
      <c r="U181" s="8">
        <f t="shared" ref="U181:Y181" si="264">SUM(U137,U139,U141,U143,U145,U147)/SUM(U154,U156,U158,U160,U162,U164)</f>
        <v>16.342057971014494</v>
      </c>
      <c r="V181" s="8">
        <f t="shared" si="264"/>
        <v>50.757700854700836</v>
      </c>
      <c r="W181" s="8">
        <f t="shared" si="264"/>
        <v>45.937471482889727</v>
      </c>
      <c r="X181" s="8">
        <f t="shared" si="264"/>
        <v>30.135808000000004</v>
      </c>
      <c r="Y181" s="8">
        <f t="shared" si="264"/>
        <v>133.35611999999998</v>
      </c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N181" s="8">
        <f t="shared" ref="AN181:AO181" si="265">SUM(AN137,AN139,AN141,AN143,AN145,AN147)/SUM(AN154,AN156,AN158,AN160,AN162,AN164)</f>
        <v>24.345255663430425</v>
      </c>
      <c r="AO181" s="8">
        <f t="shared" si="265"/>
        <v>42.363748466257661</v>
      </c>
      <c r="AP181" s="8">
        <f>IFERROR(SUM(AP137,AP139,AP141,AP143,AP145,AP147)/SUM(AP154,AP156,AP158,AP160,AP162,AP164),"")</f>
        <v>57.894720116618075</v>
      </c>
      <c r="AQ181" s="8">
        <f t="shared" ref="AQ181:AY181" si="266">IFERROR(SUM(AQ137,AQ139,AQ141,AQ143,AQ145,AQ147)/SUM(AQ154,AQ156,AQ158,AQ160,AQ162,AQ164),"")</f>
        <v>39.492709375000004</v>
      </c>
      <c r="AR181" s="8">
        <f t="shared" si="266"/>
        <v>28.580240409207164</v>
      </c>
      <c r="AS181" s="8">
        <f t="shared" si="266"/>
        <v>23.350113801452789</v>
      </c>
      <c r="AT181" s="8">
        <f t="shared" si="266"/>
        <v>28.089562674094704</v>
      </c>
      <c r="AU181" s="8" t="str">
        <f t="shared" si="266"/>
        <v/>
      </c>
      <c r="AV181" s="8" t="str">
        <f t="shared" si="266"/>
        <v/>
      </c>
      <c r="AW181" s="8" t="str">
        <f t="shared" si="266"/>
        <v/>
      </c>
      <c r="AX181" s="8" t="str">
        <f t="shared" si="266"/>
        <v/>
      </c>
      <c r="AY181" s="8" t="str">
        <f t="shared" si="266"/>
        <v/>
      </c>
      <c r="AZ181" s="8"/>
      <c r="BA181" s="8"/>
      <c r="BB181" s="8"/>
      <c r="BC181" s="8"/>
      <c r="BD181" s="8"/>
    </row>
    <row r="182" spans="1:56" x14ac:dyDescent="0.25">
      <c r="A182" s="148" t="s">
        <v>126</v>
      </c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>
        <f t="shared" ref="M182:S182" si="267">SUM(M138,M140,M142,M148)/SUM(M155,M157,M159,M165)</f>
        <v>94.836636363636359</v>
      </c>
      <c r="N182" s="8">
        <f t="shared" si="267"/>
        <v>59.346521739130424</v>
      </c>
      <c r="O182" s="8">
        <f t="shared" si="267"/>
        <v>97.308017241379318</v>
      </c>
      <c r="P182" s="8">
        <f t="shared" si="267"/>
        <v>118.86896363636383</v>
      </c>
      <c r="Q182" s="8">
        <f t="shared" si="267"/>
        <v>85.649927272727453</v>
      </c>
      <c r="R182" s="8">
        <f t="shared" si="267"/>
        <v>122.89840384615364</v>
      </c>
      <c r="S182" s="8">
        <f t="shared" si="267"/>
        <v>115.15796153846154</v>
      </c>
      <c r="T182" s="8">
        <f>SUM(T138,T140,T142,T144,T146,T148)/SUM(T155,T157,T159,T161,T163,T165)</f>
        <v>91.155232142856974</v>
      </c>
      <c r="U182" s="8">
        <f t="shared" ref="U182:Y182" si="268">SUM(U138,U140,U142,U144,U146,U148)/SUM(U155,U157,U159,U161,U163,U165)</f>
        <v>48.925234939758973</v>
      </c>
      <c r="V182" s="8">
        <f t="shared" si="268"/>
        <v>87.392893617021329</v>
      </c>
      <c r="W182" s="8">
        <f t="shared" si="268"/>
        <v>121.96459493670885</v>
      </c>
      <c r="X182" s="8">
        <f t="shared" si="268"/>
        <v>116.26514102564103</v>
      </c>
      <c r="Y182" s="8">
        <f t="shared" si="268"/>
        <v>38.920861003861006</v>
      </c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N182" s="8">
        <f t="shared" ref="AN182:AO182" si="269">SUM(AN138,AN140,AN142,AN144,AN146,AN148)/SUM(AN155,AN157,AN159,AN161,AN163,AN165)</f>
        <v>62.741838235294125</v>
      </c>
      <c r="AO182" s="8">
        <f t="shared" si="269"/>
        <v>115.24821739130434</v>
      </c>
      <c r="AP182" s="8">
        <f>IFERROR(SUM(AP138,AP140,AP142,AP144,AP146,AP148)/SUM(AP155,AP157,AP159,AP161,AP163,AP165),"")</f>
        <v>95.143555555555565</v>
      </c>
      <c r="AQ182" s="8">
        <f t="shared" ref="AQ182:AY182" si="270">IFERROR(SUM(AQ138,AQ140,AQ142,AQ144,AQ146,AQ148)/SUM(AQ155,AQ157,AQ159,AQ161,AQ163,AQ165),"")</f>
        <v>108.87936458333336</v>
      </c>
      <c r="AR182" s="8">
        <f t="shared" si="270"/>
        <v>106.01940384615385</v>
      </c>
      <c r="AS182" s="8">
        <f t="shared" si="270"/>
        <v>74.900619565217383</v>
      </c>
      <c r="AT182" s="8">
        <f t="shared" si="270"/>
        <v>83.270257425742571</v>
      </c>
      <c r="AU182" s="8" t="str">
        <f t="shared" si="270"/>
        <v/>
      </c>
      <c r="AV182" s="8" t="str">
        <f t="shared" si="270"/>
        <v/>
      </c>
      <c r="AW182" s="8" t="str">
        <f t="shared" si="270"/>
        <v/>
      </c>
      <c r="AX182" s="8" t="str">
        <f t="shared" si="270"/>
        <v/>
      </c>
      <c r="AY182" s="8" t="str">
        <f t="shared" si="270"/>
        <v/>
      </c>
      <c r="AZ182" s="8"/>
      <c r="BA182" s="8"/>
      <c r="BB182" s="8"/>
      <c r="BC182" s="8"/>
      <c r="BD182" s="8"/>
    </row>
    <row r="183" spans="1:56" x14ac:dyDescent="0.25">
      <c r="B183" s="12">
        <f t="shared" ref="B183:Y183" si="271">IFERROR(B149/B166,"")</f>
        <v>28.000081967213116</v>
      </c>
      <c r="C183" s="12">
        <f t="shared" si="271"/>
        <v>16.352476439790578</v>
      </c>
      <c r="D183" s="12">
        <f t="shared" si="271"/>
        <v>46.601291457286486</v>
      </c>
      <c r="E183" s="12">
        <f t="shared" si="271"/>
        <v>40.463202898550776</v>
      </c>
      <c r="F183" s="12">
        <f t="shared" si="271"/>
        <v>38.211194999999996</v>
      </c>
      <c r="G183" s="12">
        <f t="shared" si="271"/>
        <v>53.554338461538457</v>
      </c>
      <c r="H183" s="12">
        <f t="shared" si="271"/>
        <v>46.204497695852581</v>
      </c>
      <c r="I183" s="12">
        <f t="shared" si="271"/>
        <v>38.272064516129028</v>
      </c>
      <c r="J183" s="12">
        <f t="shared" si="271"/>
        <v>50.542422594142266</v>
      </c>
      <c r="K183" s="12">
        <f t="shared" si="271"/>
        <v>62.161431535269713</v>
      </c>
      <c r="L183" s="12">
        <f t="shared" si="271"/>
        <v>78.144457142857163</v>
      </c>
      <c r="M183" s="12">
        <f t="shared" si="271"/>
        <v>83.283795180722905</v>
      </c>
      <c r="N183" s="12">
        <f t="shared" si="271"/>
        <v>30.543546184738954</v>
      </c>
      <c r="O183" s="12">
        <f t="shared" si="271"/>
        <v>41.306526748971194</v>
      </c>
      <c r="P183" s="12">
        <f t="shared" si="271"/>
        <v>65.351203389830559</v>
      </c>
      <c r="Q183" s="12">
        <f t="shared" si="271"/>
        <v>52.524116182572648</v>
      </c>
      <c r="R183" s="12">
        <f t="shared" si="271"/>
        <v>69.367042918454842</v>
      </c>
      <c r="S183" s="12">
        <f t="shared" si="271"/>
        <v>68.311141666666671</v>
      </c>
      <c r="T183" s="12">
        <f t="shared" si="271"/>
        <v>35.970902234636846</v>
      </c>
      <c r="U183" s="12">
        <f t="shared" si="271"/>
        <v>22.660758177570077</v>
      </c>
      <c r="V183" s="12">
        <f t="shared" ref="V183" si="272">IFERROR(V149/V166,"")</f>
        <v>61.256810975609746</v>
      </c>
      <c r="W183" s="12">
        <f t="shared" si="271"/>
        <v>63.499292397660824</v>
      </c>
      <c r="X183" s="12">
        <f t="shared" si="271"/>
        <v>50.617783536585371</v>
      </c>
      <c r="Y183" s="12">
        <f t="shared" si="271"/>
        <v>73.554819070904642</v>
      </c>
      <c r="Z183" s="12">
        <f>IFERROR(Z80/SUM($N134:INDEX($N134:$Y134,$A$3)),"")</f>
        <v>0.14458804523424879</v>
      </c>
      <c r="AA183" s="12">
        <f>IFERROR(AA80/SUM(N134:P134),"")</f>
        <v>0.20557491289198607</v>
      </c>
      <c r="AB183" s="12">
        <f>IFERROR(AB80/SUM(Q134:S134),"")</f>
        <v>0.20779220779220781</v>
      </c>
      <c r="AC183" s="12">
        <f>IFERROR(AC80/AC134,"")</f>
        <v>1.3079470198675496</v>
      </c>
      <c r="AD183" s="12">
        <f>IFERROR(AD80/AD134,"")</f>
        <v>1.3377483443708609</v>
      </c>
      <c r="AE183" s="12">
        <f>IFERROR(AE80/SUM($B134:INDEX($B134:$M134,$A$3)),"")</f>
        <v>0.11208677685950413</v>
      </c>
      <c r="AF183" s="12">
        <f>IFERROR(AF80/SUM(B134:D134),"")</f>
        <v>0.24598269468479605</v>
      </c>
      <c r="AG183" s="12">
        <f>IFERROR(AG80/SUM(E134:G134),"")</f>
        <v>0.23665048543689321</v>
      </c>
      <c r="AH183" s="12">
        <f>IFERROR(AH80/SUM(H134:J134),"")</f>
        <v>0.25561497326203209</v>
      </c>
      <c r="AI183" s="12">
        <f>IFERROR(AI80/SUM(K134:M134),"")</f>
        <v>0.2180385288966725</v>
      </c>
      <c r="AN183" s="12">
        <f t="shared" ref="AN183:AP183" si="273">IFERROR(AN149/AN166,"")</f>
        <v>31.270899204244028</v>
      </c>
      <c r="AO183" s="12">
        <f t="shared" si="273"/>
        <v>55.095465822784796</v>
      </c>
      <c r="AP183" s="12">
        <f t="shared" si="273"/>
        <v>66.814618625277177</v>
      </c>
      <c r="AQ183" s="12">
        <f t="shared" ref="AQ183:BD183" si="274">IFERROR(AQ149/AQ166,"")</f>
        <v>55.505014423076929</v>
      </c>
      <c r="AR183" s="12">
        <f t="shared" si="274"/>
        <v>44.850286868686872</v>
      </c>
      <c r="AS183" s="12">
        <f t="shared" si="274"/>
        <v>32.741493069306934</v>
      </c>
      <c r="AT183" s="12">
        <f t="shared" si="274"/>
        <v>40.205323913043486</v>
      </c>
      <c r="AU183" s="12" t="str">
        <f t="shared" si="274"/>
        <v/>
      </c>
      <c r="AV183" s="12" t="str">
        <f t="shared" si="274"/>
        <v/>
      </c>
      <c r="AW183" s="12" t="str">
        <f t="shared" si="274"/>
        <v/>
      </c>
      <c r="AX183" s="12" t="str">
        <f t="shared" si="274"/>
        <v/>
      </c>
      <c r="AY183" s="12" t="str">
        <f t="shared" si="274"/>
        <v/>
      </c>
      <c r="AZ183" s="12">
        <f t="shared" si="274"/>
        <v>313.05459130434781</v>
      </c>
      <c r="BA183" s="12">
        <f t="shared" si="274"/>
        <v>141.20893791574278</v>
      </c>
      <c r="BB183" s="12">
        <f t="shared" si="274"/>
        <v>122.42659801980197</v>
      </c>
      <c r="BC183" s="12" t="str">
        <f t="shared" si="274"/>
        <v/>
      </c>
      <c r="BD183" s="12" t="str">
        <f t="shared" si="274"/>
        <v/>
      </c>
    </row>
    <row r="185" spans="1:56" x14ac:dyDescent="0.25">
      <c r="N185" s="149" t="s">
        <v>91</v>
      </c>
      <c r="O185" s="149" t="s">
        <v>92</v>
      </c>
      <c r="P185" s="149" t="s">
        <v>93</v>
      </c>
      <c r="Q185" s="149" t="s">
        <v>94</v>
      </c>
      <c r="R185" s="149" t="s">
        <v>95</v>
      </c>
      <c r="S185" s="149" t="s">
        <v>96</v>
      </c>
      <c r="T185" s="149" t="s">
        <v>111</v>
      </c>
      <c r="U185" s="149" t="s">
        <v>135</v>
      </c>
      <c r="V185" s="149" t="s">
        <v>136</v>
      </c>
      <c r="W185" s="149" t="s">
        <v>137</v>
      </c>
      <c r="X185" s="149" t="s">
        <v>138</v>
      </c>
      <c r="Y185" s="149" t="s">
        <v>139</v>
      </c>
      <c r="AN185" s="193" t="s">
        <v>127</v>
      </c>
      <c r="AO185" s="193" t="s">
        <v>22</v>
      </c>
      <c r="AP185" s="193" t="s">
        <v>23</v>
      </c>
      <c r="AQ185" s="193" t="s">
        <v>24</v>
      </c>
      <c r="AR185" s="193" t="s">
        <v>25</v>
      </c>
      <c r="AS185" s="193" t="s">
        <v>26</v>
      </c>
      <c r="AT185" s="193" t="s">
        <v>27</v>
      </c>
      <c r="AU185" s="193" t="s">
        <v>28</v>
      </c>
      <c r="AV185" s="193" t="s">
        <v>29</v>
      </c>
      <c r="AW185" s="193" t="s">
        <v>30</v>
      </c>
      <c r="AX185" s="193" t="s">
        <v>31</v>
      </c>
      <c r="AY185" s="193" t="s">
        <v>32</v>
      </c>
    </row>
    <row r="186" spans="1:56" s="9" customFormat="1" x14ac:dyDescent="0.25">
      <c r="A186" s="9" t="s">
        <v>70</v>
      </c>
      <c r="B186" s="18">
        <v>1501</v>
      </c>
      <c r="C186" s="18">
        <v>1502</v>
      </c>
      <c r="D186" s="18">
        <v>1503</v>
      </c>
      <c r="E186" s="18">
        <v>1504</v>
      </c>
      <c r="F186" s="18">
        <v>1505</v>
      </c>
      <c r="G186" s="18">
        <v>1506</v>
      </c>
      <c r="H186" s="18">
        <v>1507</v>
      </c>
      <c r="I186" s="18">
        <v>1508</v>
      </c>
      <c r="J186" s="18">
        <v>1509</v>
      </c>
      <c r="K186" s="18">
        <v>1510</v>
      </c>
      <c r="L186" s="18">
        <v>1511</v>
      </c>
      <c r="M186" s="18">
        <v>1512</v>
      </c>
      <c r="N186" s="18">
        <v>1601</v>
      </c>
      <c r="O186" s="18">
        <v>1602</v>
      </c>
      <c r="P186" s="18">
        <v>1603</v>
      </c>
      <c r="Q186" s="18">
        <v>1604</v>
      </c>
      <c r="R186" s="18">
        <v>1605</v>
      </c>
      <c r="S186" s="18">
        <v>1606</v>
      </c>
      <c r="T186" s="18">
        <v>1607</v>
      </c>
      <c r="U186" s="18">
        <v>1608</v>
      </c>
      <c r="V186" s="18">
        <v>1609</v>
      </c>
      <c r="W186" s="18">
        <v>1610</v>
      </c>
      <c r="X186" s="18">
        <v>1611</v>
      </c>
      <c r="Y186" s="18">
        <v>1612</v>
      </c>
      <c r="Z186" s="19" t="s">
        <v>52</v>
      </c>
      <c r="AA186" s="19" t="s">
        <v>56</v>
      </c>
      <c r="AB186" s="19" t="s">
        <v>57</v>
      </c>
      <c r="AC186" s="19" t="s">
        <v>58</v>
      </c>
      <c r="AD186" s="19" t="s">
        <v>59</v>
      </c>
      <c r="AE186" s="20" t="s">
        <v>53</v>
      </c>
      <c r="AF186" s="20" t="s">
        <v>60</v>
      </c>
      <c r="AG186" s="20" t="s">
        <v>61</v>
      </c>
      <c r="AH186" s="20" t="s">
        <v>62</v>
      </c>
      <c r="AI186" s="20" t="s">
        <v>63</v>
      </c>
      <c r="AN186" s="18">
        <v>1701</v>
      </c>
      <c r="AO186" s="18">
        <v>1702</v>
      </c>
      <c r="AP186" s="18">
        <v>1703</v>
      </c>
      <c r="AQ186" s="18">
        <v>1704</v>
      </c>
      <c r="AR186" s="18">
        <v>1705</v>
      </c>
      <c r="AS186" s="18">
        <v>1706</v>
      </c>
      <c r="AT186" s="18">
        <v>1707</v>
      </c>
      <c r="AU186" s="18">
        <v>1708</v>
      </c>
      <c r="AV186" s="18">
        <v>1709</v>
      </c>
      <c r="AW186" s="18">
        <v>1710</v>
      </c>
      <c r="AX186" s="18">
        <v>1711</v>
      </c>
      <c r="AY186" s="18">
        <v>1712</v>
      </c>
    </row>
    <row r="187" spans="1:56" x14ac:dyDescent="0.25">
      <c r="A187" s="154" t="s">
        <v>48</v>
      </c>
      <c r="B187" s="155"/>
      <c r="C187" s="155"/>
      <c r="D187" s="155"/>
      <c r="E187" s="155"/>
      <c r="F187" s="155"/>
      <c r="G187" s="155"/>
      <c r="H187" s="155">
        <v>21.552</v>
      </c>
      <c r="I187" s="155">
        <v>537.10399999999993</v>
      </c>
      <c r="J187" s="155">
        <v>1088.2809999999999</v>
      </c>
      <c r="K187" s="155">
        <v>2330.3389999999999</v>
      </c>
      <c r="L187" s="155">
        <v>2487.4450000000006</v>
      </c>
      <c r="M187" s="155">
        <v>3821.3339999999998</v>
      </c>
      <c r="N187" s="155">
        <v>1943.473</v>
      </c>
      <c r="O187" s="155">
        <v>1070.9859999999999</v>
      </c>
      <c r="P187" s="155">
        <v>1261.145</v>
      </c>
      <c r="Q187" s="155">
        <v>886.42699999999991</v>
      </c>
      <c r="R187" s="155">
        <v>979.07700000000023</v>
      </c>
      <c r="S187" s="155">
        <v>409.28899999999999</v>
      </c>
      <c r="T187" s="155">
        <v>-205.24300000000002</v>
      </c>
      <c r="U187" s="155">
        <v>-25.204000000000001</v>
      </c>
      <c r="W187" s="13">
        <f>SUM(W188:W190)</f>
        <v>487.38300000000004</v>
      </c>
      <c r="X187" s="13">
        <f>SUM(X188:X190)</f>
        <v>364.54300000000001</v>
      </c>
      <c r="Y187" s="13">
        <f>SUM(Y188:Y190)</f>
        <v>134.86500000000001</v>
      </c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>
        <f>SUM(AN188:AN190)</f>
        <v>-70.450999999999993</v>
      </c>
    </row>
    <row r="188" spans="1:56" x14ac:dyDescent="0.25">
      <c r="A188" s="17" t="s">
        <v>131</v>
      </c>
      <c r="B188" s="155"/>
      <c r="C188" s="155"/>
      <c r="D188" s="155"/>
      <c r="E188" s="155"/>
      <c r="F188" s="155"/>
      <c r="G188" s="155"/>
      <c r="H188" s="158">
        <v>21.552</v>
      </c>
      <c r="I188" s="158">
        <v>509.74599999999998</v>
      </c>
      <c r="J188" s="158">
        <v>995.19899999999984</v>
      </c>
      <c r="K188" s="158">
        <v>1239.7009999999998</v>
      </c>
      <c r="L188" s="158">
        <v>1298.1970000000003</v>
      </c>
      <c r="M188" s="158">
        <v>2081.6529999999998</v>
      </c>
      <c r="N188" s="158">
        <v>564.82599999999991</v>
      </c>
      <c r="O188" s="158">
        <v>307.43</v>
      </c>
      <c r="P188" s="158">
        <v>397.50400000000002</v>
      </c>
      <c r="Q188" s="158">
        <v>193.72800000000001</v>
      </c>
      <c r="R188" s="158">
        <v>157.309</v>
      </c>
      <c r="S188" s="158">
        <v>65.772000000000006</v>
      </c>
      <c r="T188" s="158">
        <v>-10.215000000000003</v>
      </c>
      <c r="U188" s="158">
        <v>-14.465999999999999</v>
      </c>
      <c r="W188" s="11">
        <f>[12]APE_Tenur!D5</f>
        <v>474.822</v>
      </c>
      <c r="X188" s="11">
        <f>[13]APE_Tenur!D5</f>
        <v>388.06400000000002</v>
      </c>
      <c r="Y188" s="11">
        <f>[14]APE_Tenur!$D$5</f>
        <v>134.86500000000001</v>
      </c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>
        <f>[15]APE_Tenur!E6</f>
        <v>-48.386000000000003</v>
      </c>
    </row>
    <row r="189" spans="1:56" x14ac:dyDescent="0.25">
      <c r="A189" s="17" t="s">
        <v>132</v>
      </c>
      <c r="B189" s="155"/>
      <c r="C189" s="155"/>
      <c r="D189" s="155"/>
      <c r="E189" s="155"/>
      <c r="F189" s="155"/>
      <c r="G189" s="155"/>
      <c r="H189" s="158"/>
      <c r="I189" s="158"/>
      <c r="J189" s="158"/>
      <c r="K189" s="158">
        <v>706.30900000000008</v>
      </c>
      <c r="L189" s="158">
        <v>809.09800000000018</v>
      </c>
      <c r="M189" s="158">
        <v>1123.779</v>
      </c>
      <c r="N189" s="158">
        <v>893.74800000000016</v>
      </c>
      <c r="O189" s="158">
        <v>405.13099999999986</v>
      </c>
      <c r="P189" s="158">
        <v>570.23699999999997</v>
      </c>
      <c r="Q189" s="158">
        <v>450.22399999999999</v>
      </c>
      <c r="R189" s="158">
        <v>221.87900000000005</v>
      </c>
      <c r="S189" s="158">
        <v>85.667999999999964</v>
      </c>
      <c r="T189" s="158">
        <v>-5.1679999999999975</v>
      </c>
      <c r="U189" s="158">
        <v>0</v>
      </c>
      <c r="W189" s="11">
        <f>[12]APE_Tenur!D6</f>
        <v>14.715999999999999</v>
      </c>
      <c r="X189" s="11">
        <f>[13]APE_Tenur!D6</f>
        <v>0.57199999999999895</v>
      </c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>
        <f>[15]APE_Tenur!E7</f>
        <v>-10.76</v>
      </c>
    </row>
    <row r="190" spans="1:56" x14ac:dyDescent="0.25">
      <c r="A190" s="17" t="s">
        <v>133</v>
      </c>
      <c r="B190" s="155"/>
      <c r="C190" s="155"/>
      <c r="D190" s="155"/>
      <c r="E190" s="155"/>
      <c r="F190" s="155"/>
      <c r="G190" s="155"/>
      <c r="H190" s="158"/>
      <c r="I190" s="158">
        <v>27.358000000000001</v>
      </c>
      <c r="J190" s="158">
        <v>93.082000000000008</v>
      </c>
      <c r="K190" s="158">
        <v>384.32900000000001</v>
      </c>
      <c r="L190" s="158">
        <v>380.15</v>
      </c>
      <c r="M190" s="158">
        <v>615.90200000000004</v>
      </c>
      <c r="N190" s="158">
        <v>484.899</v>
      </c>
      <c r="O190" s="158">
        <v>358.42499999999995</v>
      </c>
      <c r="P190" s="158">
        <v>293.404</v>
      </c>
      <c r="Q190" s="158">
        <v>242.47499999999997</v>
      </c>
      <c r="R190" s="158">
        <v>599.88900000000012</v>
      </c>
      <c r="S190" s="158">
        <v>257.84899999999999</v>
      </c>
      <c r="T190" s="158">
        <v>-189.86</v>
      </c>
      <c r="U190" s="158">
        <v>-10.738</v>
      </c>
      <c r="W190" s="11">
        <f>[12]APE_Tenur!D7</f>
        <v>-2.1549999999999998</v>
      </c>
      <c r="X190" s="11">
        <f>[13]APE_Tenur!D7</f>
        <v>-24.093</v>
      </c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>
        <f>[15]APE_Tenur!E8</f>
        <v>-11.305</v>
      </c>
    </row>
    <row r="191" spans="1:56" x14ac:dyDescent="0.25">
      <c r="A191" s="154" t="s">
        <v>129</v>
      </c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>
        <v>74.748999999999995</v>
      </c>
      <c r="U191" s="155">
        <v>723.12599999999998</v>
      </c>
      <c r="V191" s="155">
        <f>SUM(V192:V194)</f>
        <v>624.06000000000017</v>
      </c>
      <c r="W191" s="155">
        <f>SUM(W192:W194)</f>
        <v>0</v>
      </c>
      <c r="X191" s="155">
        <f>SUM(X192:X194)</f>
        <v>0</v>
      </c>
      <c r="Y191" s="155">
        <f>SUM(Y192:Y194)</f>
        <v>0</v>
      </c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</row>
    <row r="192" spans="1:56" x14ac:dyDescent="0.25">
      <c r="A192" s="17" t="s">
        <v>131</v>
      </c>
      <c r="B192" s="155"/>
      <c r="C192" s="155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8">
        <v>67.679000000000002</v>
      </c>
      <c r="U192" s="158">
        <v>595.14400000000001</v>
      </c>
      <c r="V192" s="158">
        <v>502.77200000000022</v>
      </c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</row>
    <row r="193" spans="1:46" x14ac:dyDescent="0.25">
      <c r="A193" s="17" t="s">
        <v>132</v>
      </c>
      <c r="B193" s="155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8">
        <v>7.07</v>
      </c>
      <c r="U193" s="158">
        <v>7.0140000000000002</v>
      </c>
      <c r="V193" s="158">
        <v>76.420999999999992</v>
      </c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</row>
    <row r="194" spans="1:46" x14ac:dyDescent="0.25">
      <c r="A194" s="17" t="s">
        <v>133</v>
      </c>
      <c r="B194" s="155"/>
      <c r="C194" s="155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8"/>
      <c r="U194" s="158">
        <v>120.96799999999999</v>
      </c>
      <c r="V194" s="158">
        <v>44.867000000000004</v>
      </c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</row>
    <row r="195" spans="1:46" x14ac:dyDescent="0.25">
      <c r="A195" s="154" t="s">
        <v>116</v>
      </c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>
        <v>51.777000000000001</v>
      </c>
      <c r="U195" s="155">
        <v>2961.7459999999996</v>
      </c>
      <c r="V195" s="155">
        <f>SUM(V196:V198)</f>
        <v>3026.7269999999994</v>
      </c>
      <c r="W195" s="155">
        <f>SUM(W196:W198)</f>
        <v>4662.5019999999904</v>
      </c>
      <c r="X195" s="155">
        <f>SUM(X196:X198)</f>
        <v>3282.4010000000003</v>
      </c>
      <c r="Y195" s="155">
        <f>SUM(Y196:Y198)</f>
        <v>5359.4579999999996</v>
      </c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55">
        <f t="shared" ref="AN195:AT195" si="275">SUM(AN196:AN198)</f>
        <v>2313.453</v>
      </c>
      <c r="AO195" s="155">
        <f t="shared" si="275"/>
        <v>2976.6620000000003</v>
      </c>
      <c r="AP195" s="155">
        <f t="shared" si="275"/>
        <v>6331.83</v>
      </c>
      <c r="AQ195" s="155">
        <f t="shared" si="275"/>
        <v>4178.9980000000005</v>
      </c>
      <c r="AR195" s="155">
        <f t="shared" si="275"/>
        <v>3670.72</v>
      </c>
      <c r="AS195" s="155">
        <f t="shared" si="275"/>
        <v>1414.471</v>
      </c>
      <c r="AT195" s="155">
        <f t="shared" si="275"/>
        <v>2343.4440000000004</v>
      </c>
    </row>
    <row r="196" spans="1:46" x14ac:dyDescent="0.25">
      <c r="A196" s="17" t="s">
        <v>131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>
        <v>41.475999999999999</v>
      </c>
      <c r="U196" s="11">
        <v>2484.7929999999997</v>
      </c>
      <c r="V196" s="11">
        <v>2415.8869999999993</v>
      </c>
      <c r="W196" s="11">
        <f>[12]APE_Tenur!D8</f>
        <v>4139.6619999999903</v>
      </c>
      <c r="X196" s="11">
        <f>[13]APE_Tenur!D8</f>
        <v>2600.306</v>
      </c>
      <c r="Y196" s="11">
        <f>[14]APE_Tenur!D7</f>
        <v>4160.8410000000003</v>
      </c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>
        <f>[15]APE_Tenur!E9</f>
        <v>1062.018</v>
      </c>
      <c r="AO196" s="11">
        <f>[16]APE_Tenur!E8</f>
        <v>1392.2170000000001</v>
      </c>
      <c r="AP196" s="11">
        <f>[17]APE_Tenur!E7</f>
        <v>2121.953</v>
      </c>
      <c r="AQ196" s="11">
        <f>[8]APE_Tenur!E8</f>
        <v>2131.0990000000002</v>
      </c>
      <c r="AR196" s="11">
        <f>[9]APE_Tenur!E7</f>
        <v>1589.3720000000001</v>
      </c>
      <c r="AS196" s="11">
        <f>[10]APE_Tenur!E9</f>
        <v>656.64</v>
      </c>
      <c r="AT196" s="11">
        <f>[11]APE_Tenur!$E9</f>
        <v>942.98800000000006</v>
      </c>
    </row>
    <row r="197" spans="1:46" x14ac:dyDescent="0.25">
      <c r="A197" s="17" t="s">
        <v>132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>
        <v>10.300999999999998</v>
      </c>
      <c r="U197" s="11">
        <v>177.06300000000002</v>
      </c>
      <c r="V197" s="11">
        <v>415.33300000000008</v>
      </c>
      <c r="W197" s="11">
        <f>[12]APE_Tenur!D9</f>
        <v>15.914999999999999</v>
      </c>
      <c r="X197" s="11">
        <f>[13]APE_Tenur!D9</f>
        <v>130.64599999999999</v>
      </c>
      <c r="Y197" s="11">
        <f>[14]APE_Tenur!D8</f>
        <v>298.19600000000003</v>
      </c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>
        <f>[15]APE_Tenur!E10</f>
        <v>721.649</v>
      </c>
      <c r="AO197" s="11">
        <f>[16]APE_Tenur!E9</f>
        <v>1176.9639999999999</v>
      </c>
      <c r="AP197" s="11">
        <f>[17]APE_Tenur!E8</f>
        <v>3503.0129999999999</v>
      </c>
      <c r="AQ197" s="11">
        <f>[8]APE_Tenur!E9</f>
        <v>1610.384</v>
      </c>
      <c r="AR197" s="11">
        <f>[9]APE_Tenur!E8</f>
        <v>1889.297</v>
      </c>
      <c r="AS197" s="11">
        <f>[10]APE_Tenur!E10</f>
        <v>706.58299999999997</v>
      </c>
      <c r="AT197" s="11">
        <f>[11]APE_Tenur!$E10</f>
        <v>1194.701</v>
      </c>
    </row>
    <row r="198" spans="1:46" x14ac:dyDescent="0.25">
      <c r="A198" s="17" t="s">
        <v>133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>
        <v>299.89</v>
      </c>
      <c r="V198" s="11">
        <v>195.50700000000003</v>
      </c>
      <c r="W198" s="11">
        <f>[12]APE_Tenur!D10</f>
        <v>506.92500000000001</v>
      </c>
      <c r="X198" s="11">
        <f>[13]APE_Tenur!D10</f>
        <v>551.44899999999996</v>
      </c>
      <c r="Y198" s="11">
        <f>[14]APE_Tenur!D9</f>
        <v>900.42099999999903</v>
      </c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>
        <f>[15]APE_Tenur!E11</f>
        <v>529.78599999999994</v>
      </c>
      <c r="AO198" s="11">
        <f>[16]APE_Tenur!E10</f>
        <v>407.48099999999999</v>
      </c>
      <c r="AP198" s="11">
        <f>[17]APE_Tenur!E9</f>
        <v>706.86400000000003</v>
      </c>
      <c r="AQ198" s="11">
        <f>[8]APE_Tenur!E10</f>
        <v>437.51499999999999</v>
      </c>
      <c r="AR198" s="11">
        <f>[9]APE_Tenur!E9</f>
        <v>192.05099999999999</v>
      </c>
      <c r="AS198" s="11">
        <f>[10]APE_Tenur!E11</f>
        <v>51.247999999999998</v>
      </c>
      <c r="AT198" s="11">
        <f>[11]APE_Tenur!$E11</f>
        <v>205.755</v>
      </c>
    </row>
    <row r="199" spans="1:46" x14ac:dyDescent="0.25">
      <c r="A199" s="9" t="s">
        <v>130</v>
      </c>
      <c r="B199" s="13">
        <v>-64.647999999999996</v>
      </c>
      <c r="C199" s="13">
        <v>0</v>
      </c>
      <c r="D199" s="13">
        <v>0</v>
      </c>
      <c r="E199" s="13"/>
      <c r="F199" s="13">
        <v>0</v>
      </c>
      <c r="G199" s="13"/>
      <c r="H199" s="13">
        <v>0</v>
      </c>
      <c r="I199" s="13"/>
      <c r="J199" s="13">
        <v>0</v>
      </c>
      <c r="K199" s="13">
        <v>191.64500000000001</v>
      </c>
      <c r="L199" s="13">
        <v>0</v>
      </c>
      <c r="M199" s="13">
        <v>0</v>
      </c>
      <c r="N199" s="13"/>
      <c r="O199" s="13"/>
      <c r="P199" s="13">
        <v>0</v>
      </c>
      <c r="Q199" s="13"/>
      <c r="R199" s="13">
        <v>0</v>
      </c>
      <c r="S199" s="13">
        <v>0</v>
      </c>
      <c r="T199" s="13">
        <v>17.399999999999999</v>
      </c>
      <c r="U199" s="13">
        <v>-17.399999999999999</v>
      </c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</row>
    <row r="200" spans="1:46" x14ac:dyDescent="0.25">
      <c r="A200" s="17" t="s">
        <v>131</v>
      </c>
      <c r="B200" s="11">
        <v>-64.647999999999996</v>
      </c>
      <c r="C200" s="11"/>
      <c r="D200" s="11"/>
      <c r="E200" s="11"/>
      <c r="F200" s="11"/>
      <c r="G200" s="11"/>
      <c r="H200" s="11"/>
      <c r="I200" s="11"/>
      <c r="J200" s="11"/>
      <c r="K200" s="11">
        <v>24.053999999999998</v>
      </c>
      <c r="L200" s="11"/>
      <c r="M200" s="11"/>
      <c r="N200" s="11"/>
      <c r="O200" s="11"/>
      <c r="P200" s="11"/>
      <c r="Q200" s="11"/>
      <c r="R200" s="11"/>
      <c r="S200" s="11"/>
      <c r="T200" s="11">
        <v>17.399999999999999</v>
      </c>
      <c r="U200" s="11">
        <v>-17.399999999999999</v>
      </c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</row>
    <row r="201" spans="1:46" x14ac:dyDescent="0.25">
      <c r="A201" s="17" t="s">
        <v>132</v>
      </c>
      <c r="B201" s="11"/>
      <c r="C201" s="11">
        <v>0</v>
      </c>
      <c r="D201" s="11">
        <v>0</v>
      </c>
      <c r="E201" s="11"/>
      <c r="F201" s="11">
        <v>0</v>
      </c>
      <c r="G201" s="11"/>
      <c r="H201" s="11"/>
      <c r="I201" s="11"/>
      <c r="J201" s="11"/>
      <c r="K201" s="11">
        <v>167.59100000000001</v>
      </c>
      <c r="L201" s="11">
        <v>0</v>
      </c>
      <c r="M201" s="11"/>
      <c r="N201" s="11"/>
      <c r="O201" s="11"/>
      <c r="P201" s="11">
        <v>0</v>
      </c>
      <c r="Q201" s="11"/>
      <c r="R201" s="11">
        <v>0</v>
      </c>
      <c r="S201" s="11"/>
      <c r="T201" s="11"/>
      <c r="U201" s="11"/>
      <c r="V201">
        <v>12.821999999999999</v>
      </c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</row>
    <row r="202" spans="1:46" x14ac:dyDescent="0.25">
      <c r="A202" s="17" t="s">
        <v>133</v>
      </c>
      <c r="B202" s="11"/>
      <c r="C202" s="11"/>
      <c r="D202" s="11"/>
      <c r="E202" s="11"/>
      <c r="F202" s="11"/>
      <c r="G202" s="11"/>
      <c r="H202" s="11">
        <v>0</v>
      </c>
      <c r="I202" s="11"/>
      <c r="J202" s="11">
        <v>0</v>
      </c>
      <c r="K202" s="11">
        <v>0</v>
      </c>
      <c r="L202" s="11"/>
      <c r="M202" s="11">
        <v>0</v>
      </c>
      <c r="N202" s="11"/>
      <c r="O202" s="11"/>
      <c r="P202" s="11">
        <v>0</v>
      </c>
      <c r="Q202" s="11"/>
      <c r="R202" s="11"/>
      <c r="S202" s="11">
        <v>0</v>
      </c>
      <c r="T202" s="11">
        <v>0</v>
      </c>
      <c r="U202" s="11">
        <v>0</v>
      </c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</row>
    <row r="203" spans="1:46" x14ac:dyDescent="0.25">
      <c r="A203" s="9" t="s">
        <v>71</v>
      </c>
      <c r="B203" s="13">
        <v>1521.5339999999999</v>
      </c>
      <c r="C203" s="13">
        <v>828.87200000000018</v>
      </c>
      <c r="D203" s="13">
        <v>1914.79</v>
      </c>
      <c r="E203" s="13">
        <v>1859.7819999999997</v>
      </c>
      <c r="F203" s="13">
        <v>1073.4869999999999</v>
      </c>
      <c r="G203" s="13">
        <v>1861.586</v>
      </c>
      <c r="H203" s="13">
        <v>1736.5469999999998</v>
      </c>
      <c r="I203" s="13">
        <v>1318.2390000000003</v>
      </c>
      <c r="J203" s="13">
        <v>2298.2710000000002</v>
      </c>
      <c r="K203" s="13">
        <v>-164.37099999999998</v>
      </c>
      <c r="L203" s="13">
        <v>-10.186</v>
      </c>
      <c r="M203" s="13">
        <v>4.4408920985006262E-16</v>
      </c>
      <c r="N203" s="13">
        <v>-22.065000000000001</v>
      </c>
      <c r="O203" s="13">
        <v>0</v>
      </c>
      <c r="P203" s="13">
        <v>-17.437999999999999</v>
      </c>
      <c r="Q203" s="13">
        <v>0</v>
      </c>
      <c r="R203" s="13">
        <v>0</v>
      </c>
      <c r="S203" s="13">
        <v>-23.41</v>
      </c>
      <c r="T203" s="13">
        <v>0</v>
      </c>
      <c r="U203" s="13">
        <v>-11.101000000000001</v>
      </c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Q203" s="13">
        <v>-17.437999999999999</v>
      </c>
      <c r="AR203" s="155">
        <f>SUM(AR204:AR206)</f>
        <v>75.894999999999996</v>
      </c>
      <c r="AS203" s="155">
        <f>SUM(AS204:AS206)</f>
        <v>117.18899999999999</v>
      </c>
    </row>
    <row r="204" spans="1:46" x14ac:dyDescent="0.25">
      <c r="A204" s="17" t="s">
        <v>131</v>
      </c>
      <c r="B204" s="11">
        <v>1384.9199999999998</v>
      </c>
      <c r="C204" s="11">
        <v>686.54700000000014</v>
      </c>
      <c r="D204" s="11">
        <v>1608.4019999999998</v>
      </c>
      <c r="E204" s="11">
        <v>1535.4139999999998</v>
      </c>
      <c r="F204" s="11">
        <v>700.32399999999996</v>
      </c>
      <c r="G204" s="11">
        <v>1020.0550000000001</v>
      </c>
      <c r="H204" s="11">
        <v>765.42499999999995</v>
      </c>
      <c r="I204" s="11">
        <v>711.34100000000012</v>
      </c>
      <c r="J204" s="11">
        <v>635.72299999999984</v>
      </c>
      <c r="K204" s="11">
        <v>-114.62899999999999</v>
      </c>
      <c r="L204" s="11">
        <v>0</v>
      </c>
      <c r="M204" s="11">
        <v>0</v>
      </c>
      <c r="N204" s="11"/>
      <c r="O204" s="11"/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R204" s="11">
        <f>[9]APE_Tenur!$E$15</f>
        <v>75.894999999999996</v>
      </c>
      <c r="AS204" s="11">
        <f>[10]APE_Tenur!$E$17</f>
        <v>117.18899999999999</v>
      </c>
    </row>
    <row r="205" spans="1:46" x14ac:dyDescent="0.25">
      <c r="A205" s="17" t="s">
        <v>132</v>
      </c>
      <c r="B205" s="11">
        <v>136.61399999999998</v>
      </c>
      <c r="C205" s="11">
        <v>142.32500000000002</v>
      </c>
      <c r="D205" s="11">
        <v>306.38800000000003</v>
      </c>
      <c r="E205" s="11">
        <v>324.36799999999999</v>
      </c>
      <c r="F205" s="11">
        <v>373.16299999999984</v>
      </c>
      <c r="G205" s="11">
        <v>841.53099999999995</v>
      </c>
      <c r="H205" s="11">
        <v>938.04299999999989</v>
      </c>
      <c r="I205" s="11">
        <v>574.54200000000014</v>
      </c>
      <c r="J205" s="11">
        <v>1542.23</v>
      </c>
      <c r="K205" s="11">
        <v>-26.039999999999988</v>
      </c>
      <c r="L205" s="11">
        <v>-10.186</v>
      </c>
      <c r="M205" s="11">
        <v>0</v>
      </c>
      <c r="N205" s="11">
        <v>-22.065000000000001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</row>
    <row r="206" spans="1:46" x14ac:dyDescent="0.25">
      <c r="A206" s="17" t="s">
        <v>133</v>
      </c>
      <c r="B206" s="11"/>
      <c r="C206" s="11"/>
      <c r="D206" s="11"/>
      <c r="E206" s="11"/>
      <c r="F206" s="11"/>
      <c r="G206" s="11"/>
      <c r="H206" s="11">
        <v>33.079000000000001</v>
      </c>
      <c r="I206" s="11">
        <v>32.356000000000002</v>
      </c>
      <c r="J206" s="11">
        <v>120.31800000000001</v>
      </c>
      <c r="K206" s="11">
        <v>-23.701999999999998</v>
      </c>
      <c r="L206" s="11">
        <v>0</v>
      </c>
      <c r="M206" s="11">
        <v>4.4408920985006262E-16</v>
      </c>
      <c r="N206" s="11">
        <v>0</v>
      </c>
      <c r="O206" s="11">
        <v>0</v>
      </c>
      <c r="P206" s="11">
        <v>-17.437999999999999</v>
      </c>
      <c r="Q206" s="11">
        <v>0</v>
      </c>
      <c r="R206" s="11">
        <v>0</v>
      </c>
      <c r="S206" s="11">
        <v>-23.41</v>
      </c>
      <c r="T206" s="11">
        <v>0</v>
      </c>
      <c r="U206" s="11">
        <v>-11.101000000000001</v>
      </c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Q206" s="11">
        <f>[8]APE_Tenur!$E$13</f>
        <v>-17.218</v>
      </c>
    </row>
    <row r="207" spans="1:46" x14ac:dyDescent="0.25">
      <c r="A207" s="9" t="s">
        <v>47</v>
      </c>
      <c r="B207" s="13">
        <v>3667.1290000000004</v>
      </c>
      <c r="C207" s="13">
        <v>2294.451</v>
      </c>
      <c r="D207" s="13">
        <v>7358.8670000000002</v>
      </c>
      <c r="E207" s="13">
        <v>6516.1010000000006</v>
      </c>
      <c r="F207" s="13">
        <v>6568.7520000000004</v>
      </c>
      <c r="G207" s="13">
        <v>8581.5099999999984</v>
      </c>
      <c r="H207" s="13">
        <v>8268.2769999999982</v>
      </c>
      <c r="I207" s="13">
        <v>6449.6949999999997</v>
      </c>
      <c r="J207" s="13">
        <v>8693.0869999999995</v>
      </c>
      <c r="K207" s="13">
        <v>12623.291999999999</v>
      </c>
      <c r="L207" s="13">
        <v>16668.133000000002</v>
      </c>
      <c r="M207" s="13">
        <v>16916.330999999998</v>
      </c>
      <c r="N207" s="13">
        <v>5683.9350000000004</v>
      </c>
      <c r="O207" s="13">
        <v>8966.5</v>
      </c>
      <c r="P207" s="13">
        <v>14179.177000000001</v>
      </c>
      <c r="Q207" s="13">
        <v>11771.885000000002</v>
      </c>
      <c r="R207" s="13">
        <v>15183.444</v>
      </c>
      <c r="S207" s="13">
        <v>16008.795000000002</v>
      </c>
      <c r="T207" s="13">
        <v>12938.899999999998</v>
      </c>
      <c r="U207" s="13">
        <v>16461.066999999995</v>
      </c>
      <c r="V207" s="13">
        <f>SUM(V208:V210)</f>
        <v>17583.616000000016</v>
      </c>
      <c r="W207" s="13">
        <f>SUM(W208:W210)</f>
        <v>4153.4219999999905</v>
      </c>
      <c r="X207" s="13">
        <f>SUM(X208:X210)</f>
        <v>2706.8590000000004</v>
      </c>
      <c r="Y207" s="13">
        <f>SUM(Y208:Y210)</f>
        <v>4459.0370000000003</v>
      </c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3">
        <f t="shared" ref="AN207:AT207" si="276">SUM(AN208:AN210)</f>
        <v>9512.1810000000005</v>
      </c>
      <c r="AO207" s="13">
        <f t="shared" si="276"/>
        <v>18574.081999999999</v>
      </c>
      <c r="AP207" s="13">
        <f t="shared" si="276"/>
        <v>22745.03300000001</v>
      </c>
      <c r="AQ207" s="13">
        <f t="shared" si="276"/>
        <v>17763.739999999998</v>
      </c>
      <c r="AR207" s="13">
        <f t="shared" si="276"/>
        <v>14982.83700000003</v>
      </c>
      <c r="AS207" s="13">
        <f>SUM(AS208:AS210)</f>
        <v>13542.23899999999</v>
      </c>
      <c r="AT207" s="13">
        <f t="shared" si="276"/>
        <v>15373.438000000009</v>
      </c>
    </row>
    <row r="208" spans="1:46" x14ac:dyDescent="0.25">
      <c r="A208" s="17" t="s">
        <v>131</v>
      </c>
      <c r="B208" s="11">
        <v>1931.8130000000001</v>
      </c>
      <c r="C208" s="11">
        <v>956.45399999999995</v>
      </c>
      <c r="D208" s="11">
        <v>2827.1959999999999</v>
      </c>
      <c r="E208" s="11">
        <v>2896.1969999999997</v>
      </c>
      <c r="F208" s="11">
        <v>2906.67</v>
      </c>
      <c r="G208" s="11">
        <v>3506.9210000000003</v>
      </c>
      <c r="H208" s="11">
        <v>2572.3429999999998</v>
      </c>
      <c r="I208" s="11">
        <v>2561.212</v>
      </c>
      <c r="J208" s="11">
        <v>3175.1679999999997</v>
      </c>
      <c r="K208" s="11">
        <v>3826.8429999999998</v>
      </c>
      <c r="L208" s="11">
        <v>5012.2760000000007</v>
      </c>
      <c r="M208" s="11">
        <v>3795.9390000000008</v>
      </c>
      <c r="N208" s="11">
        <v>1020.1989999999997</v>
      </c>
      <c r="O208" s="11">
        <v>1917.614</v>
      </c>
      <c r="P208" s="11">
        <v>1836.1110000000003</v>
      </c>
      <c r="Q208" s="11">
        <v>1855.0679999999998</v>
      </c>
      <c r="R208" s="11">
        <v>1738.056</v>
      </c>
      <c r="S208" s="11">
        <v>1649.8529999999998</v>
      </c>
      <c r="T208" s="11">
        <v>1572.6859999999997</v>
      </c>
      <c r="U208" s="11">
        <v>2651.4879999999998</v>
      </c>
      <c r="V208" s="11">
        <v>3090.5809999999974</v>
      </c>
      <c r="W208" s="11">
        <f>[12]APE_Tenur!D7</f>
        <v>-2.1549999999999998</v>
      </c>
      <c r="X208" s="11">
        <f>[13]APE_Tenur!D7</f>
        <v>-24.093</v>
      </c>
      <c r="Y208" s="11">
        <f>[14]APE_Tenur!D6</f>
        <v>0</v>
      </c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>
        <f>[15]APE_Tenur!E12</f>
        <v>1247.998</v>
      </c>
      <c r="AO208" s="11">
        <f>[16]APE_Tenur!E11</f>
        <v>1781.951</v>
      </c>
      <c r="AP208" s="11">
        <f>[17]APE_Tenur!E12</f>
        <v>1918.9</v>
      </c>
      <c r="AQ208">
        <f>[8]APE_Tenur!E14</f>
        <v>2635.0239999999999</v>
      </c>
      <c r="AR208" s="11">
        <f>[9]APE_Tenur!E12</f>
        <v>2878.3760000000002</v>
      </c>
      <c r="AS208" s="11">
        <f>[10]APE_Tenur!E14</f>
        <v>2782.7890000000002</v>
      </c>
      <c r="AT208" s="11">
        <f>[11]APE_Tenur!$E14</f>
        <v>3361.3449999999998</v>
      </c>
    </row>
    <row r="209" spans="1:46" x14ac:dyDescent="0.25">
      <c r="A209" s="17" t="s">
        <v>132</v>
      </c>
      <c r="B209" s="11">
        <v>1735.3160000000003</v>
      </c>
      <c r="C209" s="11">
        <v>1337.9969999999998</v>
      </c>
      <c r="D209" s="11">
        <v>4531.6710000000003</v>
      </c>
      <c r="E209" s="11">
        <v>3619.9040000000005</v>
      </c>
      <c r="F209" s="11">
        <v>3662.0820000000003</v>
      </c>
      <c r="G209" s="11">
        <v>5074.5889999999981</v>
      </c>
      <c r="H209" s="11">
        <v>3881.610999999999</v>
      </c>
      <c r="I209" s="11">
        <v>2060.1190000000001</v>
      </c>
      <c r="J209" s="11">
        <v>3106.6379999999999</v>
      </c>
      <c r="K209" s="11">
        <v>5187.8980000000001</v>
      </c>
      <c r="L209" s="11">
        <v>6510.8820000000005</v>
      </c>
      <c r="M209" s="11">
        <v>7357.4019999999991</v>
      </c>
      <c r="N209" s="11">
        <v>2650.4470000000006</v>
      </c>
      <c r="O209" s="11">
        <v>2984.6730000000007</v>
      </c>
      <c r="P209" s="11">
        <v>5796.9060000000018</v>
      </c>
      <c r="Q209" s="11">
        <v>4815.1270000000004</v>
      </c>
      <c r="R209" s="11">
        <v>5445.1210000000001</v>
      </c>
      <c r="S209" s="11">
        <v>5473.6040000000003</v>
      </c>
      <c r="T209" s="11">
        <v>3605.3620000000001</v>
      </c>
      <c r="U209" s="11">
        <v>4090.3809999999994</v>
      </c>
      <c r="V209" s="11">
        <v>3850.3550000000027</v>
      </c>
      <c r="W209" s="11">
        <f>[12]APE_Tenur!D8</f>
        <v>4139.6619999999903</v>
      </c>
      <c r="X209" s="11">
        <f>[13]APE_Tenur!D8</f>
        <v>2600.306</v>
      </c>
      <c r="Y209" s="11">
        <f>[14]APE_Tenur!D7</f>
        <v>4160.8410000000003</v>
      </c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>
        <f>[15]APE_Tenur!E13</f>
        <v>2001.6890000000001</v>
      </c>
      <c r="AO209" s="11">
        <f>[16]APE_Tenur!E12</f>
        <v>3871.357</v>
      </c>
      <c r="AP209" s="11">
        <f>[17]APE_Tenur!E13</f>
        <v>5472.21000000001</v>
      </c>
      <c r="AQ209">
        <f>[8]APE_Tenur!E15</f>
        <v>3674.788</v>
      </c>
      <c r="AR209" s="11">
        <f>[9]APE_Tenur!E13</f>
        <v>2555.5970000000002</v>
      </c>
      <c r="AS209" s="11">
        <f>[10]APE_Tenur!E15</f>
        <v>2044.9</v>
      </c>
      <c r="AT209" s="11">
        <f>[11]APE_Tenur!$E15</f>
        <v>2086.3560000000002</v>
      </c>
    </row>
    <row r="210" spans="1:46" x14ac:dyDescent="0.25">
      <c r="A210" s="17" t="s">
        <v>133</v>
      </c>
      <c r="H210" s="159">
        <v>1814.3230000000003</v>
      </c>
      <c r="I210" s="159">
        <v>1828.364</v>
      </c>
      <c r="J210" s="159">
        <v>2411.2809999999999</v>
      </c>
      <c r="K210" s="159">
        <v>3608.550999999999</v>
      </c>
      <c r="L210" s="159">
        <v>5144.9750000000004</v>
      </c>
      <c r="M210" s="159">
        <v>5762.99</v>
      </c>
      <c r="N210" s="159">
        <v>2013.2890000000004</v>
      </c>
      <c r="O210" s="159">
        <v>4064.2130000000002</v>
      </c>
      <c r="P210" s="159">
        <v>6546.16</v>
      </c>
      <c r="Q210" s="159">
        <v>5101.6900000000023</v>
      </c>
      <c r="R210" s="159">
        <v>8000.2669999999998</v>
      </c>
      <c r="S210" s="159">
        <v>8885.3380000000016</v>
      </c>
      <c r="T210" s="159">
        <v>7760.851999999999</v>
      </c>
      <c r="U210" s="159">
        <v>9719.1979999999967</v>
      </c>
      <c r="V210" s="159">
        <v>10642.680000000018</v>
      </c>
      <c r="W210" s="11">
        <f>[12]APE_Tenur!D9</f>
        <v>15.914999999999999</v>
      </c>
      <c r="X210" s="11">
        <f>[13]APE_Tenur!D9</f>
        <v>130.64599999999999</v>
      </c>
      <c r="Y210" s="11">
        <f>[14]APE_Tenur!D8</f>
        <v>298.19600000000003</v>
      </c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>
        <f>[15]APE_Tenur!E14</f>
        <v>6262.4939999999997</v>
      </c>
      <c r="AO210" s="11">
        <f>[16]APE_Tenur!E13</f>
        <v>12920.773999999999</v>
      </c>
      <c r="AP210" s="11">
        <f>[17]APE_Tenur!E14</f>
        <v>15353.923000000001</v>
      </c>
      <c r="AQ210">
        <f>[8]APE_Tenur!E16</f>
        <v>11453.928</v>
      </c>
      <c r="AR210" s="11">
        <f>[9]APE_Tenur!E14</f>
        <v>9548.8640000000305</v>
      </c>
      <c r="AS210" s="11">
        <f>[10]APE_Tenur!E16</f>
        <v>8714.5499999999902</v>
      </c>
      <c r="AT210" s="11">
        <f>[11]APE_Tenur!$E16</f>
        <v>9925.7370000000101</v>
      </c>
    </row>
    <row r="211" spans="1:46" x14ac:dyDescent="0.25">
      <c r="A211" s="9" t="s">
        <v>208</v>
      </c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3"/>
      <c r="AO211" s="13"/>
      <c r="AP211" s="13">
        <f>SUM(AP212:AP214)</f>
        <v>727.28600000000006</v>
      </c>
      <c r="AQ211" s="13">
        <f>SUM(AQ212:AQ214)</f>
        <v>844.96699999999998</v>
      </c>
      <c r="AR211" s="13">
        <f>SUM(AR212:AR214)</f>
        <v>901.76800000000003</v>
      </c>
      <c r="AS211" s="13">
        <f>SUM(AS212:AS214)</f>
        <v>1369.423</v>
      </c>
      <c r="AT211" s="13">
        <f>SUM(AT212:AT214)</f>
        <v>609.53</v>
      </c>
    </row>
    <row r="212" spans="1:46" x14ac:dyDescent="0.25">
      <c r="A212" s="17" t="s">
        <v>131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>
        <f>[17]APE_Tenur!E10</f>
        <v>239.584</v>
      </c>
      <c r="AQ212" s="11">
        <f>[8]APE_Tenur!E11</f>
        <v>520.73099999999999</v>
      </c>
      <c r="AR212" s="11">
        <f>[9]APE_Tenur!E10</f>
        <v>507.99700000000001</v>
      </c>
      <c r="AS212" s="11">
        <f>[10]APE_Tenur!E12</f>
        <v>843.90099999999995</v>
      </c>
      <c r="AT212" s="11">
        <f>[11]APE_Tenur!$E$12</f>
        <v>423.41399999999999</v>
      </c>
    </row>
    <row r="213" spans="1:46" x14ac:dyDescent="0.25">
      <c r="A213" s="17" t="s">
        <v>132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P213" s="11">
        <f>[17]APE_Tenur!E11</f>
        <v>487.702</v>
      </c>
      <c r="AQ213" s="11">
        <f>[8]APE_Tenur!E12</f>
        <v>324.23599999999999</v>
      </c>
      <c r="AR213" s="11">
        <f>[9]APE_Tenur!E11</f>
        <v>393.77100000000002</v>
      </c>
      <c r="AS213" s="11">
        <f>[10]APE_Tenur!E13</f>
        <v>525.52200000000005</v>
      </c>
      <c r="AT213" s="11">
        <f>[11]APE_Tenur!$E$13</f>
        <v>186.11600000000001</v>
      </c>
    </row>
    <row r="214" spans="1:46" x14ac:dyDescent="0.25">
      <c r="A214" s="17" t="s">
        <v>133</v>
      </c>
      <c r="H214" s="159"/>
      <c r="I214" s="159"/>
      <c r="J214" s="159"/>
      <c r="K214" s="159"/>
      <c r="L214" s="159"/>
      <c r="M214" s="159"/>
      <c r="N214" s="159"/>
      <c r="O214" s="159"/>
      <c r="P214" s="159"/>
      <c r="Q214" s="159"/>
      <c r="R214" s="159"/>
      <c r="S214" s="159"/>
      <c r="T214" s="159"/>
      <c r="U214" s="159"/>
      <c r="V214" s="159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</row>
    <row r="215" spans="1:46" x14ac:dyDescent="0.25">
      <c r="A215" s="9" t="s">
        <v>201</v>
      </c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3">
        <f t="shared" ref="AN215:AT215" si="277">SUM(AN216:AN218)</f>
        <v>69.918000000000006</v>
      </c>
      <c r="AO215" s="13">
        <f t="shared" si="277"/>
        <v>211.965</v>
      </c>
      <c r="AP215" s="13">
        <f t="shared" si="277"/>
        <v>329.24399999999997</v>
      </c>
      <c r="AQ215" s="13">
        <f t="shared" si="277"/>
        <v>319.59899999999999</v>
      </c>
      <c r="AR215" s="13">
        <f t="shared" si="277"/>
        <v>340.86500000000001</v>
      </c>
      <c r="AS215" s="13">
        <f t="shared" si="277"/>
        <v>91.132000000000005</v>
      </c>
      <c r="AT215" s="13">
        <f t="shared" si="277"/>
        <v>169.96299999999999</v>
      </c>
    </row>
    <row r="216" spans="1:46" x14ac:dyDescent="0.25">
      <c r="A216" s="17" t="s">
        <v>131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>
        <f>[15]APE_Tenur!$E$5</f>
        <v>69.918000000000006</v>
      </c>
      <c r="AO216" s="11">
        <f>SUM([16]APE_Tenur!$E$5:$E$6)</f>
        <v>211.965</v>
      </c>
      <c r="AP216" s="11">
        <f>SUM([17]APE_Tenur!$E$15:$E$16)</f>
        <v>329.24399999999997</v>
      </c>
      <c r="AQ216" s="11">
        <f>[8]APE_Tenur!$E$17</f>
        <v>319.59899999999999</v>
      </c>
      <c r="AR216" s="11">
        <f>[9]APE_Tenur!$E$16</f>
        <v>340.86500000000001</v>
      </c>
      <c r="AS216">
        <f>[10]APE_Tenur!$E$18</f>
        <v>91.132000000000005</v>
      </c>
      <c r="AT216">
        <f>[11]APE_Tenur!$E$18</f>
        <v>169.96299999999999</v>
      </c>
    </row>
    <row r="217" spans="1:46" x14ac:dyDescent="0.25">
      <c r="A217" s="17" t="s">
        <v>132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R217" s="11"/>
    </row>
    <row r="218" spans="1:46" x14ac:dyDescent="0.25">
      <c r="A218" s="17" t="s">
        <v>133</v>
      </c>
      <c r="H218" s="159"/>
      <c r="I218" s="159"/>
      <c r="J218" s="159"/>
      <c r="K218" s="159"/>
      <c r="L218" s="159"/>
      <c r="M218" s="159"/>
      <c r="N218" s="159"/>
      <c r="O218" s="159"/>
      <c r="P218" s="159"/>
      <c r="Q218" s="159"/>
      <c r="R218" s="159"/>
      <c r="S218" s="159"/>
      <c r="T218" s="159"/>
      <c r="U218" s="159"/>
      <c r="V218" s="159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</row>
    <row r="219" spans="1:46" x14ac:dyDescent="0.25"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</row>
    <row r="220" spans="1:46" x14ac:dyDescent="0.25">
      <c r="A220" s="17" t="s">
        <v>131</v>
      </c>
      <c r="B220" s="11">
        <f t="shared" ref="B220:K222" si="278">SUMIF($A$187:$A$218,$A220,B$187:B$218)</f>
        <v>3252.085</v>
      </c>
      <c r="C220" s="11">
        <f t="shared" si="278"/>
        <v>1643.0010000000002</v>
      </c>
      <c r="D220" s="11">
        <f t="shared" si="278"/>
        <v>4435.598</v>
      </c>
      <c r="E220" s="11">
        <f t="shared" si="278"/>
        <v>4431.610999999999</v>
      </c>
      <c r="F220" s="11">
        <f t="shared" si="278"/>
        <v>3606.9940000000001</v>
      </c>
      <c r="G220" s="11">
        <f t="shared" si="278"/>
        <v>4526.9760000000006</v>
      </c>
      <c r="H220" s="11">
        <f t="shared" si="278"/>
        <v>3359.3199999999997</v>
      </c>
      <c r="I220" s="11">
        <f t="shared" si="278"/>
        <v>3782.299</v>
      </c>
      <c r="J220" s="11">
        <f t="shared" si="278"/>
        <v>4806.0899999999992</v>
      </c>
      <c r="K220" s="11">
        <f t="shared" si="278"/>
        <v>4975.9690000000001</v>
      </c>
      <c r="L220" s="11">
        <f t="shared" ref="L220:Y222" si="279">SUMIF($A$187:$A$218,$A220,L$187:L$218)</f>
        <v>6310.4730000000009</v>
      </c>
      <c r="M220" s="11">
        <f t="shared" si="279"/>
        <v>5877.5920000000006</v>
      </c>
      <c r="N220" s="11">
        <f t="shared" si="279"/>
        <v>1585.0249999999996</v>
      </c>
      <c r="O220" s="11">
        <f t="shared" si="279"/>
        <v>2225.0439999999999</v>
      </c>
      <c r="P220" s="11">
        <f t="shared" si="279"/>
        <v>2233.6150000000002</v>
      </c>
      <c r="Q220" s="11">
        <f t="shared" si="279"/>
        <v>2048.7959999999998</v>
      </c>
      <c r="R220" s="11">
        <f t="shared" si="279"/>
        <v>1895.365</v>
      </c>
      <c r="S220" s="11">
        <f t="shared" si="279"/>
        <v>1715.6249999999998</v>
      </c>
      <c r="T220" s="11">
        <f t="shared" si="279"/>
        <v>1689.0259999999996</v>
      </c>
      <c r="U220" s="11">
        <f t="shared" si="279"/>
        <v>5699.5589999999993</v>
      </c>
      <c r="V220" s="11">
        <f t="shared" si="279"/>
        <v>6009.2399999999971</v>
      </c>
      <c r="W220" s="11">
        <f t="shared" si="279"/>
        <v>4612.3289999999906</v>
      </c>
      <c r="X220" s="11">
        <f t="shared" si="279"/>
        <v>2964.277</v>
      </c>
      <c r="Y220" s="11">
        <f t="shared" si="279"/>
        <v>4295.7060000000001</v>
      </c>
      <c r="Z220" s="11">
        <f>SUM(N220:Y220)</f>
        <v>36973.606999999989</v>
      </c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>
        <f t="shared" ref="AN220:AT222" si="280">SUMIF($A$187:$A$218,$A220,AN$187:AN$218)</f>
        <v>2331.5480000000002</v>
      </c>
      <c r="AO220" s="11">
        <f t="shared" si="280"/>
        <v>3386.1330000000003</v>
      </c>
      <c r="AP220" s="11">
        <f t="shared" si="280"/>
        <v>4609.6809999999996</v>
      </c>
      <c r="AQ220" s="11">
        <f t="shared" si="280"/>
        <v>5606.4529999999995</v>
      </c>
      <c r="AR220" s="11">
        <f t="shared" si="280"/>
        <v>5392.5050000000001</v>
      </c>
      <c r="AS220" s="11">
        <f t="shared" si="280"/>
        <v>4491.6509999999998</v>
      </c>
      <c r="AT220" s="11">
        <f t="shared" si="280"/>
        <v>4897.7099999999991</v>
      </c>
    </row>
    <row r="221" spans="1:46" x14ac:dyDescent="0.25">
      <c r="A221" s="17" t="s">
        <v>132</v>
      </c>
      <c r="B221" s="11">
        <f t="shared" si="278"/>
        <v>1871.9300000000003</v>
      </c>
      <c r="C221" s="11">
        <f t="shared" si="278"/>
        <v>1480.3219999999999</v>
      </c>
      <c r="D221" s="11">
        <f t="shared" si="278"/>
        <v>4838.0590000000002</v>
      </c>
      <c r="E221" s="11">
        <f t="shared" si="278"/>
        <v>3944.2720000000004</v>
      </c>
      <c r="F221" s="11">
        <f t="shared" si="278"/>
        <v>4035.2450000000003</v>
      </c>
      <c r="G221" s="11">
        <f t="shared" si="278"/>
        <v>5916.1199999999981</v>
      </c>
      <c r="H221" s="11">
        <f t="shared" si="278"/>
        <v>4819.6539999999986</v>
      </c>
      <c r="I221" s="11">
        <f t="shared" si="278"/>
        <v>2634.6610000000001</v>
      </c>
      <c r="J221" s="11">
        <f t="shared" si="278"/>
        <v>4648.8680000000004</v>
      </c>
      <c r="K221" s="11">
        <f t="shared" si="278"/>
        <v>6035.7579999999998</v>
      </c>
      <c r="L221" s="11">
        <f t="shared" si="279"/>
        <v>7309.7940000000008</v>
      </c>
      <c r="M221" s="11">
        <f t="shared" si="279"/>
        <v>8481.1809999999987</v>
      </c>
      <c r="N221" s="11">
        <f t="shared" si="279"/>
        <v>3522.1300000000006</v>
      </c>
      <c r="O221" s="11">
        <f t="shared" si="279"/>
        <v>3389.8040000000005</v>
      </c>
      <c r="P221" s="11">
        <f t="shared" si="279"/>
        <v>6367.1430000000018</v>
      </c>
      <c r="Q221" s="11">
        <f t="shared" si="279"/>
        <v>5265.3510000000006</v>
      </c>
      <c r="R221" s="11">
        <f t="shared" si="279"/>
        <v>5667</v>
      </c>
      <c r="S221" s="11">
        <f t="shared" si="279"/>
        <v>5559.2719999999999</v>
      </c>
      <c r="T221" s="11">
        <f t="shared" si="279"/>
        <v>3617.5650000000001</v>
      </c>
      <c r="U221" s="11">
        <f t="shared" si="279"/>
        <v>4274.4579999999996</v>
      </c>
      <c r="V221" s="11">
        <f t="shared" si="279"/>
        <v>4354.9310000000032</v>
      </c>
      <c r="W221" s="11">
        <f t="shared" si="279"/>
        <v>4170.2929999999906</v>
      </c>
      <c r="X221" s="11">
        <f t="shared" si="279"/>
        <v>2731.5239999999999</v>
      </c>
      <c r="Y221" s="11">
        <f t="shared" si="279"/>
        <v>4459.0370000000003</v>
      </c>
      <c r="Z221" s="11">
        <f t="shared" ref="Z221:Z223" si="281">SUM(N221:Y221)</f>
        <v>53378.508000000002</v>
      </c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>
        <f t="shared" si="280"/>
        <v>2712.578</v>
      </c>
      <c r="AO221" s="11">
        <f t="shared" si="280"/>
        <v>5048.3209999999999</v>
      </c>
      <c r="AP221" s="11">
        <f t="shared" si="280"/>
        <v>9462.9250000000084</v>
      </c>
      <c r="AQ221" s="11">
        <f t="shared" si="280"/>
        <v>5609.4080000000004</v>
      </c>
      <c r="AR221" s="11">
        <f t="shared" si="280"/>
        <v>4838.665</v>
      </c>
      <c r="AS221" s="11">
        <f t="shared" si="280"/>
        <v>3277.0050000000001</v>
      </c>
      <c r="AT221" s="11">
        <f t="shared" si="280"/>
        <v>3467.1730000000002</v>
      </c>
    </row>
    <row r="222" spans="1:46" x14ac:dyDescent="0.25">
      <c r="A222" s="17" t="s">
        <v>133</v>
      </c>
      <c r="B222" s="11">
        <f t="shared" si="278"/>
        <v>0</v>
      </c>
      <c r="C222" s="11">
        <f t="shared" si="278"/>
        <v>0</v>
      </c>
      <c r="D222" s="11">
        <f t="shared" si="278"/>
        <v>0</v>
      </c>
      <c r="E222" s="11">
        <f t="shared" si="278"/>
        <v>0</v>
      </c>
      <c r="F222" s="11">
        <f t="shared" si="278"/>
        <v>0</v>
      </c>
      <c r="G222" s="11">
        <f t="shared" si="278"/>
        <v>0</v>
      </c>
      <c r="H222" s="11">
        <f t="shared" si="278"/>
        <v>1847.4020000000003</v>
      </c>
      <c r="I222" s="11">
        <f t="shared" si="278"/>
        <v>1888.078</v>
      </c>
      <c r="J222" s="11">
        <f t="shared" si="278"/>
        <v>2624.681</v>
      </c>
      <c r="K222" s="11">
        <f t="shared" si="278"/>
        <v>3969.177999999999</v>
      </c>
      <c r="L222" s="11">
        <f t="shared" si="279"/>
        <v>5525.125</v>
      </c>
      <c r="M222" s="11">
        <f t="shared" si="279"/>
        <v>6378.8919999999998</v>
      </c>
      <c r="N222" s="11">
        <f t="shared" si="279"/>
        <v>2498.1880000000006</v>
      </c>
      <c r="O222" s="11">
        <f t="shared" si="279"/>
        <v>4422.6379999999999</v>
      </c>
      <c r="P222" s="11">
        <f t="shared" si="279"/>
        <v>6822.1260000000002</v>
      </c>
      <c r="Q222" s="11">
        <f t="shared" si="279"/>
        <v>5344.1650000000027</v>
      </c>
      <c r="R222" s="11">
        <f t="shared" si="279"/>
        <v>8600.155999999999</v>
      </c>
      <c r="S222" s="11">
        <f t="shared" si="279"/>
        <v>9119.7770000000019</v>
      </c>
      <c r="T222" s="11">
        <f t="shared" si="279"/>
        <v>7570.9919999999993</v>
      </c>
      <c r="U222" s="11">
        <f t="shared" si="279"/>
        <v>10118.216999999997</v>
      </c>
      <c r="V222" s="11">
        <f t="shared" si="279"/>
        <v>10883.054000000018</v>
      </c>
      <c r="W222" s="11">
        <f t="shared" si="279"/>
        <v>520.68500000000006</v>
      </c>
      <c r="X222" s="11">
        <f t="shared" si="279"/>
        <v>658.00199999999995</v>
      </c>
      <c r="Y222" s="11">
        <f t="shared" si="279"/>
        <v>1198.6169999999991</v>
      </c>
      <c r="Z222" s="11">
        <f t="shared" si="281"/>
        <v>67756.617000000013</v>
      </c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>
        <f t="shared" si="280"/>
        <v>6780.9749999999995</v>
      </c>
      <c r="AO222" s="11">
        <f t="shared" si="280"/>
        <v>13328.254999999999</v>
      </c>
      <c r="AP222" s="11">
        <f t="shared" si="280"/>
        <v>16060.787</v>
      </c>
      <c r="AQ222" s="11">
        <f t="shared" si="280"/>
        <v>11874.225</v>
      </c>
      <c r="AR222" s="11">
        <f t="shared" si="280"/>
        <v>9740.91500000003</v>
      </c>
      <c r="AS222" s="11">
        <f t="shared" si="280"/>
        <v>8765.7979999999898</v>
      </c>
      <c r="AT222" s="11">
        <f t="shared" si="280"/>
        <v>10131.492000000009</v>
      </c>
    </row>
    <row r="223" spans="1:46" x14ac:dyDescent="0.25">
      <c r="A223" s="156" t="s">
        <v>134</v>
      </c>
      <c r="B223" s="13">
        <f t="shared" ref="B223:M223" si="282">SUM(B187,B191,B195,B199,B203,B207,B211,B215)</f>
        <v>5124.0150000000003</v>
      </c>
      <c r="C223" s="13">
        <f t="shared" si="282"/>
        <v>3123.3230000000003</v>
      </c>
      <c r="D223" s="13">
        <f t="shared" si="282"/>
        <v>9273.6569999999992</v>
      </c>
      <c r="E223" s="13">
        <f t="shared" si="282"/>
        <v>8375.8829999999998</v>
      </c>
      <c r="F223" s="13">
        <f t="shared" si="282"/>
        <v>7642.2390000000005</v>
      </c>
      <c r="G223" s="13">
        <f t="shared" si="282"/>
        <v>10443.095999999998</v>
      </c>
      <c r="H223" s="13">
        <f t="shared" si="282"/>
        <v>10026.375999999998</v>
      </c>
      <c r="I223" s="13">
        <f t="shared" si="282"/>
        <v>8305.0380000000005</v>
      </c>
      <c r="J223" s="13">
        <f t="shared" si="282"/>
        <v>12079.638999999999</v>
      </c>
      <c r="K223" s="13">
        <f t="shared" si="282"/>
        <v>14980.904999999999</v>
      </c>
      <c r="L223" s="13">
        <f t="shared" si="282"/>
        <v>19145.392000000003</v>
      </c>
      <c r="M223" s="13">
        <f t="shared" si="282"/>
        <v>20737.664999999997</v>
      </c>
      <c r="N223" s="13">
        <f t="shared" ref="N223:Y223" si="283">SUM(N187,N191,N195,N199,N203,N207,N211,N215)</f>
        <v>7605.3430000000008</v>
      </c>
      <c r="O223" s="13">
        <f t="shared" si="283"/>
        <v>10037.486000000001</v>
      </c>
      <c r="P223" s="13">
        <f t="shared" si="283"/>
        <v>15422.884000000002</v>
      </c>
      <c r="Q223" s="13">
        <f t="shared" si="283"/>
        <v>12658.312000000002</v>
      </c>
      <c r="R223" s="13">
        <f t="shared" si="283"/>
        <v>16162.521000000001</v>
      </c>
      <c r="S223" s="13">
        <f t="shared" si="283"/>
        <v>16394.674000000003</v>
      </c>
      <c r="T223" s="13">
        <f t="shared" si="283"/>
        <v>12877.582999999997</v>
      </c>
      <c r="U223" s="13">
        <f t="shared" si="283"/>
        <v>20092.233999999997</v>
      </c>
      <c r="V223" s="13">
        <f t="shared" si="283"/>
        <v>21234.403000000017</v>
      </c>
      <c r="W223" s="13">
        <f t="shared" si="283"/>
        <v>9303.3069999999807</v>
      </c>
      <c r="X223" s="13">
        <f t="shared" si="283"/>
        <v>6353.8030000000008</v>
      </c>
      <c r="Y223" s="13">
        <f t="shared" si="283"/>
        <v>9953.36</v>
      </c>
      <c r="Z223" s="13">
        <f t="shared" si="281"/>
        <v>158095.91000000003</v>
      </c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3">
        <f>SUM(AN187,AN191,AN195,AN199,AN203,AN207,AN215)</f>
        <v>11825.101000000001</v>
      </c>
      <c r="AO223" s="13">
        <f>SUM(AO187,AO191,AO195,AO199,AO203,AO207,AO215)</f>
        <v>21762.708999999999</v>
      </c>
      <c r="AP223" s="13">
        <f>SUM(AP187,AP191,AP195,AP199,AP203,AP207,AP211,AP215)</f>
        <v>30133.393000000011</v>
      </c>
      <c r="AQ223" s="13">
        <f>SUM(AQ187,AQ191,AQ195,AQ199,AQ203,AQ207,AQ211,AQ215)</f>
        <v>23089.865999999998</v>
      </c>
      <c r="AR223" s="13">
        <f>SUM(AR187,AR191,AR195,AR199,AR203,AR207,AR211,AR215)</f>
        <v>19972.085000000032</v>
      </c>
      <c r="AS223" s="13">
        <f>SUM(AS187,AS191,AS195,AS199,AS203,AS207,AS211,AS215)</f>
        <v>16534.453999999991</v>
      </c>
      <c r="AT223" s="13">
        <f>SUM(AT187,AT191,AT195,AT199,AT203,AT207,AT211,AT215)</f>
        <v>18496.375000000007</v>
      </c>
    </row>
    <row r="225" spans="1:56" x14ac:dyDescent="0.25">
      <c r="A225" s="17" t="s">
        <v>140</v>
      </c>
      <c r="B225" s="14">
        <f>B220/B$223</f>
        <v>0.63467515219998372</v>
      </c>
      <c r="C225" s="14">
        <f t="shared" ref="C225:T225" si="284">C220/C$223</f>
        <v>0.52604261550918685</v>
      </c>
      <c r="D225" s="14">
        <f t="shared" si="284"/>
        <v>0.47830084722779809</v>
      </c>
      <c r="E225" s="14">
        <f t="shared" si="284"/>
        <v>0.52909179844083298</v>
      </c>
      <c r="F225" s="14">
        <f t="shared" si="284"/>
        <v>0.47198131332977156</v>
      </c>
      <c r="G225" s="14">
        <f t="shared" si="284"/>
        <v>0.43348983864555124</v>
      </c>
      <c r="H225" s="14">
        <f t="shared" si="284"/>
        <v>0.33504827666546722</v>
      </c>
      <c r="I225" s="14">
        <f t="shared" si="284"/>
        <v>0.45542223888680577</v>
      </c>
      <c r="J225" s="14">
        <f t="shared" si="284"/>
        <v>0.39786702235058513</v>
      </c>
      <c r="K225" s="14">
        <f t="shared" si="284"/>
        <v>0.33215409883448299</v>
      </c>
      <c r="L225" s="14">
        <f t="shared" si="284"/>
        <v>0.32960792863368898</v>
      </c>
      <c r="M225" s="14">
        <f t="shared" si="284"/>
        <v>0.28342593054714699</v>
      </c>
      <c r="N225" s="14">
        <f t="shared" si="284"/>
        <v>0.20840940375733211</v>
      </c>
      <c r="O225" s="14">
        <f t="shared" si="284"/>
        <v>0.22167343496170253</v>
      </c>
      <c r="P225" s="14">
        <f t="shared" si="284"/>
        <v>0.14482472927890788</v>
      </c>
      <c r="Q225" s="14">
        <f t="shared" si="284"/>
        <v>0.16185380799588442</v>
      </c>
      <c r="R225" s="14">
        <f t="shared" si="284"/>
        <v>0.11726914384210235</v>
      </c>
      <c r="S225" s="14">
        <f t="shared" si="284"/>
        <v>0.10464526467558913</v>
      </c>
      <c r="T225" s="14">
        <f t="shared" si="284"/>
        <v>0.13116017190492968</v>
      </c>
      <c r="U225" s="14">
        <f t="shared" ref="U225:V227" si="285">U220/U$223</f>
        <v>0.28366975021294299</v>
      </c>
      <c r="V225" s="14">
        <f t="shared" si="285"/>
        <v>0.28299547672708258</v>
      </c>
      <c r="W225" s="14">
        <f t="shared" ref="W225:X225" si="286">W220/W$223</f>
        <v>0.495773062202505</v>
      </c>
      <c r="X225" s="14">
        <f t="shared" si="286"/>
        <v>0.46653586836104294</v>
      </c>
      <c r="Y225" s="14">
        <f t="shared" ref="Y225" si="287">Y220/Y$223</f>
        <v>0.4315835054695098</v>
      </c>
      <c r="Z225" s="14">
        <f>Z220/Z$223</f>
        <v>0.23386820696373475</v>
      </c>
      <c r="AN225" s="14">
        <f t="shared" ref="AN225:AO227" si="288">AN220/AN$223</f>
        <v>0.1971693941557032</v>
      </c>
      <c r="AO225" s="14">
        <f t="shared" si="288"/>
        <v>0.15559335926423501</v>
      </c>
      <c r="AP225" s="14">
        <f t="shared" ref="AP225:AQ225" si="289">AP220/AP$223</f>
        <v>0.15297583647483701</v>
      </c>
      <c r="AQ225" s="14">
        <f t="shared" si="289"/>
        <v>0.2428101141860243</v>
      </c>
      <c r="AR225" s="14">
        <f t="shared" ref="AR225:AS225" si="290">AR220/AR$223</f>
        <v>0.2700021054386656</v>
      </c>
      <c r="AS225" s="14">
        <f t="shared" si="290"/>
        <v>0.27165402619282153</v>
      </c>
      <c r="AT225" s="14">
        <f t="shared" ref="AT225" si="291">AT220/AT$223</f>
        <v>0.26479296618932074</v>
      </c>
    </row>
    <row r="226" spans="1:56" x14ac:dyDescent="0.25">
      <c r="A226" s="17" t="s">
        <v>141</v>
      </c>
      <c r="B226" s="14">
        <f t="shared" ref="B226:T226" si="292">B221/B$223</f>
        <v>0.36532484780001623</v>
      </c>
      <c r="C226" s="14">
        <f t="shared" si="292"/>
        <v>0.47395738449081304</v>
      </c>
      <c r="D226" s="14">
        <f t="shared" si="292"/>
        <v>0.52169915277220202</v>
      </c>
      <c r="E226" s="14">
        <f t="shared" si="292"/>
        <v>0.47090820155916702</v>
      </c>
      <c r="F226" s="14">
        <f t="shared" si="292"/>
        <v>0.52801868667022844</v>
      </c>
      <c r="G226" s="14">
        <f t="shared" si="292"/>
        <v>0.56651016135444887</v>
      </c>
      <c r="H226" s="14">
        <f t="shared" si="292"/>
        <v>0.4806975122417112</v>
      </c>
      <c r="I226" s="14">
        <f t="shared" si="292"/>
        <v>0.31723647742490763</v>
      </c>
      <c r="J226" s="14">
        <f t="shared" si="292"/>
        <v>0.38485156717017793</v>
      </c>
      <c r="K226" s="14">
        <f t="shared" si="292"/>
        <v>0.40289675423480759</v>
      </c>
      <c r="L226" s="14">
        <f t="shared" si="292"/>
        <v>0.38180435271317503</v>
      </c>
      <c r="M226" s="14">
        <f t="shared" si="292"/>
        <v>0.40897473269049334</v>
      </c>
      <c r="N226" s="14">
        <f t="shared" si="292"/>
        <v>0.4631125775655352</v>
      </c>
      <c r="O226" s="14">
        <f t="shared" si="292"/>
        <v>0.33771444363658393</v>
      </c>
      <c r="P226" s="14">
        <f t="shared" si="292"/>
        <v>0.4128373785343909</v>
      </c>
      <c r="Q226" s="14">
        <f t="shared" si="292"/>
        <v>0.41595996369816135</v>
      </c>
      <c r="R226" s="14">
        <f t="shared" si="292"/>
        <v>0.35062599454627158</v>
      </c>
      <c r="S226" s="14">
        <f t="shared" si="292"/>
        <v>0.33909012158460722</v>
      </c>
      <c r="T226" s="14">
        <f t="shared" si="292"/>
        <v>0.2809195638653621</v>
      </c>
      <c r="U226" s="14">
        <f t="shared" si="285"/>
        <v>0.21274179864717882</v>
      </c>
      <c r="V226" s="14">
        <f t="shared" si="285"/>
        <v>0.20508845951543822</v>
      </c>
      <c r="W226" s="14">
        <f t="shared" ref="W226:X226" si="293">W221/W$223</f>
        <v>0.44825920503322092</v>
      </c>
      <c r="X226" s="14">
        <f t="shared" si="293"/>
        <v>0.4299037914773246</v>
      </c>
      <c r="Y226" s="14">
        <f t="shared" ref="Y226" si="294">Y221/Y$223</f>
        <v>0.44799314000498325</v>
      </c>
      <c r="Z226" s="14">
        <f>Z221/Z$223</f>
        <v>0.33763370602060477</v>
      </c>
      <c r="AN226" s="14">
        <f t="shared" si="288"/>
        <v>0.22939152908715113</v>
      </c>
      <c r="AO226" s="14">
        <f t="shared" si="288"/>
        <v>0.23197116682486543</v>
      </c>
      <c r="AP226" s="14">
        <f t="shared" ref="AP226:AQ226" si="295">AP221/AP$223</f>
        <v>0.31403449986531567</v>
      </c>
      <c r="AQ226" s="14">
        <f t="shared" si="295"/>
        <v>0.24293809240815867</v>
      </c>
      <c r="AR226" s="14">
        <f t="shared" ref="AR226:AS226" si="296">AR221/AR$223</f>
        <v>0.24227140030697808</v>
      </c>
      <c r="AS226" s="14">
        <f t="shared" si="296"/>
        <v>0.19819251364453896</v>
      </c>
      <c r="AT226" s="14">
        <f t="shared" ref="AT226" si="297">AT221/AT$223</f>
        <v>0.18745148711571855</v>
      </c>
    </row>
    <row r="227" spans="1:56" x14ac:dyDescent="0.25">
      <c r="A227" s="17" t="s">
        <v>142</v>
      </c>
      <c r="B227" s="14">
        <f t="shared" ref="B227:T227" si="298">B222/B$223</f>
        <v>0</v>
      </c>
      <c r="C227" s="14">
        <f t="shared" si="298"/>
        <v>0</v>
      </c>
      <c r="D227" s="14">
        <f t="shared" si="298"/>
        <v>0</v>
      </c>
      <c r="E227" s="14">
        <f t="shared" si="298"/>
        <v>0</v>
      </c>
      <c r="F227" s="14">
        <f t="shared" si="298"/>
        <v>0</v>
      </c>
      <c r="G227" s="14">
        <f t="shared" si="298"/>
        <v>0</v>
      </c>
      <c r="H227" s="14">
        <f t="shared" si="298"/>
        <v>0.18425421109282164</v>
      </c>
      <c r="I227" s="14">
        <f t="shared" si="298"/>
        <v>0.22734128368828654</v>
      </c>
      <c r="J227" s="14">
        <f t="shared" si="298"/>
        <v>0.21728141047923702</v>
      </c>
      <c r="K227" s="14">
        <f t="shared" si="298"/>
        <v>0.26494914693070942</v>
      </c>
      <c r="L227" s="14">
        <f t="shared" si="298"/>
        <v>0.28858771865313593</v>
      </c>
      <c r="M227" s="14">
        <f t="shared" si="298"/>
        <v>0.30759933676235973</v>
      </c>
      <c r="N227" s="14">
        <f t="shared" si="298"/>
        <v>0.32847801867713267</v>
      </c>
      <c r="O227" s="14">
        <f t="shared" si="298"/>
        <v>0.44061212140171352</v>
      </c>
      <c r="P227" s="14">
        <f t="shared" si="298"/>
        <v>0.44233789218670122</v>
      </c>
      <c r="Q227" s="14">
        <f t="shared" si="298"/>
        <v>0.42218622830595437</v>
      </c>
      <c r="R227" s="14">
        <f t="shared" si="298"/>
        <v>0.53210486161162596</v>
      </c>
      <c r="S227" s="14">
        <f t="shared" si="298"/>
        <v>0.55626461373980352</v>
      </c>
      <c r="T227" s="14">
        <f t="shared" si="298"/>
        <v>0.58792026422970844</v>
      </c>
      <c r="U227" s="14">
        <f t="shared" si="285"/>
        <v>0.50358845113987816</v>
      </c>
      <c r="V227" s="14">
        <f t="shared" si="285"/>
        <v>0.51251989519083774</v>
      </c>
      <c r="W227" s="14">
        <f t="shared" ref="W227:X227" si="299">W222/W$223</f>
        <v>5.5967732764274157E-2</v>
      </c>
      <c r="X227" s="14">
        <f t="shared" si="299"/>
        <v>0.10356034016163231</v>
      </c>
      <c r="Y227" s="14">
        <f t="shared" ref="Y227" si="300">Y222/Y$223</f>
        <v>0.12042335452550686</v>
      </c>
      <c r="Z227" s="14">
        <f>Z222/Z$223</f>
        <v>0.42857918968302217</v>
      </c>
      <c r="AN227" s="14">
        <f t="shared" si="288"/>
        <v>0.57343907675714556</v>
      </c>
      <c r="AO227" s="14">
        <f t="shared" si="288"/>
        <v>0.61243547391089959</v>
      </c>
      <c r="AP227" s="14">
        <f t="shared" ref="AP227:AQ227" si="301">AP222/AP$223</f>
        <v>0.53298966365984723</v>
      </c>
      <c r="AQ227" s="14">
        <f t="shared" si="301"/>
        <v>0.51426132139528224</v>
      </c>
      <c r="AR227" s="14">
        <f t="shared" ref="AR227:AS227" si="302">AR222/AR$223</f>
        <v>0.48772649425435621</v>
      </c>
      <c r="AS227" s="14">
        <f t="shared" si="302"/>
        <v>0.53015346016263942</v>
      </c>
      <c r="AT227" s="14">
        <f t="shared" ref="AT227" si="303">AT222/AT$223</f>
        <v>0.54775554669496074</v>
      </c>
    </row>
    <row r="231" spans="1:56" s="9" customFormat="1" x14ac:dyDescent="0.25">
      <c r="A231" s="9" t="s">
        <v>210</v>
      </c>
      <c r="B231" s="18">
        <v>1501</v>
      </c>
      <c r="C231" s="18">
        <v>1502</v>
      </c>
      <c r="D231" s="18">
        <v>1503</v>
      </c>
      <c r="E231" s="18">
        <v>1504</v>
      </c>
      <c r="F231" s="18">
        <v>1505</v>
      </c>
      <c r="G231" s="18">
        <v>1506</v>
      </c>
      <c r="H231" s="18">
        <v>1507</v>
      </c>
      <c r="I231" s="18">
        <v>1508</v>
      </c>
      <c r="J231" s="18">
        <v>1509</v>
      </c>
      <c r="K231" s="18">
        <v>1510</v>
      </c>
      <c r="L231" s="18">
        <v>1511</v>
      </c>
      <c r="M231" s="18">
        <v>1512</v>
      </c>
      <c r="N231" s="18">
        <v>1601</v>
      </c>
      <c r="O231" s="18">
        <v>1602</v>
      </c>
      <c r="P231" s="18">
        <v>1603</v>
      </c>
      <c r="Q231" s="18">
        <v>1604</v>
      </c>
      <c r="R231" s="18">
        <v>1605</v>
      </c>
      <c r="S231" s="18">
        <v>1606</v>
      </c>
      <c r="T231" s="18">
        <v>1607</v>
      </c>
      <c r="U231" s="18">
        <v>1608</v>
      </c>
      <c r="V231" s="18">
        <v>1609</v>
      </c>
      <c r="W231" s="18">
        <v>1610</v>
      </c>
      <c r="X231" s="18">
        <v>1611</v>
      </c>
      <c r="Y231" s="18">
        <v>1612</v>
      </c>
      <c r="Z231" s="19" t="s">
        <v>52</v>
      </c>
      <c r="AA231" s="19" t="s">
        <v>56</v>
      </c>
      <c r="AB231" s="19" t="s">
        <v>57</v>
      </c>
      <c r="AC231" s="19" t="s">
        <v>58</v>
      </c>
      <c r="AD231" s="19" t="s">
        <v>59</v>
      </c>
      <c r="AE231" s="20" t="s">
        <v>53</v>
      </c>
      <c r="AF231" s="20" t="s">
        <v>60</v>
      </c>
      <c r="AG231" s="20" t="s">
        <v>61</v>
      </c>
      <c r="AH231" s="20" t="s">
        <v>62</v>
      </c>
      <c r="AI231" s="20" t="s">
        <v>63</v>
      </c>
      <c r="AN231" s="18">
        <v>1701</v>
      </c>
      <c r="AO231" s="18">
        <v>1702</v>
      </c>
      <c r="AP231" s="18">
        <v>1703</v>
      </c>
      <c r="AQ231" s="18">
        <v>1704</v>
      </c>
      <c r="AR231" s="18">
        <v>1705</v>
      </c>
      <c r="AS231" s="18">
        <v>1706</v>
      </c>
      <c r="AT231" s="18">
        <v>1707</v>
      </c>
      <c r="AU231" s="18">
        <v>1708</v>
      </c>
      <c r="AV231" s="18">
        <v>1709</v>
      </c>
      <c r="AW231" s="18">
        <v>1710</v>
      </c>
      <c r="AX231" s="18">
        <v>1711</v>
      </c>
      <c r="AY231" s="18">
        <v>1712</v>
      </c>
      <c r="AZ231" s="19" t="s">
        <v>184</v>
      </c>
      <c r="BA231" s="19" t="s">
        <v>185</v>
      </c>
      <c r="BB231" s="19" t="s">
        <v>186</v>
      </c>
      <c r="BC231" s="19" t="s">
        <v>187</v>
      </c>
      <c r="BD231" s="19" t="s">
        <v>188</v>
      </c>
    </row>
    <row r="232" spans="1:56" x14ac:dyDescent="0.25">
      <c r="A232" s="17" t="s">
        <v>71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85"/>
      <c r="U232" s="185"/>
      <c r="V232" s="21"/>
      <c r="W232" s="21"/>
      <c r="X232" s="21"/>
      <c r="Y232" s="21"/>
      <c r="Z232" s="11">
        <f>SUM($N232:INDEX($N232:$Y232,$A$3))</f>
        <v>0</v>
      </c>
      <c r="AA232" s="11">
        <f>SUM(N232:P232)</f>
        <v>0</v>
      </c>
      <c r="AB232" s="11">
        <f>SUM(Q232:S232)</f>
        <v>0</v>
      </c>
      <c r="AC232" s="21">
        <f>SUM(T232:V232)</f>
        <v>0</v>
      </c>
      <c r="AD232" s="21">
        <f>SUM(W232:Y232)</f>
        <v>0</v>
      </c>
      <c r="AE232" s="26">
        <f>SUM($B232:INDEX($B232:$M232,$A$3))</f>
        <v>0</v>
      </c>
      <c r="AF232" s="21">
        <f>SUM(B232:D232)</f>
        <v>0</v>
      </c>
      <c r="AG232" s="21">
        <f>SUM(E232:G232)</f>
        <v>0</v>
      </c>
      <c r="AH232" s="11">
        <f>SUM(H232:J232)</f>
        <v>0</v>
      </c>
      <c r="AI232" s="11">
        <f>SUM(K232:M232)</f>
        <v>0</v>
      </c>
      <c r="AJ232" s="147"/>
      <c r="AN232" s="11"/>
      <c r="AO232" s="11"/>
      <c r="AP232" s="11"/>
      <c r="AQ232" s="11"/>
      <c r="AR232" s="11"/>
      <c r="AS232" s="11"/>
      <c r="AT232" s="185"/>
      <c r="AU232" s="185"/>
      <c r="AV232" s="21"/>
      <c r="AW232" s="21"/>
      <c r="AX232" s="21"/>
      <c r="AY232" s="21"/>
      <c r="AZ232" s="21">
        <f>SUM($AN232:INDEX($AN232:$AY232,$A$3))</f>
        <v>0</v>
      </c>
      <c r="BA232" s="21">
        <f>SUM(AN232:AP232)</f>
        <v>0</v>
      </c>
      <c r="BB232" s="21">
        <f>SUM(AQ232:AS232)</f>
        <v>0</v>
      </c>
      <c r="BC232" s="21">
        <f>SUM(AT232:AV232)</f>
        <v>0</v>
      </c>
      <c r="BD232" s="21">
        <f>SUM(AW232:AY232)</f>
        <v>0</v>
      </c>
    </row>
    <row r="233" spans="1:56" x14ac:dyDescent="0.25">
      <c r="A233" s="17" t="s">
        <v>47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21"/>
      <c r="U233" s="21"/>
      <c r="V233" s="21"/>
      <c r="W233" s="21"/>
      <c r="X233" s="21"/>
      <c r="Y233" s="21"/>
      <c r="Z233" s="11">
        <f>SUM($N233:INDEX($N233:$Y233,$A$3))</f>
        <v>0</v>
      </c>
      <c r="AA233" s="11">
        <f>SUM(N233:P233)</f>
        <v>0</v>
      </c>
      <c r="AB233" s="11">
        <f>SUM(Q233:S233)</f>
        <v>0</v>
      </c>
      <c r="AC233" s="21">
        <f>SUM(T233:V233)</f>
        <v>0</v>
      </c>
      <c r="AD233" s="21">
        <f>SUM(W233:Y233)</f>
        <v>0</v>
      </c>
      <c r="AE233" s="11">
        <f>SUM($B233:INDEX($B233:$M233,$A$3))</f>
        <v>0</v>
      </c>
      <c r="AF233" s="21">
        <f>SUM(B233:D233)</f>
        <v>0</v>
      </c>
      <c r="AG233" s="21">
        <f>SUM(E233:G233)</f>
        <v>0</v>
      </c>
      <c r="AH233" s="11">
        <f>SUM(H233:J233)</f>
        <v>0</v>
      </c>
      <c r="AI233" s="11">
        <f>SUM(K233:M233)</f>
        <v>0</v>
      </c>
      <c r="AJ233" s="147" t="e">
        <f>Z233/AE233</f>
        <v>#DIV/0!</v>
      </c>
      <c r="AN233" s="11"/>
      <c r="AO233" s="21"/>
      <c r="AP233" s="11"/>
      <c r="AQ233" s="11"/>
      <c r="AR233" s="11"/>
      <c r="AS233" s="11"/>
      <c r="AT233" s="21"/>
      <c r="AU233" s="21"/>
      <c r="AV233" s="21"/>
      <c r="AW233" s="21"/>
      <c r="AX233" s="21"/>
      <c r="AY233" s="21"/>
      <c r="AZ233" s="21">
        <f>SUM($AN233:INDEX($AN233:$AY233,$A$3))</f>
        <v>0</v>
      </c>
      <c r="BA233" s="21">
        <f>SUM(AN233:AP233)</f>
        <v>0</v>
      </c>
      <c r="BB233" s="21">
        <f>SUM(AQ233:AS233)</f>
        <v>0</v>
      </c>
      <c r="BC233" s="21">
        <f>SUM(AT233:AV233)</f>
        <v>0</v>
      </c>
      <c r="BD233" s="21">
        <f>SUM(AW233:AY233)</f>
        <v>0</v>
      </c>
    </row>
    <row r="234" spans="1:56" x14ac:dyDescent="0.25">
      <c r="A234" s="17" t="s">
        <v>116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21"/>
      <c r="U234" s="21"/>
      <c r="V234" s="21"/>
      <c r="W234" s="21"/>
      <c r="X234" s="21"/>
      <c r="Y234" s="21"/>
      <c r="Z234" s="11">
        <f>SUM($N234:INDEX($N234:$Y234,$A$3))</f>
        <v>0</v>
      </c>
      <c r="AA234" s="11">
        <f>SUM(N234:P234)</f>
        <v>0</v>
      </c>
      <c r="AB234" s="11">
        <f>SUM(Q234:S234)</f>
        <v>0</v>
      </c>
      <c r="AC234" s="21">
        <f>SUM(T234:V234)</f>
        <v>0</v>
      </c>
      <c r="AD234" s="21">
        <f>SUM(W234:Y234)</f>
        <v>0</v>
      </c>
      <c r="AE234" s="11">
        <f>SUM($B234:INDEX($B234:$M234,$A$3))</f>
        <v>0</v>
      </c>
      <c r="AF234" s="21">
        <f>SUM(B234:D234)</f>
        <v>0</v>
      </c>
      <c r="AG234" s="21">
        <f>SUM(E234:G234)</f>
        <v>0</v>
      </c>
      <c r="AH234" s="11">
        <f>SUM(H234:J234)</f>
        <v>0</v>
      </c>
      <c r="AI234" s="11">
        <f>SUM(K234:M234)</f>
        <v>0</v>
      </c>
      <c r="AJ234" s="147"/>
      <c r="AN234" s="11"/>
      <c r="AO234" s="21"/>
      <c r="AP234" s="11"/>
      <c r="AQ234" s="11"/>
      <c r="AR234" s="11"/>
      <c r="AS234" s="11"/>
      <c r="AT234" s="21"/>
      <c r="AU234" s="21"/>
      <c r="AV234" s="21"/>
      <c r="AW234" s="21"/>
      <c r="AX234" s="21"/>
      <c r="AY234" s="21"/>
      <c r="AZ234" s="21">
        <f>SUM($AN234:INDEX($AN234:$AY234,$A$3))</f>
        <v>0</v>
      </c>
      <c r="BA234" s="21">
        <f>SUM(AN234:AP234)</f>
        <v>0</v>
      </c>
      <c r="BB234" s="21">
        <f>SUM(AQ234:AS234)</f>
        <v>0</v>
      </c>
      <c r="BC234" s="21">
        <f>SUM(AT234:AV234)</f>
        <v>0</v>
      </c>
      <c r="BD234" s="21">
        <f>SUM(AW234:AY234)</f>
        <v>0</v>
      </c>
    </row>
    <row r="235" spans="1:56" x14ac:dyDescent="0.25">
      <c r="A235" s="17" t="s">
        <v>48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25"/>
      <c r="U235" s="125"/>
      <c r="V235" s="21"/>
      <c r="W235" s="157"/>
      <c r="X235" s="21"/>
      <c r="Y235" s="21"/>
      <c r="Z235" s="11">
        <f>SUM($N235:INDEX($N235:$Y235,$A$3))</f>
        <v>0</v>
      </c>
      <c r="AA235" s="11">
        <f>SUM(N235:P235)</f>
        <v>0</v>
      </c>
      <c r="AB235" s="11">
        <f>SUM(Q235:S235)</f>
        <v>0</v>
      </c>
      <c r="AC235" s="21">
        <f>SUM(T235:V235)</f>
        <v>0</v>
      </c>
      <c r="AD235" s="21">
        <f>SUM(W235:Y235)</f>
        <v>0</v>
      </c>
      <c r="AE235" s="11">
        <f>SUM($B235:INDEX($B235:$M235,$A$3))</f>
        <v>0</v>
      </c>
      <c r="AF235" s="21">
        <f>SUM(B235:D235)</f>
        <v>0</v>
      </c>
      <c r="AG235" s="21">
        <f>SUM(E235:G235)</f>
        <v>0</v>
      </c>
      <c r="AH235" s="11">
        <f>SUM(H235:J235)</f>
        <v>0</v>
      </c>
      <c r="AI235" s="11">
        <f>SUM(K235:M235)</f>
        <v>0</v>
      </c>
      <c r="AJ235" s="147"/>
      <c r="AN235" s="11"/>
      <c r="AO235" s="21"/>
      <c r="AP235" s="11"/>
      <c r="AQ235" s="11"/>
      <c r="AR235" s="11"/>
      <c r="AS235" s="11"/>
      <c r="AT235" s="125"/>
      <c r="AU235" s="125"/>
      <c r="AV235" s="21"/>
      <c r="AW235" s="157"/>
      <c r="AX235" s="21"/>
      <c r="AY235" s="21"/>
      <c r="AZ235" s="21">
        <f>SUM($AN235:INDEX($AN235:$AY235,$A$3))</f>
        <v>0</v>
      </c>
      <c r="BA235" s="21">
        <f>SUM(AN235:AP235)</f>
        <v>0</v>
      </c>
      <c r="BB235" s="21">
        <f>SUM(AQ235:AS235)</f>
        <v>0</v>
      </c>
      <c r="BC235" s="21">
        <f>SUM(AT235:AV235)</f>
        <v>0</v>
      </c>
      <c r="BD235" s="21">
        <f>SUM(AW235:AY235)</f>
        <v>0</v>
      </c>
    </row>
    <row r="236" spans="1:56" x14ac:dyDescent="0.25">
      <c r="A236" s="17" t="s">
        <v>201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25"/>
      <c r="U236" s="125"/>
      <c r="V236" s="21"/>
      <c r="W236" s="157"/>
      <c r="X236" s="21"/>
      <c r="Y236" s="21"/>
      <c r="Z236" s="11"/>
      <c r="AA236" s="11"/>
      <c r="AB236" s="11"/>
      <c r="AC236" s="21"/>
      <c r="AD236" s="21"/>
      <c r="AE236" s="11">
        <f>SUM($B236:INDEX($B236:$M236,$A$3))</f>
        <v>0</v>
      </c>
      <c r="AF236" s="21">
        <f>SUM(B236:D236)</f>
        <v>0</v>
      </c>
      <c r="AG236" s="21">
        <f>SUM(E236:G236)</f>
        <v>0</v>
      </c>
      <c r="AH236" s="11">
        <f>SUM(H236:J236)</f>
        <v>0</v>
      </c>
      <c r="AI236" s="11">
        <f>SUM(K236:M236)</f>
        <v>0</v>
      </c>
      <c r="AJ236" s="147"/>
      <c r="AN236" s="11"/>
      <c r="AO236" s="21"/>
      <c r="AP236" s="11"/>
      <c r="AQ236" s="11"/>
      <c r="AR236" s="11"/>
      <c r="AS236" s="11"/>
      <c r="AT236" s="125"/>
      <c r="AU236" s="125"/>
      <c r="AV236" s="21"/>
      <c r="AW236" s="157"/>
      <c r="AX236" s="21"/>
      <c r="AY236" s="21"/>
      <c r="AZ236" s="21">
        <f>SUM($AN236:INDEX($AN236:$AY236,$A$3))</f>
        <v>0</v>
      </c>
      <c r="BA236" s="21">
        <f>SUM(AN236:AP236)</f>
        <v>0</v>
      </c>
      <c r="BB236" s="21">
        <f>SUM(AQ236:AS236)</f>
        <v>0</v>
      </c>
      <c r="BC236" s="21">
        <f>SUM(AT236:AV236)</f>
        <v>0</v>
      </c>
      <c r="BD236" s="21">
        <f>SUM(AW236:AY236)</f>
        <v>0</v>
      </c>
    </row>
    <row r="237" spans="1:56" x14ac:dyDescent="0.25">
      <c r="B237" s="13">
        <f t="shared" ref="B237:AI237" si="304">SUM(B232:B236)</f>
        <v>0</v>
      </c>
      <c r="C237" s="13">
        <f t="shared" si="304"/>
        <v>0</v>
      </c>
      <c r="D237" s="13">
        <f t="shared" si="304"/>
        <v>0</v>
      </c>
      <c r="E237" s="13">
        <f t="shared" si="304"/>
        <v>0</v>
      </c>
      <c r="F237" s="13">
        <f t="shared" si="304"/>
        <v>0</v>
      </c>
      <c r="G237" s="13">
        <f t="shared" si="304"/>
        <v>0</v>
      </c>
      <c r="H237" s="13">
        <f t="shared" si="304"/>
        <v>0</v>
      </c>
      <c r="I237" s="13">
        <f t="shared" si="304"/>
        <v>0</v>
      </c>
      <c r="J237" s="13">
        <f t="shared" si="304"/>
        <v>0</v>
      </c>
      <c r="K237" s="13">
        <f t="shared" si="304"/>
        <v>0</v>
      </c>
      <c r="L237" s="13">
        <f t="shared" si="304"/>
        <v>0</v>
      </c>
      <c r="M237" s="13">
        <f t="shared" si="304"/>
        <v>0</v>
      </c>
      <c r="N237" s="13">
        <f t="shared" si="304"/>
        <v>0</v>
      </c>
      <c r="O237" s="13">
        <f t="shared" si="304"/>
        <v>0</v>
      </c>
      <c r="P237" s="13">
        <f t="shared" si="304"/>
        <v>0</v>
      </c>
      <c r="Q237" s="13">
        <f t="shared" si="304"/>
        <v>0</v>
      </c>
      <c r="R237" s="13">
        <f t="shared" si="304"/>
        <v>0</v>
      </c>
      <c r="S237" s="13">
        <f t="shared" si="304"/>
        <v>0</v>
      </c>
      <c r="T237" s="22">
        <f t="shared" si="304"/>
        <v>0</v>
      </c>
      <c r="U237" s="22">
        <f t="shared" si="304"/>
        <v>0</v>
      </c>
      <c r="V237" s="22">
        <f t="shared" si="304"/>
        <v>0</v>
      </c>
      <c r="W237" s="22">
        <f t="shared" si="304"/>
        <v>0</v>
      </c>
      <c r="X237" s="22">
        <f t="shared" si="304"/>
        <v>0</v>
      </c>
      <c r="Y237" s="22">
        <f t="shared" si="304"/>
        <v>0</v>
      </c>
      <c r="Z237" s="13">
        <f t="shared" si="304"/>
        <v>0</v>
      </c>
      <c r="AA237" s="13">
        <f t="shared" si="304"/>
        <v>0</v>
      </c>
      <c r="AB237" s="13">
        <f t="shared" si="304"/>
        <v>0</v>
      </c>
      <c r="AC237" s="22">
        <f t="shared" si="304"/>
        <v>0</v>
      </c>
      <c r="AD237" s="22">
        <f t="shared" si="304"/>
        <v>0</v>
      </c>
      <c r="AE237" s="13">
        <f t="shared" si="304"/>
        <v>0</v>
      </c>
      <c r="AF237" s="22">
        <f t="shared" si="304"/>
        <v>0</v>
      </c>
      <c r="AG237" s="22">
        <f t="shared" si="304"/>
        <v>0</v>
      </c>
      <c r="AH237" s="13">
        <f t="shared" si="304"/>
        <v>0</v>
      </c>
      <c r="AI237" s="13">
        <f t="shared" si="304"/>
        <v>0</v>
      </c>
      <c r="AJ237" s="147" t="e">
        <f>Z237/AE237</f>
        <v>#DIV/0!</v>
      </c>
      <c r="AK237" s="14">
        <f>Z237/SUM(N227:X227)</f>
        <v>0</v>
      </c>
      <c r="AL237" s="14" t="e">
        <f>X237/L237</f>
        <v>#DIV/0!</v>
      </c>
      <c r="AM237" s="14">
        <f>X237/X227</f>
        <v>0</v>
      </c>
      <c r="AN237" s="22">
        <f t="shared" ref="AN237:BD237" si="305">SUM(AN232:AN236)</f>
        <v>0</v>
      </c>
      <c r="AO237" s="22">
        <f t="shared" si="305"/>
        <v>0</v>
      </c>
      <c r="AP237" s="22">
        <f t="shared" si="305"/>
        <v>0</v>
      </c>
      <c r="AQ237" s="22">
        <f t="shared" si="305"/>
        <v>0</v>
      </c>
      <c r="AR237" s="22">
        <f t="shared" si="305"/>
        <v>0</v>
      </c>
      <c r="AS237" s="22">
        <f t="shared" si="305"/>
        <v>0</v>
      </c>
      <c r="AT237" s="22">
        <f t="shared" si="305"/>
        <v>0</v>
      </c>
      <c r="AU237" s="22">
        <f t="shared" si="305"/>
        <v>0</v>
      </c>
      <c r="AV237" s="22">
        <f t="shared" si="305"/>
        <v>0</v>
      </c>
      <c r="AW237" s="22">
        <f t="shared" si="305"/>
        <v>0</v>
      </c>
      <c r="AX237" s="22">
        <f t="shared" si="305"/>
        <v>0</v>
      </c>
      <c r="AY237" s="22">
        <f t="shared" si="305"/>
        <v>0</v>
      </c>
      <c r="AZ237" s="22">
        <f t="shared" si="305"/>
        <v>0</v>
      </c>
      <c r="BA237" s="22">
        <f t="shared" si="305"/>
        <v>0</v>
      </c>
      <c r="BB237" s="22">
        <f t="shared" si="305"/>
        <v>0</v>
      </c>
      <c r="BC237" s="22">
        <f t="shared" si="305"/>
        <v>0</v>
      </c>
      <c r="BD237" s="22">
        <f t="shared" si="305"/>
        <v>0</v>
      </c>
    </row>
    <row r="238" spans="1:56" x14ac:dyDescent="0.25">
      <c r="A238" s="17" t="s">
        <v>170</v>
      </c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47" t="e">
        <f>N237/B237</f>
        <v>#DIV/0!</v>
      </c>
      <c r="O238" s="147" t="e">
        <f t="shared" ref="O238" si="306">O237/C237</f>
        <v>#DIV/0!</v>
      </c>
      <c r="P238" s="147" t="e">
        <f t="shared" ref="P238" si="307">P237/D237</f>
        <v>#DIV/0!</v>
      </c>
      <c r="Q238" s="147" t="e">
        <f t="shared" ref="Q238" si="308">Q237/E237</f>
        <v>#DIV/0!</v>
      </c>
      <c r="R238" s="147" t="e">
        <f t="shared" ref="R238" si="309">R237/F237</f>
        <v>#DIV/0!</v>
      </c>
      <c r="S238" s="147" t="e">
        <f t="shared" ref="S238" si="310">S237/G237</f>
        <v>#DIV/0!</v>
      </c>
      <c r="T238" s="147" t="e">
        <f t="shared" ref="T238" si="311">T237/H237</f>
        <v>#DIV/0!</v>
      </c>
      <c r="U238" s="147" t="e">
        <f t="shared" ref="U238" si="312">U237/I237</f>
        <v>#DIV/0!</v>
      </c>
      <c r="V238" s="147" t="e">
        <f t="shared" ref="V238" si="313">V237/J237</f>
        <v>#DIV/0!</v>
      </c>
      <c r="W238" s="147" t="e">
        <f t="shared" ref="W238" si="314">W237/K237</f>
        <v>#DIV/0!</v>
      </c>
      <c r="X238" s="147" t="e">
        <f t="shared" ref="X238" si="315">X237/L237</f>
        <v>#DIV/0!</v>
      </c>
      <c r="Y238" s="147" t="e">
        <f t="shared" ref="Y238" si="316">Y237/M237</f>
        <v>#DIV/0!</v>
      </c>
      <c r="Z238" s="13"/>
      <c r="AA238" s="13"/>
      <c r="AB238" s="13"/>
      <c r="AC238" s="22"/>
      <c r="AD238" s="22"/>
      <c r="AE238" s="13"/>
      <c r="AF238" s="22"/>
      <c r="AG238" s="22"/>
      <c r="AH238" s="13"/>
      <c r="AI238" s="13"/>
      <c r="AJ238" s="147"/>
      <c r="AK238" s="14"/>
      <c r="AL238" s="14"/>
      <c r="AM238" s="14"/>
      <c r="AN238" s="147" t="e">
        <f>AN237/N237</f>
        <v>#DIV/0!</v>
      </c>
      <c r="AO238" s="147" t="e">
        <f>AO237/O237</f>
        <v>#DIV/0!</v>
      </c>
      <c r="AP238" s="192" t="e">
        <f t="shared" ref="AP238" si="317">AP237/P237</f>
        <v>#DIV/0!</v>
      </c>
      <c r="AQ238" s="192" t="e">
        <f t="shared" ref="AQ238" si="318">AQ237/Q237</f>
        <v>#DIV/0!</v>
      </c>
      <c r="AR238" s="192" t="e">
        <f t="shared" ref="AR238" si="319">AR237/R237</f>
        <v>#DIV/0!</v>
      </c>
      <c r="AS238" s="192" t="e">
        <f t="shared" ref="AS238" si="320">AS237/S237</f>
        <v>#DIV/0!</v>
      </c>
      <c r="AT238" s="192" t="e">
        <f t="shared" ref="AT238" si="321">AT237/T237</f>
        <v>#DIV/0!</v>
      </c>
      <c r="AU238" s="192" t="e">
        <f t="shared" ref="AU238" si="322">AU237/U237</f>
        <v>#DIV/0!</v>
      </c>
      <c r="AV238" s="192" t="e">
        <f t="shared" ref="AV238" si="323">AV237/V237</f>
        <v>#DIV/0!</v>
      </c>
      <c r="AW238" s="192" t="e">
        <f t="shared" ref="AW238" si="324">AW237/W237</f>
        <v>#DIV/0!</v>
      </c>
      <c r="AX238" s="192" t="e">
        <f t="shared" ref="AX238" si="325">AX237/X237</f>
        <v>#DIV/0!</v>
      </c>
      <c r="AY238" s="192" t="e">
        <f t="shared" ref="AY238" si="326">AY237/Y237</f>
        <v>#DIV/0!</v>
      </c>
      <c r="AZ238" s="13"/>
      <c r="BA238" s="13"/>
      <c r="BB238" s="13"/>
      <c r="BC238" s="22"/>
      <c r="BD238" s="22"/>
    </row>
    <row r="239" spans="1:56" x14ac:dyDescent="0.25">
      <c r="A239" s="17" t="s">
        <v>169</v>
      </c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47" t="e">
        <f>SUM($N237:N237)/SUM($B237:B237)</f>
        <v>#DIV/0!</v>
      </c>
      <c r="O239" s="147" t="e">
        <f>SUM($N237:O237)/SUM($B237:C237)</f>
        <v>#DIV/0!</v>
      </c>
      <c r="P239" s="147" t="e">
        <f>SUM($N237:P237)/SUM($B237:D237)</f>
        <v>#DIV/0!</v>
      </c>
      <c r="Q239" s="147" t="e">
        <f>SUM($N237:Q237)/SUM($B237:E237)</f>
        <v>#DIV/0!</v>
      </c>
      <c r="R239" s="147" t="e">
        <f>SUM($N237:R237)/SUM($B237:F237)</f>
        <v>#DIV/0!</v>
      </c>
      <c r="S239" s="147" t="e">
        <f>SUM($N237:S237)/SUM($B237:G237)</f>
        <v>#DIV/0!</v>
      </c>
      <c r="T239" s="147" t="e">
        <f>SUM($N237:T237)/SUM($B237:H237)</f>
        <v>#DIV/0!</v>
      </c>
      <c r="U239" s="147" t="e">
        <f>SUM($N237:U237)/SUM($B237:I237)</f>
        <v>#DIV/0!</v>
      </c>
      <c r="V239" s="147" t="e">
        <f>SUM($N237:V237)/SUM($B237:J237)</f>
        <v>#DIV/0!</v>
      </c>
      <c r="W239" s="147" t="e">
        <f>SUM($N237:W237)/SUM($B237:K237)</f>
        <v>#DIV/0!</v>
      </c>
      <c r="X239" s="147" t="e">
        <f>SUM($N237:X237)/SUM($B237:L237)</f>
        <v>#DIV/0!</v>
      </c>
      <c r="Y239" s="147" t="e">
        <f>SUM($N237:Y237)/SUM($B237:M237)</f>
        <v>#DIV/0!</v>
      </c>
      <c r="Z239" s="13"/>
      <c r="AA239" s="13"/>
      <c r="AB239" s="13"/>
      <c r="AC239" s="22"/>
      <c r="AD239" s="22"/>
      <c r="AE239" s="13"/>
      <c r="AF239" s="22"/>
      <c r="AG239" s="22"/>
      <c r="AH239" s="13"/>
      <c r="AI239" s="13"/>
      <c r="AJ239" s="147"/>
      <c r="AK239" s="14"/>
      <c r="AL239" s="14"/>
      <c r="AM239" s="14"/>
      <c r="AN239" s="147" t="e">
        <f>SUM($AN237:AN237)/SUM($N237:N237)</f>
        <v>#DIV/0!</v>
      </c>
      <c r="AO239" s="147" t="e">
        <f>SUM($AN237:AO237)/SUM($N237:O237)</f>
        <v>#DIV/0!</v>
      </c>
      <c r="AP239" s="192" t="e">
        <f>SUM($AN237:AP237)/SUM($N237:P237)</f>
        <v>#DIV/0!</v>
      </c>
      <c r="AQ239" s="192" t="e">
        <f>SUM($AN237:AQ237)/SUM($N237:Q237)</f>
        <v>#DIV/0!</v>
      </c>
      <c r="AR239" s="192" t="e">
        <f>SUM($AN237:AR237)/SUM($N237:R237)</f>
        <v>#DIV/0!</v>
      </c>
      <c r="AS239" s="192" t="e">
        <f>SUM($AN237:AS237)/SUM($N237:S237)</f>
        <v>#DIV/0!</v>
      </c>
      <c r="AT239" s="192" t="e">
        <f>SUM($AN237:AT237)/SUM($N237:T237)</f>
        <v>#DIV/0!</v>
      </c>
      <c r="AU239" s="192" t="e">
        <f>SUM($AN237:AU237)/SUM($N237:U237)</f>
        <v>#DIV/0!</v>
      </c>
      <c r="AV239" s="192" t="e">
        <f>SUM($AN237:AV237)/SUM($N237:V237)</f>
        <v>#DIV/0!</v>
      </c>
      <c r="AW239" s="192" t="e">
        <f>SUM($AN237:AW237)/SUM($N237:W237)</f>
        <v>#DIV/0!</v>
      </c>
      <c r="AX239" s="192" t="e">
        <f>SUM($AN237:AX237)/SUM($N237:X237)</f>
        <v>#DIV/0!</v>
      </c>
      <c r="AY239" s="192" t="e">
        <f>SUM($AN237:AY237)/SUM($N237:Y237)</f>
        <v>#DIV/0!</v>
      </c>
      <c r="AZ239" s="13"/>
      <c r="BA239" s="13"/>
      <c r="BB239" s="13"/>
      <c r="BC239" s="22"/>
      <c r="BD239" s="22"/>
    </row>
  </sheetData>
  <conditionalFormatting sqref="T5">
    <cfRule type="expression" dxfId="155" priority="147">
      <formula>IF($A$3=T$5-1600,TRUE,FALSE)</formula>
    </cfRule>
  </conditionalFormatting>
  <conditionalFormatting sqref="U5:Y5">
    <cfRule type="expression" dxfId="154" priority="133">
      <formula>IF($A$3=U$5-1600,TRUE,FALSE)</formula>
    </cfRule>
  </conditionalFormatting>
  <conditionalFormatting sqref="T17">
    <cfRule type="expression" dxfId="153" priority="132">
      <formula>IF($A$3=T$5-1600,TRUE,FALSE)</formula>
    </cfRule>
  </conditionalFormatting>
  <conditionalFormatting sqref="U17:Y17">
    <cfRule type="expression" dxfId="152" priority="131">
      <formula>IF($A$3=U$5-1600,TRUE,FALSE)</formula>
    </cfRule>
  </conditionalFormatting>
  <conditionalFormatting sqref="T28">
    <cfRule type="expression" dxfId="151" priority="130">
      <formula>IF($A$3=T$5-1600,TRUE,FALSE)</formula>
    </cfRule>
  </conditionalFormatting>
  <conditionalFormatting sqref="U28:Y28">
    <cfRule type="expression" dxfId="150" priority="129">
      <formula>IF($A$3=U$5-1600,TRUE,FALSE)</formula>
    </cfRule>
  </conditionalFormatting>
  <conditionalFormatting sqref="T37">
    <cfRule type="expression" dxfId="149" priority="128">
      <formula>IF($A$3=T$5-1600,TRUE,FALSE)</formula>
    </cfRule>
  </conditionalFormatting>
  <conditionalFormatting sqref="U37:Y37">
    <cfRule type="expression" dxfId="148" priority="127">
      <formula>IF($A$3=U$5-1600,TRUE,FALSE)</formula>
    </cfRule>
  </conditionalFormatting>
  <conditionalFormatting sqref="T46">
    <cfRule type="expression" dxfId="147" priority="126">
      <formula>IF($A$3=T$5-1600,TRUE,FALSE)</formula>
    </cfRule>
  </conditionalFormatting>
  <conditionalFormatting sqref="U46:Y46">
    <cfRule type="expression" dxfId="146" priority="125">
      <formula>IF($A$3=U$5-1600,TRUE,FALSE)</formula>
    </cfRule>
  </conditionalFormatting>
  <conditionalFormatting sqref="T55">
    <cfRule type="expression" dxfId="145" priority="124">
      <formula>IF($A$3=T$5-1600,TRUE,FALSE)</formula>
    </cfRule>
  </conditionalFormatting>
  <conditionalFormatting sqref="U55:Y55">
    <cfRule type="expression" dxfId="144" priority="123">
      <formula>IF($A$3=U$5-1600,TRUE,FALSE)</formula>
    </cfRule>
  </conditionalFormatting>
  <conditionalFormatting sqref="T64">
    <cfRule type="expression" dxfId="143" priority="122">
      <formula>IF($A$3=T$5-1600,TRUE,FALSE)</formula>
    </cfRule>
  </conditionalFormatting>
  <conditionalFormatting sqref="U64:Y64">
    <cfRule type="expression" dxfId="142" priority="121">
      <formula>IF($A$3=U$5-1600,TRUE,FALSE)</formula>
    </cfRule>
  </conditionalFormatting>
  <conditionalFormatting sqref="T73">
    <cfRule type="expression" dxfId="141" priority="120">
      <formula>IF($A$3=T$5-1600,TRUE,FALSE)</formula>
    </cfRule>
  </conditionalFormatting>
  <conditionalFormatting sqref="U73:Y73">
    <cfRule type="expression" dxfId="140" priority="119">
      <formula>IF($A$3=U$5-1600,TRUE,FALSE)</formula>
    </cfRule>
  </conditionalFormatting>
  <conditionalFormatting sqref="T82">
    <cfRule type="expression" dxfId="139" priority="118">
      <formula>IF($A$3=T$5-1600,TRUE,FALSE)</formula>
    </cfRule>
  </conditionalFormatting>
  <conditionalFormatting sqref="U82:Y82">
    <cfRule type="expression" dxfId="138" priority="117">
      <formula>IF($A$3=U$5-1600,TRUE,FALSE)</formula>
    </cfRule>
  </conditionalFormatting>
  <conditionalFormatting sqref="T91">
    <cfRule type="expression" dxfId="137" priority="116">
      <formula>IF($A$3=T$5-1600,TRUE,FALSE)</formula>
    </cfRule>
  </conditionalFormatting>
  <conditionalFormatting sqref="U91:Y91">
    <cfRule type="expression" dxfId="136" priority="115">
      <formula>IF($A$3=U$5-1600,TRUE,FALSE)</formula>
    </cfRule>
  </conditionalFormatting>
  <conditionalFormatting sqref="T100">
    <cfRule type="expression" dxfId="135" priority="114">
      <formula>IF($A$3=T$5-1600,TRUE,FALSE)</formula>
    </cfRule>
  </conditionalFormatting>
  <conditionalFormatting sqref="U100:Y100">
    <cfRule type="expression" dxfId="134" priority="113">
      <formula>IF($A$3=U$5-1600,TRUE,FALSE)</formula>
    </cfRule>
  </conditionalFormatting>
  <conditionalFormatting sqref="T109">
    <cfRule type="expression" dxfId="133" priority="112">
      <formula>IF($A$3=T$5-1600,TRUE,FALSE)</formula>
    </cfRule>
  </conditionalFormatting>
  <conditionalFormatting sqref="U109:Y109">
    <cfRule type="expression" dxfId="132" priority="111">
      <formula>IF($A$3=U$5-1600,TRUE,FALSE)</formula>
    </cfRule>
  </conditionalFormatting>
  <conditionalFormatting sqref="T118">
    <cfRule type="expression" dxfId="131" priority="110">
      <formula>IF($A$3=T$5-1600,TRUE,FALSE)</formula>
    </cfRule>
  </conditionalFormatting>
  <conditionalFormatting sqref="U118:Y118">
    <cfRule type="expression" dxfId="130" priority="109">
      <formula>IF($A$3=U$5-1600,TRUE,FALSE)</formula>
    </cfRule>
  </conditionalFormatting>
  <conditionalFormatting sqref="T127">
    <cfRule type="expression" dxfId="129" priority="108">
      <formula>IF($A$3=T$5-1600,TRUE,FALSE)</formula>
    </cfRule>
  </conditionalFormatting>
  <conditionalFormatting sqref="U127:Y127">
    <cfRule type="expression" dxfId="128" priority="107">
      <formula>IF($A$3=U$5-1600,TRUE,FALSE)</formula>
    </cfRule>
  </conditionalFormatting>
  <conditionalFormatting sqref="B64:M64 B5:M5 B17:M17 B28:M28 B37:M37 B46:M46 B55:M55 B73:M73 B82:M82 B91:M91 B100:M100 B109:M109 B118:M118 B127:M127 B136:M136 B153:M153 B168:M168 B186:M186">
    <cfRule type="expression" dxfId="127" priority="106">
      <formula>IF($A$3=B$64-1500,TRUE,FALSE)</formula>
    </cfRule>
  </conditionalFormatting>
  <conditionalFormatting sqref="T136">
    <cfRule type="expression" dxfId="126" priority="92">
      <formula>IF($A$3=T$5-1600,TRUE,FALSE)</formula>
    </cfRule>
  </conditionalFormatting>
  <conditionalFormatting sqref="U136:Y136">
    <cfRule type="expression" dxfId="125" priority="91">
      <formula>IF($A$3=U$5-1600,TRUE,FALSE)</formula>
    </cfRule>
  </conditionalFormatting>
  <conditionalFormatting sqref="T153">
    <cfRule type="expression" dxfId="124" priority="89">
      <formula>IF($A$3=T$5-1600,TRUE,FALSE)</formula>
    </cfRule>
  </conditionalFormatting>
  <conditionalFormatting sqref="U153:Y153">
    <cfRule type="expression" dxfId="123" priority="88">
      <formula>IF($A$3=U$5-1600,TRUE,FALSE)</formula>
    </cfRule>
  </conditionalFormatting>
  <conditionalFormatting sqref="T168">
    <cfRule type="expression" dxfId="122" priority="86">
      <formula>IF($A$3=T$5-1600,TRUE,FALSE)</formula>
    </cfRule>
  </conditionalFormatting>
  <conditionalFormatting sqref="U168:Y168">
    <cfRule type="expression" dxfId="121" priority="85">
      <formula>IF($A$3=U$5-1600,TRUE,FALSE)</formula>
    </cfRule>
  </conditionalFormatting>
  <conditionalFormatting sqref="N2:Y3">
    <cfRule type="expression" dxfId="120" priority="83">
      <formula>IF($A$3=N$5-1600,TRUE,FALSE)</formula>
    </cfRule>
  </conditionalFormatting>
  <conditionalFormatting sqref="N4:Y4">
    <cfRule type="expression" dxfId="119" priority="82">
      <formula>IF($A$3=N$5-1600,TRUE,FALSE)</formula>
    </cfRule>
  </conditionalFormatting>
  <conditionalFormatting sqref="T186">
    <cfRule type="expression" dxfId="118" priority="81">
      <formula>IF($A$3=T$5-1600,TRUE,FALSE)</formula>
    </cfRule>
  </conditionalFormatting>
  <conditionalFormatting sqref="U186:Y186">
    <cfRule type="expression" dxfId="117" priority="80">
      <formula>IF($A$3=U$5-1600,TRUE,FALSE)</formula>
    </cfRule>
  </conditionalFormatting>
  <conditionalFormatting sqref="N185:Y185">
    <cfRule type="expression" dxfId="116" priority="78">
      <formula>IF($A$3=N$5-1600,TRUE,FALSE)</formula>
    </cfRule>
  </conditionalFormatting>
  <conditionalFormatting sqref="AT5">
    <cfRule type="expression" dxfId="115" priority="77">
      <formula>IF($A$3=AT$5-1600,TRUE,FALSE)</formula>
    </cfRule>
  </conditionalFormatting>
  <conditionalFormatting sqref="AU5:AY5">
    <cfRule type="expression" dxfId="114" priority="76">
      <formula>IF($A$3=AU$5-1600,TRUE,FALSE)</formula>
    </cfRule>
  </conditionalFormatting>
  <conditionalFormatting sqref="AN2:AY3">
    <cfRule type="expression" dxfId="113" priority="43">
      <formula>IF($A$3=AN$5-1600,TRUE,FALSE)</formula>
    </cfRule>
  </conditionalFormatting>
  <conditionalFormatting sqref="AN4:AY4">
    <cfRule type="expression" dxfId="112" priority="42">
      <formula>IF($A$3=AN$5-1600,TRUE,FALSE)</formula>
    </cfRule>
  </conditionalFormatting>
  <conditionalFormatting sqref="AT17">
    <cfRule type="expression" dxfId="111" priority="41">
      <formula>IF($A$3=AT$5-1600,TRUE,FALSE)</formula>
    </cfRule>
  </conditionalFormatting>
  <conditionalFormatting sqref="AU17:AY17">
    <cfRule type="expression" dxfId="110" priority="40">
      <formula>IF($A$3=AU$5-1600,TRUE,FALSE)</formula>
    </cfRule>
  </conditionalFormatting>
  <conditionalFormatting sqref="AT28">
    <cfRule type="expression" dxfId="109" priority="39">
      <formula>IF($A$3=AT$5-1600,TRUE,FALSE)</formula>
    </cfRule>
  </conditionalFormatting>
  <conditionalFormatting sqref="AU28:AY28">
    <cfRule type="expression" dxfId="108" priority="38">
      <formula>IF($A$3=AU$5-1600,TRUE,FALSE)</formula>
    </cfRule>
  </conditionalFormatting>
  <conditionalFormatting sqref="AT37">
    <cfRule type="expression" dxfId="107" priority="37">
      <formula>IF($A$3=AT$5-1600,TRUE,FALSE)</formula>
    </cfRule>
  </conditionalFormatting>
  <conditionalFormatting sqref="AU37:AY37">
    <cfRule type="expression" dxfId="106" priority="36">
      <formula>IF($A$3=AU$5-1600,TRUE,FALSE)</formula>
    </cfRule>
  </conditionalFormatting>
  <conditionalFormatting sqref="AT46">
    <cfRule type="expression" dxfId="105" priority="35">
      <formula>IF($A$3=AT$5-1600,TRUE,FALSE)</formula>
    </cfRule>
  </conditionalFormatting>
  <conditionalFormatting sqref="AU46:AY46">
    <cfRule type="expression" dxfId="104" priority="34">
      <formula>IF($A$3=AU$5-1600,TRUE,FALSE)</formula>
    </cfRule>
  </conditionalFormatting>
  <conditionalFormatting sqref="AT55">
    <cfRule type="expression" dxfId="103" priority="33">
      <formula>IF($A$3=AT$5-1600,TRUE,FALSE)</formula>
    </cfRule>
  </conditionalFormatting>
  <conditionalFormatting sqref="AU55:AY55">
    <cfRule type="expression" dxfId="102" priority="32">
      <formula>IF($A$3=AU$5-1600,TRUE,FALSE)</formula>
    </cfRule>
  </conditionalFormatting>
  <conditionalFormatting sqref="AT64">
    <cfRule type="expression" dxfId="101" priority="31">
      <formula>IF($A$3=AT$5-1600,TRUE,FALSE)</formula>
    </cfRule>
  </conditionalFormatting>
  <conditionalFormatting sqref="AU64:AY64">
    <cfRule type="expression" dxfId="100" priority="30">
      <formula>IF($A$3=AU$5-1600,TRUE,FALSE)</formula>
    </cfRule>
  </conditionalFormatting>
  <conditionalFormatting sqref="AT73">
    <cfRule type="expression" dxfId="99" priority="29">
      <formula>IF($A$3=AT$5-1600,TRUE,FALSE)</formula>
    </cfRule>
  </conditionalFormatting>
  <conditionalFormatting sqref="AU73:AY73">
    <cfRule type="expression" dxfId="98" priority="28">
      <formula>IF($A$3=AU$5-1600,TRUE,FALSE)</formula>
    </cfRule>
  </conditionalFormatting>
  <conditionalFormatting sqref="AT82">
    <cfRule type="expression" dxfId="97" priority="27">
      <formula>IF($A$3=AT$5-1600,TRUE,FALSE)</formula>
    </cfRule>
  </conditionalFormatting>
  <conditionalFormatting sqref="AU82:AY82">
    <cfRule type="expression" dxfId="96" priority="26">
      <formula>IF($A$3=AU$5-1600,TRUE,FALSE)</formula>
    </cfRule>
  </conditionalFormatting>
  <conditionalFormatting sqref="AT91">
    <cfRule type="expression" dxfId="95" priority="25">
      <formula>IF($A$3=AT$5-1600,TRUE,FALSE)</formula>
    </cfRule>
  </conditionalFormatting>
  <conditionalFormatting sqref="AU91:AY91">
    <cfRule type="expression" dxfId="94" priority="24">
      <formula>IF($A$3=AU$5-1600,TRUE,FALSE)</formula>
    </cfRule>
  </conditionalFormatting>
  <conditionalFormatting sqref="AT100">
    <cfRule type="expression" dxfId="93" priority="23">
      <formula>IF($A$3=AT$5-1600,TRUE,FALSE)</formula>
    </cfRule>
  </conditionalFormatting>
  <conditionalFormatting sqref="AU100:AY100">
    <cfRule type="expression" dxfId="92" priority="22">
      <formula>IF($A$3=AU$5-1600,TRUE,FALSE)</formula>
    </cfRule>
  </conditionalFormatting>
  <conditionalFormatting sqref="AT109">
    <cfRule type="expression" dxfId="91" priority="21">
      <formula>IF($A$3=AT$5-1600,TRUE,FALSE)</formula>
    </cfRule>
  </conditionalFormatting>
  <conditionalFormatting sqref="AU109:AY109">
    <cfRule type="expression" dxfId="90" priority="20">
      <formula>IF($A$3=AU$5-1600,TRUE,FALSE)</formula>
    </cfRule>
  </conditionalFormatting>
  <conditionalFormatting sqref="AT118">
    <cfRule type="expression" dxfId="89" priority="19">
      <formula>IF($A$3=AT$5-1600,TRUE,FALSE)</formula>
    </cfRule>
  </conditionalFormatting>
  <conditionalFormatting sqref="AU118:AY118">
    <cfRule type="expression" dxfId="88" priority="18">
      <formula>IF($A$3=AU$5-1600,TRUE,FALSE)</formula>
    </cfRule>
  </conditionalFormatting>
  <conditionalFormatting sqref="AT127">
    <cfRule type="expression" dxfId="87" priority="17">
      <formula>IF($A$3=AT$5-1600,TRUE,FALSE)</formula>
    </cfRule>
  </conditionalFormatting>
  <conditionalFormatting sqref="AU127:AY127">
    <cfRule type="expression" dxfId="86" priority="16">
      <formula>IF($A$3=AU$5-1600,TRUE,FALSE)</formula>
    </cfRule>
  </conditionalFormatting>
  <conditionalFormatting sqref="AT136">
    <cfRule type="expression" dxfId="85" priority="15">
      <formula>IF($A$3=AT$5-1600,TRUE,FALSE)</formula>
    </cfRule>
  </conditionalFormatting>
  <conditionalFormatting sqref="AU136:AY136">
    <cfRule type="expression" dxfId="84" priority="14">
      <formula>IF($A$3=AU$5-1600,TRUE,FALSE)</formula>
    </cfRule>
  </conditionalFormatting>
  <conditionalFormatting sqref="AT153">
    <cfRule type="expression" dxfId="83" priority="13">
      <formula>IF($A$3=AT$5-1600,TRUE,FALSE)</formula>
    </cfRule>
  </conditionalFormatting>
  <conditionalFormatting sqref="AU153:AY153">
    <cfRule type="expression" dxfId="82" priority="12">
      <formula>IF($A$3=AU$5-1600,TRUE,FALSE)</formula>
    </cfRule>
  </conditionalFormatting>
  <conditionalFormatting sqref="AT168">
    <cfRule type="expression" dxfId="81" priority="11">
      <formula>IF($A$3=AT$5-1600,TRUE,FALSE)</formula>
    </cfRule>
  </conditionalFormatting>
  <conditionalFormatting sqref="AU168:AY168">
    <cfRule type="expression" dxfId="80" priority="10">
      <formula>IF($A$3=AU$5-1600,TRUE,FALSE)</formula>
    </cfRule>
  </conditionalFormatting>
  <conditionalFormatting sqref="AO14:AY15">
    <cfRule type="expression" dxfId="79" priority="9">
      <formula>AO24=0</formula>
    </cfRule>
  </conditionalFormatting>
  <conditionalFormatting sqref="AT186">
    <cfRule type="expression" dxfId="78" priority="8">
      <formula>IF($A$3=AT$5-1600,TRUE,FALSE)</formula>
    </cfRule>
  </conditionalFormatting>
  <conditionalFormatting sqref="AU186:AY186">
    <cfRule type="expression" dxfId="77" priority="7">
      <formula>IF($A$3=AU$5-1600,TRUE,FALSE)</formula>
    </cfRule>
  </conditionalFormatting>
  <conditionalFormatting sqref="T231">
    <cfRule type="expression" dxfId="76" priority="6">
      <formula>IF($A$3=T$5-1600,TRUE,FALSE)</formula>
    </cfRule>
  </conditionalFormatting>
  <conditionalFormatting sqref="U231:Y231">
    <cfRule type="expression" dxfId="75" priority="5">
      <formula>IF($A$3=U$5-1600,TRUE,FALSE)</formula>
    </cfRule>
  </conditionalFormatting>
  <conditionalFormatting sqref="B231:M231">
    <cfRule type="expression" dxfId="74" priority="4">
      <formula>IF($A$3=B$64-1500,TRUE,FALSE)</formula>
    </cfRule>
  </conditionalFormatting>
  <conditionalFormatting sqref="AT231">
    <cfRule type="expression" dxfId="73" priority="3">
      <formula>IF($A$3=AT$5-1600,TRUE,FALSE)</formula>
    </cfRule>
  </conditionalFormatting>
  <conditionalFormatting sqref="AU231:AY231">
    <cfRule type="expression" dxfId="72" priority="2">
      <formula>IF($A$3=AU$5-1600,TRUE,FALSE)</formula>
    </cfRule>
  </conditionalFormatting>
  <conditionalFormatting sqref="AN185:AY185">
    <cfRule type="expression" dxfId="71" priority="1">
      <formula>IF($A$3=AN$5-1600,TRUE,FALSE)</formula>
    </cfRule>
  </conditionalFormatting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Drop Down 3">
              <controlPr defaultSize="0" autoLine="0" autoPict="0">
                <anchor moveWithCells="1">
                  <from>
                    <xdr:col>0</xdr:col>
                    <xdr:colOff>171450</xdr:colOff>
                    <xdr:row>1</xdr:row>
                    <xdr:rowOff>161925</xdr:rowOff>
                  </from>
                  <to>
                    <xdr:col>0</xdr:col>
                    <xdr:colOff>895350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68"/>
  <sheetViews>
    <sheetView topLeftCell="H1" zoomScale="85" zoomScaleNormal="85" workbookViewId="0">
      <selection activeCell="K29" sqref="K1:O1048576"/>
    </sheetView>
  </sheetViews>
  <sheetFormatPr defaultRowHeight="15" x14ac:dyDescent="0.25"/>
  <cols>
    <col min="1" max="1" width="12.5703125" bestFit="1" customWidth="1"/>
    <col min="2" max="2" width="17.28515625" bestFit="1" customWidth="1"/>
    <col min="3" max="3" width="15.5703125" bestFit="1" customWidth="1"/>
    <col min="5" max="14" width="9.140625" customWidth="1"/>
    <col min="17" max="17" width="2.28515625" customWidth="1"/>
    <col min="18" max="18" width="24.28515625" bestFit="1" customWidth="1"/>
  </cols>
  <sheetData>
    <row r="1" spans="1:31" x14ac:dyDescent="0.25">
      <c r="A1" t="s">
        <v>19</v>
      </c>
      <c r="D1" s="196">
        <v>2016</v>
      </c>
      <c r="S1" s="196">
        <v>2017</v>
      </c>
    </row>
    <row r="2" spans="1:31" x14ac:dyDescent="0.25">
      <c r="B2" t="s">
        <v>38</v>
      </c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5" t="s">
        <v>30</v>
      </c>
      <c r="N2" s="5" t="s">
        <v>31</v>
      </c>
      <c r="O2" s="5" t="s">
        <v>32</v>
      </c>
      <c r="P2" s="5" t="s">
        <v>39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5" t="s">
        <v>27</v>
      </c>
      <c r="Z2" s="5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39</v>
      </c>
    </row>
    <row r="3" spans="1:31" x14ac:dyDescent="0.25">
      <c r="C3" s="4" t="s">
        <v>38</v>
      </c>
      <c r="D3" s="28">
        <f>D18/D17</f>
        <v>0.96295518313682604</v>
      </c>
      <c r="E3" s="28">
        <f t="shared" ref="E3:O3" si="0">E18/E17</f>
        <v>1.0212326129500116</v>
      </c>
      <c r="F3" s="28">
        <f t="shared" si="0"/>
        <v>1.0441751069706982</v>
      </c>
      <c r="G3" s="28">
        <f t="shared" si="0"/>
        <v>1.0637952131235715</v>
      </c>
      <c r="H3" s="28">
        <f t="shared" si="0"/>
        <v>0.99238128464350206</v>
      </c>
      <c r="I3" s="28">
        <f t="shared" si="0"/>
        <v>0.74268503660076279</v>
      </c>
      <c r="J3" s="28">
        <f t="shared" si="0"/>
        <v>0.71462650902478198</v>
      </c>
      <c r="K3" s="28">
        <f t="shared" si="0"/>
        <v>0.92984039839423216</v>
      </c>
      <c r="L3" s="28">
        <f t="shared" si="0"/>
        <v>0.76904567684807934</v>
      </c>
      <c r="M3" s="28">
        <f t="shared" si="0"/>
        <v>0.98180100220483535</v>
      </c>
      <c r="N3" s="28">
        <f t="shared" si="0"/>
        <v>0.62521000704710572</v>
      </c>
      <c r="O3" s="28">
        <f t="shared" si="0"/>
        <v>0.94729281813769461</v>
      </c>
      <c r="P3" s="28">
        <f>SUM(D18:L18)/SUM(D17:L17)</f>
        <v>0.88330832550541938</v>
      </c>
      <c r="R3" s="4" t="s">
        <v>38</v>
      </c>
      <c r="S3" s="28">
        <f>S18/S17</f>
        <v>0.77713843512703007</v>
      </c>
      <c r="T3" s="28">
        <f t="shared" ref="T3:AD3" si="1">T18/T17</f>
        <v>2.8480459194724772</v>
      </c>
      <c r="U3" s="28">
        <f t="shared" si="1"/>
        <v>1.3990625994906085</v>
      </c>
      <c r="V3" s="28">
        <f t="shared" si="1"/>
        <v>1.0328975930090687</v>
      </c>
      <c r="W3" s="28">
        <f t="shared" si="1"/>
        <v>0.73029131519150614</v>
      </c>
      <c r="X3" s="28">
        <f t="shared" si="1"/>
        <v>0.52550638517398629</v>
      </c>
      <c r="Y3" s="28">
        <f t="shared" si="1"/>
        <v>0.44282593565075029</v>
      </c>
      <c r="Z3" s="28">
        <f t="shared" si="1"/>
        <v>0</v>
      </c>
      <c r="AA3" s="28">
        <f t="shared" si="1"/>
        <v>0</v>
      </c>
      <c r="AB3" s="28">
        <f t="shared" si="1"/>
        <v>0</v>
      </c>
      <c r="AC3" s="28">
        <f t="shared" si="1"/>
        <v>0</v>
      </c>
      <c r="AD3" s="28">
        <f t="shared" si="1"/>
        <v>0</v>
      </c>
      <c r="AE3" s="28">
        <f>SUM(S18:AA18)/SUM(S17:AA17)</f>
        <v>0.64596675962157712</v>
      </c>
    </row>
    <row r="5" spans="1:31" x14ac:dyDescent="0.25">
      <c r="B5" t="s">
        <v>40</v>
      </c>
      <c r="C5" s="4" t="s">
        <v>41</v>
      </c>
      <c r="D5" s="5" t="s">
        <v>21</v>
      </c>
      <c r="E5" s="5" t="s">
        <v>22</v>
      </c>
      <c r="F5" s="5" t="s">
        <v>23</v>
      </c>
      <c r="G5" s="5" t="s">
        <v>24</v>
      </c>
      <c r="H5" s="5" t="s">
        <v>25</v>
      </c>
      <c r="I5" s="5" t="s">
        <v>26</v>
      </c>
      <c r="J5" s="5" t="s">
        <v>27</v>
      </c>
      <c r="K5" s="5" t="s">
        <v>28</v>
      </c>
      <c r="L5" s="5" t="s">
        <v>29</v>
      </c>
      <c r="M5" s="5" t="s">
        <v>30</v>
      </c>
      <c r="N5" s="5" t="s">
        <v>31</v>
      </c>
      <c r="O5" s="5" t="s">
        <v>32</v>
      </c>
      <c r="P5" s="5" t="s">
        <v>39</v>
      </c>
      <c r="R5" s="4" t="s">
        <v>41</v>
      </c>
      <c r="S5" s="5" t="s">
        <v>21</v>
      </c>
      <c r="T5" s="5" t="s">
        <v>22</v>
      </c>
      <c r="U5" s="5" t="s">
        <v>23</v>
      </c>
      <c r="V5" s="5" t="s">
        <v>24</v>
      </c>
      <c r="W5" s="5" t="s">
        <v>25</v>
      </c>
      <c r="X5" s="5" t="s">
        <v>26</v>
      </c>
      <c r="Y5" s="5" t="s">
        <v>27</v>
      </c>
      <c r="Z5" s="5" t="s">
        <v>28</v>
      </c>
      <c r="AA5" s="5" t="s">
        <v>29</v>
      </c>
      <c r="AB5" s="5" t="s">
        <v>30</v>
      </c>
      <c r="AC5" s="5" t="s">
        <v>31</v>
      </c>
      <c r="AD5" s="5" t="s">
        <v>32</v>
      </c>
      <c r="AE5" s="5" t="s">
        <v>39</v>
      </c>
    </row>
    <row r="6" spans="1:31" x14ac:dyDescent="0.25">
      <c r="C6" s="4" t="s">
        <v>71</v>
      </c>
      <c r="D6" s="29">
        <f>IFERROR(Data!N18/Data!N$24,0)</f>
        <v>-2.9012498187129757E-3</v>
      </c>
      <c r="E6" s="29">
        <f>IFERROR(Data!O18/Data!O$24,0)</f>
        <v>0</v>
      </c>
      <c r="F6" s="29">
        <f>IFERROR(Data!P18/Data!P$24,0)</f>
        <v>-1.1306575346089615E-3</v>
      </c>
      <c r="G6" s="29">
        <f>IFERROR(Data!Q18/Data!Q$24,0)</f>
        <v>0</v>
      </c>
      <c r="H6" s="29">
        <f>IFERROR(Data!R18/Data!R$24,0)</f>
        <v>0</v>
      </c>
      <c r="I6" s="29">
        <f>IFERROR(Data!S18/Data!S$24,0)</f>
        <v>-1.4279027445132488E-3</v>
      </c>
      <c r="J6" s="29">
        <f>IFERROR(Data!T18/Data!T$24,0)</f>
        <v>0</v>
      </c>
      <c r="K6" s="29">
        <f>IFERROR(Data!U18/Data!U$24,0)</f>
        <v>-5.5046902430320001E-4</v>
      </c>
      <c r="L6" s="29">
        <f>IFERROR(Data!V18/Data!V$24,0)</f>
        <v>0</v>
      </c>
      <c r="M6" s="29">
        <f>IFERROR(Data!W18/Data!W$24,0)</f>
        <v>0</v>
      </c>
      <c r="N6" s="29">
        <f>IFERROR(Data!X18/Data!X$24,0)</f>
        <v>0</v>
      </c>
      <c r="O6" s="29">
        <f>IFERROR(Data!Y18/Data!Y$24,0)</f>
        <v>0</v>
      </c>
      <c r="P6" s="29">
        <f>IFERROR(Data!Z18/Data!Z$24,0)</f>
        <v>-6.9030219936515194E-4</v>
      </c>
      <c r="R6" s="4" t="s">
        <v>71</v>
      </c>
      <c r="S6" s="29">
        <f>IFERROR(Data!AN18/Data!AN$24,0)</f>
        <v>0</v>
      </c>
      <c r="T6" s="29">
        <f>IFERROR(Data!AO18/Data!AO$24,0)</f>
        <v>0</v>
      </c>
      <c r="U6" s="29">
        <f>IFERROR(Data!AP18/Data!AP$24,0)</f>
        <v>0</v>
      </c>
      <c r="V6" s="29">
        <f>IFERROR(Data!AQ18/Data!AQ$24,0)</f>
        <v>-7.4577448593747347E-4</v>
      </c>
      <c r="W6" s="29">
        <f>IFERROR(Data!AR18/Data!AR$24,0)</f>
        <v>3.800301420481573E-3</v>
      </c>
      <c r="X6" s="29">
        <f>IFERROR(Data!AS18/Data!AS$24,0)</f>
        <v>7.0876175650020825E-3</v>
      </c>
      <c r="Y6" s="29">
        <f>IFERROR(Data!AT18/Data!AT$24,0)</f>
        <v>8.7089923695828388E-3</v>
      </c>
      <c r="Z6" s="29">
        <f>IFERROR(Data!AU18/Data!AU$24,0)</f>
        <v>0</v>
      </c>
      <c r="AA6" s="29">
        <f>IFERROR(Data!AV18/Data!AV$24,0)</f>
        <v>0</v>
      </c>
      <c r="AB6" s="29">
        <f>IFERROR(Data!AW18/Data!AW$24,0)</f>
        <v>0</v>
      </c>
      <c r="AC6" s="29">
        <f>IFERROR(Data!AX18/Data!AX$24,0)</f>
        <v>0</v>
      </c>
      <c r="AD6" s="29">
        <f>IFERROR(Data!AY18/Data!AY$24,0)</f>
        <v>0</v>
      </c>
      <c r="AE6" s="29">
        <f>IFERROR(Data!AZ18/Data!AZ$24,0)</f>
        <v>2.3838814528732029E-3</v>
      </c>
    </row>
    <row r="7" spans="1:31" x14ac:dyDescent="0.25">
      <c r="C7" s="4" t="s">
        <v>47</v>
      </c>
      <c r="D7" s="29">
        <f>IFERROR(Data!N19/Data!N$24,0)</f>
        <v>0.7473607699218825</v>
      </c>
      <c r="E7" s="29">
        <f>IFERROR(Data!O19/Data!O$24,0)</f>
        <v>0.89330137048260894</v>
      </c>
      <c r="F7" s="29">
        <f>IFERROR(Data!P19/Data!P$24,0)</f>
        <v>0.9193596346831111</v>
      </c>
      <c r="G7" s="29">
        <f>IFERROR(Data!Q19/Data!Q$24,0)</f>
        <v>0.92997273254127411</v>
      </c>
      <c r="H7" s="29">
        <f>IFERROR(Data!R19/Data!R$24,0)</f>
        <v>0.93942300214180696</v>
      </c>
      <c r="I7" s="29">
        <f>IFERROR(Data!S19/Data!S$24,0)</f>
        <v>0.97646314894703001</v>
      </c>
      <c r="J7" s="29">
        <f>IFERROR(Data!T19/Data!T$24,0)</f>
        <v>1.0077136218244747</v>
      </c>
      <c r="K7" s="29">
        <f>IFERROR(Data!U19/Data!U$24,0)</f>
        <v>0.81539765151398313</v>
      </c>
      <c r="L7" s="29">
        <f>IFERROR(Data!V19/Data!V$24,0)</f>
        <v>0.82807206776663311</v>
      </c>
      <c r="M7" s="29">
        <f>IFERROR(Data!W19/Data!W$24,0)</f>
        <v>0.76310899023757239</v>
      </c>
      <c r="N7" s="29">
        <f>IFERROR(Data!X19/Data!X$24,0)</f>
        <v>0.77834462403309945</v>
      </c>
      <c r="O7" s="29">
        <f>IFERROR(Data!Y19/Data!Y$24,0)</f>
        <v>0.81736679204815088</v>
      </c>
      <c r="P7" s="29">
        <f>IFERROR(Data!Z19/Data!Z$24,0)</f>
        <v>0.92990536529931511</v>
      </c>
      <c r="R7" s="4" t="s">
        <v>47</v>
      </c>
      <c r="S7" s="29">
        <f>IFERROR(Data!AN19/Data!AN$24,0)</f>
        <v>0.80686037110968922</v>
      </c>
      <c r="T7" s="29">
        <f>IFERROR(Data!AO19/Data!AO$24,0)</f>
        <v>0.85348207339444737</v>
      </c>
      <c r="U7" s="29">
        <f>IFERROR(Data!AP19/Data!AP$24,0)</f>
        <v>0.75481135390916598</v>
      </c>
      <c r="V7" s="29">
        <f>IFERROR(Data!AQ19/Data!AQ$24,0)</f>
        <v>0.76932268345424382</v>
      </c>
      <c r="W7" s="29">
        <f>IFERROR(Data!AR19/Data!AR$24,0)</f>
        <v>0.75018851297560107</v>
      </c>
      <c r="X7" s="29">
        <f>IFERROR(Data!AS19/Data!AS$24,0)</f>
        <v>0.81903139320462037</v>
      </c>
      <c r="Y7" s="29">
        <f>IFERROR(Data!AT19/Data!AT$24,0)</f>
        <v>0.82392094914618375</v>
      </c>
      <c r="Z7" s="29">
        <f>IFERROR(Data!AU19/Data!AU$24,0)</f>
        <v>0</v>
      </c>
      <c r="AA7" s="29">
        <f>IFERROR(Data!AV19/Data!AV$24,0)</f>
        <v>0</v>
      </c>
      <c r="AB7" s="29">
        <f>IFERROR(Data!AW19/Data!AW$24,0)</f>
        <v>0</v>
      </c>
      <c r="AC7" s="29">
        <f>IFERROR(Data!AX19/Data!AX$24,0)</f>
        <v>0</v>
      </c>
      <c r="AD7" s="29">
        <f>IFERROR(Data!AY19/Data!AY$24,0)</f>
        <v>0</v>
      </c>
      <c r="AE7" s="29">
        <f>IFERROR(Data!AZ19/Data!AZ$24,0)</f>
        <v>0.7925386814302694</v>
      </c>
    </row>
    <row r="8" spans="1:31" x14ac:dyDescent="0.25">
      <c r="C8" s="4" t="s">
        <v>116</v>
      </c>
      <c r="D8" s="29">
        <f>IFERROR(Data!N20/Data!N$24,0)</f>
        <v>0</v>
      </c>
      <c r="E8" s="29">
        <f>IFERROR(Data!O20/Data!O$24,0)</f>
        <v>0</v>
      </c>
      <c r="F8" s="29">
        <f>IFERROR(Data!P20/Data!P$24,0)</f>
        <v>0</v>
      </c>
      <c r="G8" s="29">
        <f>IFERROR(Data!Q20/Data!Q$24,0)</f>
        <v>0</v>
      </c>
      <c r="H8" s="29">
        <f>IFERROR(Data!R20/Data!R$24,0)</f>
        <v>0</v>
      </c>
      <c r="I8" s="29">
        <f>IFERROR(Data!S20/Data!S$24,0)</f>
        <v>0</v>
      </c>
      <c r="J8" s="29">
        <f>IFERROR(Data!T20/Data!T$24,0)</f>
        <v>0</v>
      </c>
      <c r="K8" s="29">
        <f>IFERROR(Data!U20/Data!U$24,0)</f>
        <v>0.14918102298576361</v>
      </c>
      <c r="L8" s="29">
        <f>IFERROR(Data!V20/Data!V$24,0)</f>
        <v>0.14253883191347563</v>
      </c>
      <c r="M8" s="29">
        <f>IFERROR(Data!W20/Data!W$24,0)</f>
        <v>0.21447174195139068</v>
      </c>
      <c r="N8" s="29">
        <f>IFERROR(Data!X20/Data!X$24,0)</f>
        <v>0.19949904021809226</v>
      </c>
      <c r="O8" s="29">
        <f>IFERROR(Data!Y20/Data!Y$24,0)</f>
        <v>0.17815024843337407</v>
      </c>
      <c r="P8" s="29">
        <f>IFERROR(Data!Z20/Data!Z$24,0)</f>
        <v>0</v>
      </c>
      <c r="R8" s="4" t="s">
        <v>116</v>
      </c>
      <c r="S8" s="29">
        <f>IFERROR(Data!AN20/Data!AN$24,0)</f>
        <v>0.19623612567137061</v>
      </c>
      <c r="T8" s="29">
        <f>IFERROR(Data!AO20/Data!AO$24,0)</f>
        <v>0.13677810055724224</v>
      </c>
      <c r="U8" s="29">
        <f>IFERROR(Data!AP20/Data!AP$24,0)</f>
        <v>0.21012689901342058</v>
      </c>
      <c r="V8" s="29">
        <f>IFERROR(Data!AQ20/Data!AQ$24,0)</f>
        <v>0.18098716808812784</v>
      </c>
      <c r="W8" s="29">
        <f>IFERROR(Data!AR20/Data!AR$24,0)</f>
        <v>0.18379289108306093</v>
      </c>
      <c r="X8" s="29">
        <f>IFERROR(Data!AS20/Data!AS$24,0)</f>
        <v>8.5546739629392396E-2</v>
      </c>
      <c r="Y8" s="29">
        <f>IFERROR(Data!AT20/Data!AT$24,0)</f>
        <v>0.12559406716642885</v>
      </c>
      <c r="Z8" s="29">
        <f>IFERROR(Data!AU20/Data!AU$24,0)</f>
        <v>0</v>
      </c>
      <c r="AA8" s="29">
        <f>IFERROR(Data!AV20/Data!AV$24,0)</f>
        <v>0</v>
      </c>
      <c r="AB8" s="29">
        <f>IFERROR(Data!AW20/Data!AW$24,0)</f>
        <v>0</v>
      </c>
      <c r="AC8" s="29">
        <f>IFERROR(Data!AX20/Data!AX$24,0)</f>
        <v>0</v>
      </c>
      <c r="AD8" s="29">
        <f>IFERROR(Data!AY20/Data!AY$24,0)</f>
        <v>0</v>
      </c>
      <c r="AE8" s="29">
        <f>IFERROR(Data!AZ20/Data!AZ$24,0)</f>
        <v>0.16365704421963068</v>
      </c>
    </row>
    <row r="9" spans="1:31" x14ac:dyDescent="0.25">
      <c r="C9" s="4" t="s">
        <v>48</v>
      </c>
      <c r="D9" s="29">
        <f>IFERROR(Data!N21/Data!N$24,0)</f>
        <v>0.25554047989683037</v>
      </c>
      <c r="E9" s="29">
        <f>IFERROR(Data!O21/Data!O$24,0)</f>
        <v>0.10669862951739101</v>
      </c>
      <c r="F9" s="29">
        <f>IFERROR(Data!P21/Data!P$24,0)</f>
        <v>8.1771022851497815E-2</v>
      </c>
      <c r="G9" s="29">
        <f>IFERROR(Data!Q21/Data!Q$24,0)</f>
        <v>7.0027267458725936E-2</v>
      </c>
      <c r="H9" s="29">
        <f>IFERROR(Data!R21/Data!R$24,0)</f>
        <v>6.0576997858193045E-2</v>
      </c>
      <c r="I9" s="29">
        <f>IFERROR(Data!S21/Data!S$24,0)</f>
        <v>2.4964753797483256E-2</v>
      </c>
      <c r="J9" s="126">
        <f>IFERROR(Data!T21/Data!T$24,0)</f>
        <v>-7.7136218244747562E-3</v>
      </c>
      <c r="K9" s="126">
        <f>IFERROR(Data!U21/Data!U$24,0)</f>
        <v>3.5971794524556365E-2</v>
      </c>
      <c r="L9" s="29">
        <f>IFERROR(Data!V21/Data!V$24,0)</f>
        <v>2.9389100319891288E-2</v>
      </c>
      <c r="M9" s="29">
        <f>IFERROR(Data!W21/Data!W$24,0)</f>
        <v>2.2419267811036793E-2</v>
      </c>
      <c r="N9" s="29">
        <f>IFERROR(Data!X21/Data!X$24,0)</f>
        <v>2.2156335748808272E-2</v>
      </c>
      <c r="O9" s="29">
        <f>IFERROR(Data!Y21/Data!Y$24,0)</f>
        <v>4.4829595184750015E-3</v>
      </c>
      <c r="P9" s="29">
        <f>IFERROR(Data!Z21/Data!Z$24,0)</f>
        <v>7.0784936900050124E-2</v>
      </c>
      <c r="R9" s="4" t="s">
        <v>48</v>
      </c>
      <c r="S9" s="29">
        <f>IFERROR(Data!AN21/Data!AN$24,0)</f>
        <v>-5.9759291801794682E-3</v>
      </c>
      <c r="T9" s="29">
        <f>IFERROR(Data!AO21/Data!AO$24,0)</f>
        <v>0</v>
      </c>
      <c r="U9" s="29">
        <f>IFERROR(Data!AP21/Data!AP$24,0)</f>
        <v>0</v>
      </c>
      <c r="V9" s="29">
        <f>IFERROR(Data!AQ21/Data!AQ$24,0)</f>
        <v>0</v>
      </c>
      <c r="W9" s="29">
        <f>IFERROR(Data!AR21/Data!AR$24,0)</f>
        <v>0</v>
      </c>
      <c r="X9" s="29">
        <f>IFERROR(Data!AS21/Data!AS$24,0)</f>
        <v>0</v>
      </c>
      <c r="Y9" s="29">
        <f>IFERROR(Data!AT21/Data!AT$24,0)</f>
        <v>0</v>
      </c>
      <c r="Z9" s="29">
        <f>IFERROR(Data!AU21/Data!AU$24,0)</f>
        <v>0</v>
      </c>
      <c r="AA9" s="29">
        <f>IFERROR(Data!AV21/Data!AV$24,0)</f>
        <v>0</v>
      </c>
      <c r="AB9" s="29">
        <f>IFERROR(Data!AW21/Data!AW$24,0)</f>
        <v>0</v>
      </c>
      <c r="AC9" s="29">
        <f>IFERROR(Data!AX21/Data!AX$24,0)</f>
        <v>0</v>
      </c>
      <c r="AD9" s="29">
        <f>IFERROR(Data!AY21/Data!AY$24,0)</f>
        <v>0</v>
      </c>
      <c r="AE9" s="29">
        <f>IFERROR(Data!AZ21/Data!AZ$24,0)</f>
        <v>-4.963407874113249E-4</v>
      </c>
    </row>
    <row r="10" spans="1:31" x14ac:dyDescent="0.25">
      <c r="C10" s="4" t="s">
        <v>208</v>
      </c>
      <c r="D10" s="29">
        <f>IFERROR(Data!N22/Data!N$24,0)</f>
        <v>0</v>
      </c>
      <c r="E10" s="29">
        <f>IFERROR(Data!O22/Data!O$24,0)</f>
        <v>0</v>
      </c>
      <c r="F10" s="29">
        <f>IFERROR(Data!P22/Data!P$24,0)</f>
        <v>0</v>
      </c>
      <c r="G10" s="29">
        <f>IFERROR(Data!Q22/Data!Q$24,0)</f>
        <v>0</v>
      </c>
      <c r="H10" s="29">
        <f>IFERROR(Data!R22/Data!R$24,0)</f>
        <v>0</v>
      </c>
      <c r="I10" s="29">
        <f>IFERROR(Data!S22/Data!S$24,0)</f>
        <v>0</v>
      </c>
      <c r="J10" s="126">
        <f>IFERROR(Data!T22/Data!T$24,0)</f>
        <v>0</v>
      </c>
      <c r="K10" s="126">
        <f>IFERROR(Data!U22/Data!U$24,0)</f>
        <v>0</v>
      </c>
      <c r="L10" s="29">
        <f>IFERROR(Data!V22/Data!V$24,0)</f>
        <v>0</v>
      </c>
      <c r="M10" s="29">
        <f>IFERROR(Data!W22/Data!W$24,0)</f>
        <v>0</v>
      </c>
      <c r="N10" s="29">
        <f>IFERROR(Data!X22/Data!X$24,0)</f>
        <v>0</v>
      </c>
      <c r="O10" s="29">
        <f>IFERROR(Data!Y22/Data!Y$24,0)</f>
        <v>0</v>
      </c>
      <c r="P10" s="29">
        <f>IFERROR(Data!Z22/Data!Z$24,0)</f>
        <v>0</v>
      </c>
      <c r="R10" s="4" t="s">
        <v>208</v>
      </c>
      <c r="S10" s="29">
        <f>IFERROR(Data!AN22/Data!AN$24,0)</f>
        <v>0</v>
      </c>
      <c r="T10" s="29">
        <f>IFERROR(Data!AO22/Data!AO$24,0)</f>
        <v>0</v>
      </c>
      <c r="U10" s="29">
        <f>IFERROR(Data!AP22/Data!AP$24,0)</f>
        <v>2.4135668681373922E-2</v>
      </c>
      <c r="V10" s="29">
        <f>IFERROR(Data!AQ22/Data!AQ$24,0)</f>
        <v>3.6594487072159516E-2</v>
      </c>
      <c r="W10" s="29">
        <f>IFERROR(Data!AR22/Data!AR$24,0)</f>
        <v>4.5150985624946814E-2</v>
      </c>
      <c r="X10" s="29">
        <f>IFERROR(Data!AS22/Data!AS$24,0)</f>
        <v>8.2822128559306707E-2</v>
      </c>
      <c r="Y10" s="29">
        <f>IFERROR(Data!AT22/Data!AT$24,0)</f>
        <v>3.2667028424811249E-2</v>
      </c>
      <c r="Z10" s="29">
        <f>IFERROR(Data!AU22/Data!AU$24,0)</f>
        <v>0</v>
      </c>
      <c r="AA10" s="29">
        <f>IFERROR(Data!AV22/Data!AV$24,0)</f>
        <v>0</v>
      </c>
      <c r="AB10" s="29">
        <f>IFERROR(Data!AW22/Data!AW$24,0)</f>
        <v>0</v>
      </c>
      <c r="AC10" s="29">
        <f>IFERROR(Data!AX22/Data!AX$24,0)</f>
        <v>0</v>
      </c>
      <c r="AD10" s="29">
        <f>IFERROR(Data!AY22/Data!AY$24,0)</f>
        <v>0</v>
      </c>
      <c r="AE10" s="29">
        <f>IFERROR(Data!AZ22/Data!AZ$24,0)</f>
        <v>3.1372026459794852E-2</v>
      </c>
    </row>
    <row r="11" spans="1:31" x14ac:dyDescent="0.25">
      <c r="C11" s="4" t="s">
        <v>201</v>
      </c>
      <c r="D11" s="29">
        <f>IFERROR(Data!N23/Data!N$24,0)</f>
        <v>0</v>
      </c>
      <c r="E11" s="29">
        <f>IFERROR(Data!O23/Data!O$24,0)</f>
        <v>0</v>
      </c>
      <c r="F11" s="29">
        <f>IFERROR(Data!P23/Data!P$24,0)</f>
        <v>0</v>
      </c>
      <c r="G11" s="29">
        <f>IFERROR(Data!Q23/Data!Q$24,0)</f>
        <v>0</v>
      </c>
      <c r="H11" s="29">
        <f>IFERROR(Data!R23/Data!R$24,0)</f>
        <v>0</v>
      </c>
      <c r="I11" s="29">
        <f>IFERROR(Data!S23/Data!S$24,0)</f>
        <v>0</v>
      </c>
      <c r="J11" s="126">
        <f>IFERROR(Data!T23/Data!T$24,0)</f>
        <v>0</v>
      </c>
      <c r="K11" s="126">
        <f>IFERROR(Data!U23/Data!U$24,0)</f>
        <v>0</v>
      </c>
      <c r="L11" s="29">
        <f>IFERROR(Data!V23/Data!V$24,0)</f>
        <v>0</v>
      </c>
      <c r="M11" s="29">
        <f>IFERROR(Data!W23/Data!W$24,0)</f>
        <v>0</v>
      </c>
      <c r="N11" s="29">
        <f>IFERROR(Data!X23/Data!X$24,0)</f>
        <v>0</v>
      </c>
      <c r="O11" s="29">
        <f>IFERROR(Data!Y23/Data!Y$24,0)</f>
        <v>0</v>
      </c>
      <c r="P11" s="29">
        <f>IFERROR(Data!Z23/Data!Z$24,0)</f>
        <v>0</v>
      </c>
      <c r="R11" s="4" t="s">
        <v>201</v>
      </c>
      <c r="S11" s="29">
        <f>IFERROR(Data!AN23/Data!AN$24,0)</f>
        <v>2.8794323991195615E-3</v>
      </c>
      <c r="T11" s="29">
        <f>IFERROR(Data!AO23/Data!AO$24,0)</f>
        <v>9.7398260483104373E-3</v>
      </c>
      <c r="U11" s="29">
        <f>IFERROR(Data!AP23/Data!AP$24,0)</f>
        <v>1.0926078396039476E-2</v>
      </c>
      <c r="V11" s="29">
        <f>IFERROR(Data!AQ23/Data!AQ$24,0)</f>
        <v>1.3841435871406304E-2</v>
      </c>
      <c r="W11" s="29">
        <f>IFERROR(Data!AR23/Data!AR$24,0)</f>
        <v>1.7067308895909798E-2</v>
      </c>
      <c r="X11" s="29">
        <f>IFERROR(Data!AS23/Data!AS$24,0)</f>
        <v>5.5121210416783839E-3</v>
      </c>
      <c r="Y11" s="29">
        <f>IFERROR(Data!AT23/Data!AT$24,0)</f>
        <v>9.10896289299328E-3</v>
      </c>
      <c r="Z11" s="29">
        <f>IFERROR(Data!AU23/Data!AU$24,0)</f>
        <v>0</v>
      </c>
      <c r="AA11" s="29">
        <f>IFERROR(Data!AV23/Data!AV$24,0)</f>
        <v>0</v>
      </c>
      <c r="AB11" s="29">
        <f>IFERROR(Data!AW23/Data!AW$24,0)</f>
        <v>0</v>
      </c>
      <c r="AC11" s="29">
        <f>IFERROR(Data!AX23/Data!AX$24,0)</f>
        <v>0</v>
      </c>
      <c r="AD11" s="29">
        <f>IFERROR(Data!AY23/Data!AY$24,0)</f>
        <v>0</v>
      </c>
      <c r="AE11" s="29">
        <f>IFERROR(Data!AZ23/Data!AZ$24,0)</f>
        <v>1.0544707224843195E-2</v>
      </c>
    </row>
    <row r="12" spans="1:31" x14ac:dyDescent="0.25">
      <c r="C12" s="4"/>
      <c r="D12" s="7"/>
      <c r="E12" s="7"/>
      <c r="F12" s="7"/>
      <c r="G12" s="7"/>
      <c r="H12" s="7"/>
      <c r="I12" s="7"/>
      <c r="J12" s="4"/>
      <c r="K12" s="4"/>
      <c r="L12" s="4"/>
      <c r="M12" s="4"/>
      <c r="N12" s="4"/>
      <c r="O12" s="4"/>
      <c r="P12" s="7"/>
      <c r="R12" s="4"/>
      <c r="S12" s="7"/>
      <c r="T12" s="7"/>
      <c r="U12" s="7"/>
      <c r="V12" s="7"/>
      <c r="W12" s="7"/>
      <c r="X12" s="7"/>
      <c r="Y12" s="4"/>
      <c r="Z12" s="4"/>
      <c r="AA12" s="4"/>
      <c r="AB12" s="4"/>
      <c r="AC12" s="4"/>
      <c r="AD12" s="4"/>
      <c r="AE12" s="7"/>
    </row>
    <row r="15" spans="1:31" x14ac:dyDescent="0.25">
      <c r="B15" t="s">
        <v>6</v>
      </c>
      <c r="C15" s="4" t="s">
        <v>6</v>
      </c>
      <c r="D15" s="5" t="s">
        <v>21</v>
      </c>
      <c r="E15" s="5" t="s">
        <v>22</v>
      </c>
      <c r="F15" s="5" t="s">
        <v>23</v>
      </c>
      <c r="G15" s="5" t="s">
        <v>24</v>
      </c>
      <c r="H15" s="5" t="s">
        <v>25</v>
      </c>
      <c r="I15" s="5" t="s">
        <v>26</v>
      </c>
      <c r="J15" s="5" t="s">
        <v>27</v>
      </c>
      <c r="K15" s="5" t="s">
        <v>28</v>
      </c>
      <c r="L15" s="5" t="s">
        <v>29</v>
      </c>
      <c r="M15" s="5" t="s">
        <v>30</v>
      </c>
      <c r="N15" s="5" t="s">
        <v>31</v>
      </c>
      <c r="O15" s="5" t="s">
        <v>32</v>
      </c>
      <c r="R15" s="4" t="s">
        <v>6</v>
      </c>
      <c r="S15" s="5" t="s">
        <v>21</v>
      </c>
      <c r="T15" s="5" t="s">
        <v>22</v>
      </c>
      <c r="U15" s="5" t="s">
        <v>23</v>
      </c>
      <c r="V15" s="5" t="s">
        <v>24</v>
      </c>
      <c r="W15" s="5" t="s">
        <v>25</v>
      </c>
      <c r="X15" s="5" t="s">
        <v>26</v>
      </c>
      <c r="Y15" s="5" t="s">
        <v>27</v>
      </c>
      <c r="Z15" s="5" t="s">
        <v>28</v>
      </c>
      <c r="AA15" s="5" t="s">
        <v>29</v>
      </c>
      <c r="AB15" s="5" t="s">
        <v>30</v>
      </c>
      <c r="AC15" s="5" t="s">
        <v>31</v>
      </c>
      <c r="AD15" s="5" t="s">
        <v>32</v>
      </c>
    </row>
    <row r="16" spans="1:31" x14ac:dyDescent="0.25">
      <c r="C16" s="4" t="s">
        <v>33</v>
      </c>
      <c r="D16" s="27">
        <f>Data!B24</f>
        <v>5188.6629999999996</v>
      </c>
      <c r="E16" s="27">
        <f>Data!C24</f>
        <v>3123.3230000000003</v>
      </c>
      <c r="F16" s="27">
        <f>Data!D24</f>
        <v>9273.6569999999992</v>
      </c>
      <c r="G16" s="27">
        <f>Data!E24</f>
        <v>8375.8829999999998</v>
      </c>
      <c r="H16" s="27">
        <f>Data!F24</f>
        <v>7642.2390000000005</v>
      </c>
      <c r="I16" s="27">
        <f>Data!G24</f>
        <v>10443.096000000009</v>
      </c>
      <c r="J16" s="27">
        <f>Data!H24</f>
        <v>10026.376</v>
      </c>
      <c r="K16" s="27">
        <f>Data!I24</f>
        <v>8305.0379999999986</v>
      </c>
      <c r="L16" s="27">
        <f>Data!J24</f>
        <v>12079.63900000001</v>
      </c>
      <c r="M16" s="27">
        <f>Data!K24</f>
        <v>14789.26</v>
      </c>
      <c r="N16" s="27">
        <f>Data!L24</f>
        <v>19145.392</v>
      </c>
      <c r="O16" s="27">
        <f>Data!M24</f>
        <v>20737.664999999997</v>
      </c>
      <c r="R16" s="4" t="s">
        <v>34</v>
      </c>
      <c r="S16" s="27">
        <f t="shared" ref="S16:AD16" si="2">D18</f>
        <v>7605.3430000000008</v>
      </c>
      <c r="T16" s="27">
        <f t="shared" si="2"/>
        <v>10037.48600000001</v>
      </c>
      <c r="U16" s="27">
        <f t="shared" si="2"/>
        <v>15422.884</v>
      </c>
      <c r="V16" s="27">
        <f t="shared" si="2"/>
        <v>12658.312</v>
      </c>
      <c r="W16" s="27">
        <f t="shared" si="2"/>
        <v>16162.520999999999</v>
      </c>
      <c r="X16" s="27">
        <f t="shared" si="2"/>
        <v>16394.673999999999</v>
      </c>
      <c r="Y16" s="27">
        <f t="shared" si="2"/>
        <v>12857.125</v>
      </c>
      <c r="Z16" s="27">
        <f t="shared" si="2"/>
        <v>20166.439000000002</v>
      </c>
      <c r="AA16" s="27">
        <f t="shared" si="2"/>
        <v>21234.40299999998</v>
      </c>
      <c r="AB16" s="27">
        <f t="shared" si="2"/>
        <v>21739.47</v>
      </c>
      <c r="AC16" s="27">
        <f t="shared" si="2"/>
        <v>16453.217000000001</v>
      </c>
      <c r="AD16" s="27">
        <f t="shared" si="2"/>
        <v>30083.921000000002</v>
      </c>
    </row>
    <row r="17" spans="2:30" x14ac:dyDescent="0.25">
      <c r="C17" s="4" t="s">
        <v>20</v>
      </c>
      <c r="D17" s="27">
        <f>'[6]2016-2018 Plan_Non-Credit Life'!I13</f>
        <v>7897.9199999999992</v>
      </c>
      <c r="E17" s="27">
        <f>'[6]2016-2018 Plan_Non-Credit Life'!J13</f>
        <v>9828.7950000000019</v>
      </c>
      <c r="F17" s="27">
        <f>'[6]2016-2018 Plan_Non-Credit Life'!K13</f>
        <v>14770.400000000001</v>
      </c>
      <c r="G17" s="27">
        <f>'[6]2016-2018 Plan_Non-Credit Life'!L13</f>
        <v>11899.199999999999</v>
      </c>
      <c r="H17" s="27">
        <f>'[6]2016-2018 Plan_Non-Credit Life'!M13</f>
        <v>16286.603999999999</v>
      </c>
      <c r="I17" s="27">
        <f>'[6]2016-2018 Plan_Non-Credit Life'!N13</f>
        <v>22074.8678</v>
      </c>
      <c r="J17" s="27">
        <f>'[6]2016-2018 Plan_Non-Credit Life'!O13</f>
        <v>17991.391079999998</v>
      </c>
      <c r="K17" s="27">
        <f>'[6]2016-2018 Plan_Non-Credit Life'!P13</f>
        <v>21688.064999999999</v>
      </c>
      <c r="L17" s="27">
        <f>'[6]2016-2018 Plan_Non-Credit Life'!Q13</f>
        <v>27611.367750000001</v>
      </c>
      <c r="M17" s="27">
        <f>'[6]2016-2018 Plan_Non-Credit Life'!R13</f>
        <v>22142.440220757126</v>
      </c>
      <c r="N17" s="27">
        <f>'[6]2016-2018 Plan_Non-Credit Life'!S13</f>
        <v>26316.30462491998</v>
      </c>
      <c r="O17" s="27">
        <f>'[6]2016-2018 Plan_Non-Credit Life'!T13</f>
        <v>31757.784313347478</v>
      </c>
      <c r="R17" s="4" t="s">
        <v>204</v>
      </c>
      <c r="S17" s="27">
        <f>Data!AN13</f>
        <v>15169.92142857143</v>
      </c>
      <c r="T17" s="27">
        <f>Data!AO13</f>
        <v>7641.2774285714286</v>
      </c>
      <c r="U17" s="27">
        <f>Data!AP13</f>
        <v>21538.285714285714</v>
      </c>
      <c r="V17" s="27">
        <f>Data!AQ13</f>
        <v>22354.674999999999</v>
      </c>
      <c r="W17" s="27">
        <f>Data!AR13</f>
        <v>27348.127499999999</v>
      </c>
      <c r="X17" s="27">
        <f>Data!AS13</f>
        <v>31463.880300000001</v>
      </c>
      <c r="Y17" s="27">
        <f>Data!AT13</f>
        <v>42135.912777060003</v>
      </c>
      <c r="Z17" s="27">
        <f>Data!AU13</f>
        <v>24733.35</v>
      </c>
      <c r="AA17" s="27">
        <f>Data!AV13</f>
        <v>27348.450714285715</v>
      </c>
      <c r="AB17" s="27">
        <f>Data!AW13</f>
        <v>23975.325000000001</v>
      </c>
      <c r="AC17" s="27">
        <f>Data!AX13</f>
        <v>27355.049999999996</v>
      </c>
      <c r="AD17" s="27">
        <f>Data!AY13</f>
        <v>29840.474999999999</v>
      </c>
    </row>
    <row r="18" spans="2:30" x14ac:dyDescent="0.25">
      <c r="C18" s="4" t="s">
        <v>34</v>
      </c>
      <c r="D18" s="27">
        <f>Data!N24</f>
        <v>7605.3430000000008</v>
      </c>
      <c r="E18" s="27">
        <f>Data!O24</f>
        <v>10037.48600000001</v>
      </c>
      <c r="F18" s="27">
        <f>Data!P24</f>
        <v>15422.884</v>
      </c>
      <c r="G18" s="27">
        <f>Data!Q24</f>
        <v>12658.312</v>
      </c>
      <c r="H18" s="27">
        <f>Data!R24</f>
        <v>16162.520999999999</v>
      </c>
      <c r="I18" s="27">
        <f>Data!S24</f>
        <v>16394.673999999999</v>
      </c>
      <c r="J18" s="27">
        <f>Data!T24</f>
        <v>12857.125</v>
      </c>
      <c r="K18" s="27">
        <f>Data!U24</f>
        <v>20166.439000000002</v>
      </c>
      <c r="L18" s="27">
        <f>Data!V24</f>
        <v>21234.40299999998</v>
      </c>
      <c r="M18" s="27">
        <f>Data!W24</f>
        <v>21739.47</v>
      </c>
      <c r="N18" s="27">
        <f>Data!X24</f>
        <v>16453.217000000001</v>
      </c>
      <c r="O18" s="27">
        <f>Data!Y24</f>
        <v>30083.921000000002</v>
      </c>
      <c r="R18" s="4" t="s">
        <v>205</v>
      </c>
      <c r="S18" s="27">
        <f>Data!AN24</f>
        <v>11789.129000000001</v>
      </c>
      <c r="T18" s="27">
        <f>Data!AO24</f>
        <v>21762.708999999999</v>
      </c>
      <c r="U18" s="27">
        <f>Data!AP24</f>
        <v>30133.410000000011</v>
      </c>
      <c r="V18" s="27">
        <f>Data!AQ24</f>
        <v>23090.090000000004</v>
      </c>
      <c r="W18" s="27">
        <f>Data!AR24</f>
        <v>19972.099999999995</v>
      </c>
      <c r="X18" s="27">
        <f>Data!AS24</f>
        <v>16534.47</v>
      </c>
      <c r="Y18" s="27">
        <f>Data!AT24</f>
        <v>18658.875</v>
      </c>
      <c r="Z18" s="27">
        <f>Data!AU24</f>
        <v>0</v>
      </c>
      <c r="AA18" s="27">
        <f>Data!AV24</f>
        <v>0</v>
      </c>
      <c r="AB18" s="27">
        <f>Data!AW24</f>
        <v>0</v>
      </c>
      <c r="AC18" s="27">
        <f>Data!AX24</f>
        <v>0</v>
      </c>
      <c r="AD18" s="27">
        <f>Data!AY24</f>
        <v>0</v>
      </c>
    </row>
    <row r="20" spans="2:30" x14ac:dyDescent="0.25">
      <c r="B20" t="s">
        <v>35</v>
      </c>
      <c r="C20" s="4" t="s">
        <v>35</v>
      </c>
      <c r="D20" s="5" t="s">
        <v>21</v>
      </c>
      <c r="E20" s="5" t="s">
        <v>22</v>
      </c>
      <c r="F20" s="5" t="s">
        <v>23</v>
      </c>
      <c r="G20" s="5" t="s">
        <v>24</v>
      </c>
      <c r="H20" s="5" t="s">
        <v>25</v>
      </c>
      <c r="I20" s="5" t="s">
        <v>26</v>
      </c>
      <c r="J20" s="5" t="s">
        <v>27</v>
      </c>
      <c r="K20" s="5" t="s">
        <v>28</v>
      </c>
      <c r="L20" s="5" t="s">
        <v>29</v>
      </c>
      <c r="M20" s="5" t="s">
        <v>30</v>
      </c>
      <c r="N20" s="5" t="s">
        <v>31</v>
      </c>
      <c r="O20" s="5" t="s">
        <v>32</v>
      </c>
      <c r="R20" s="4" t="s">
        <v>35</v>
      </c>
      <c r="S20" s="5" t="s">
        <v>21</v>
      </c>
      <c r="T20" s="5" t="s">
        <v>22</v>
      </c>
      <c r="U20" s="5" t="s">
        <v>23</v>
      </c>
      <c r="V20" s="5" t="s">
        <v>24</v>
      </c>
      <c r="W20" s="5" t="s">
        <v>25</v>
      </c>
      <c r="X20" s="5" t="s">
        <v>26</v>
      </c>
      <c r="Y20" s="5" t="s">
        <v>27</v>
      </c>
      <c r="Z20" s="5" t="s">
        <v>28</v>
      </c>
      <c r="AA20" s="5" t="s">
        <v>29</v>
      </c>
      <c r="AB20" s="5" t="s">
        <v>30</v>
      </c>
      <c r="AC20" s="5" t="s">
        <v>31</v>
      </c>
      <c r="AD20" s="5" t="s">
        <v>32</v>
      </c>
    </row>
    <row r="21" spans="2:30" x14ac:dyDescent="0.25">
      <c r="C21" s="4" t="s">
        <v>33</v>
      </c>
      <c r="D21" s="27">
        <f>Data!B134</f>
        <v>268</v>
      </c>
      <c r="E21" s="27">
        <f>Data!C134</f>
        <v>268</v>
      </c>
      <c r="F21" s="27">
        <f>Data!D134</f>
        <v>273</v>
      </c>
      <c r="G21" s="27">
        <f>Data!E134</f>
        <v>274</v>
      </c>
      <c r="H21" s="27">
        <f>Data!F134</f>
        <v>275</v>
      </c>
      <c r="I21" s="27">
        <f>Data!G134</f>
        <v>275</v>
      </c>
      <c r="J21" s="27">
        <f>Data!H134</f>
        <v>303</v>
      </c>
      <c r="K21" s="27">
        <f>Data!I134</f>
        <v>314</v>
      </c>
      <c r="L21" s="27">
        <f>Data!J134</f>
        <v>318</v>
      </c>
      <c r="M21" s="27">
        <f>Data!K134</f>
        <v>378</v>
      </c>
      <c r="N21" s="27">
        <f>Data!L134</f>
        <v>382</v>
      </c>
      <c r="O21" s="27">
        <f>Data!M134</f>
        <v>382</v>
      </c>
      <c r="R21" s="4" t="s">
        <v>34</v>
      </c>
      <c r="S21" s="27">
        <f t="shared" ref="S21" si="3">D23</f>
        <v>382</v>
      </c>
      <c r="T21" s="27">
        <f t="shared" ref="T21" si="4">E23</f>
        <v>382</v>
      </c>
      <c r="U21" s="27">
        <f t="shared" ref="U21" si="5">F23</f>
        <v>384</v>
      </c>
      <c r="V21" s="27">
        <f t="shared" ref="V21" si="6">G23</f>
        <v>385</v>
      </c>
      <c r="W21" s="27">
        <f t="shared" ref="W21" si="7">H23</f>
        <v>385</v>
      </c>
      <c r="X21" s="27">
        <f t="shared" ref="X21" si="8">I23</f>
        <v>385</v>
      </c>
      <c r="Y21" s="27">
        <f t="shared" ref="Y21" si="9">J23</f>
        <v>173</v>
      </c>
      <c r="Z21" s="27">
        <f t="shared" ref="Z21" si="10">K23</f>
        <v>304</v>
      </c>
      <c r="AA21" s="27">
        <f t="shared" ref="AA21" si="11">L23</f>
        <v>302</v>
      </c>
      <c r="AB21" s="27">
        <f t="shared" ref="AB21" si="12">M23</f>
        <v>302</v>
      </c>
      <c r="AC21" s="27">
        <f t="shared" ref="AC21" si="13">N23</f>
        <v>302</v>
      </c>
      <c r="AD21" s="27">
        <f t="shared" ref="AD21" si="14">O23</f>
        <v>302</v>
      </c>
    </row>
    <row r="22" spans="2:30" x14ac:dyDescent="0.25">
      <c r="C22" s="4" t="s">
        <v>20</v>
      </c>
      <c r="D22" s="32">
        <f>'[6]2016-2018 Plan_Non-Credit Life'!I4</f>
        <v>242</v>
      </c>
      <c r="E22" s="32">
        <f>'[6]2016-2018 Plan_Non-Credit Life'!J4</f>
        <v>242</v>
      </c>
      <c r="F22" s="32">
        <f>'[6]2016-2018 Plan_Non-Credit Life'!K4</f>
        <v>242</v>
      </c>
      <c r="G22" s="32">
        <f>'[6]2016-2018 Plan_Non-Credit Life'!L4</f>
        <v>242</v>
      </c>
      <c r="H22" s="32">
        <f>'[6]2016-2018 Plan_Non-Credit Life'!M4</f>
        <v>302</v>
      </c>
      <c r="I22" s="32">
        <f>'[6]2016-2018 Plan_Non-Credit Life'!N4</f>
        <v>380</v>
      </c>
      <c r="J22" s="32">
        <f>'[6]2016-2018 Plan_Non-Credit Life'!O4</f>
        <v>390</v>
      </c>
      <c r="K22" s="32">
        <f>'[6]2016-2018 Plan_Non-Credit Life'!P4</f>
        <v>390</v>
      </c>
      <c r="L22" s="32">
        <f>'[6]2016-2018 Plan_Non-Credit Life'!Q4</f>
        <v>420</v>
      </c>
      <c r="M22" s="32">
        <f>'[6]2016-2018 Plan_Non-Credit Life'!R4</f>
        <v>420</v>
      </c>
      <c r="N22" s="32">
        <f>'[6]2016-2018 Plan_Non-Credit Life'!S4</f>
        <v>420</v>
      </c>
      <c r="O22" s="32">
        <f>'[6]2016-2018 Plan_Non-Credit Life'!T4</f>
        <v>420</v>
      </c>
      <c r="R22" s="4" t="s">
        <v>204</v>
      </c>
      <c r="S22" s="32">
        <f>'[5]2017 - 2022 Plan'!Z7</f>
        <v>330</v>
      </c>
      <c r="T22" s="32">
        <f>'[5]2017 - 2022 Plan'!AA7</f>
        <v>330</v>
      </c>
      <c r="U22" s="32">
        <f>'[5]2017 - 2022 Plan'!AB7</f>
        <v>351</v>
      </c>
      <c r="V22" s="32">
        <f>'[5]2017 - 2022 Plan'!AC7</f>
        <v>421</v>
      </c>
      <c r="W22" s="32">
        <f>'[5]2017 - 2022 Plan'!AD7</f>
        <v>451</v>
      </c>
      <c r="X22" s="32">
        <f>'[5]2017 - 2022 Plan'!AE7</f>
        <v>451</v>
      </c>
      <c r="Y22" s="32">
        <f>'[5]2017 - 2022 Plan'!AF7</f>
        <v>741</v>
      </c>
      <c r="Z22" s="32">
        <f>'[5]2017 - 2022 Plan'!AG7</f>
        <v>741</v>
      </c>
      <c r="AA22" s="32">
        <f>'[5]2017 - 2022 Plan'!AH7</f>
        <v>741</v>
      </c>
      <c r="AB22" s="32">
        <f>'[5]2017 - 2022 Plan'!AI7</f>
        <v>771</v>
      </c>
      <c r="AC22" s="32">
        <f>'[5]2017 - 2022 Plan'!AJ7</f>
        <v>771</v>
      </c>
      <c r="AD22" s="32">
        <f>'[5]2017 - 2022 Plan'!AK7</f>
        <v>771</v>
      </c>
    </row>
    <row r="23" spans="2:30" x14ac:dyDescent="0.25">
      <c r="C23" s="4" t="s">
        <v>34</v>
      </c>
      <c r="D23" s="27">
        <f>Data!N134</f>
        <v>382</v>
      </c>
      <c r="E23" s="27">
        <f>Data!O134</f>
        <v>382</v>
      </c>
      <c r="F23" s="27">
        <f>Data!P134</f>
        <v>384</v>
      </c>
      <c r="G23" s="27">
        <f>Data!Q134</f>
        <v>385</v>
      </c>
      <c r="H23" s="27">
        <f>Data!R134</f>
        <v>385</v>
      </c>
      <c r="I23" s="27">
        <f>Data!S134</f>
        <v>385</v>
      </c>
      <c r="J23" s="32">
        <f>Data!T134</f>
        <v>173</v>
      </c>
      <c r="K23" s="32">
        <f>Data!U134</f>
        <v>304</v>
      </c>
      <c r="L23" s="32">
        <f>Data!V134</f>
        <v>302</v>
      </c>
      <c r="M23" s="32">
        <f>Data!W134</f>
        <v>302</v>
      </c>
      <c r="N23" s="32">
        <f>Data!X134</f>
        <v>302</v>
      </c>
      <c r="O23" s="32">
        <f>Data!Y134</f>
        <v>302</v>
      </c>
      <c r="R23" s="4" t="s">
        <v>205</v>
      </c>
      <c r="S23" s="27">
        <f>Data!AN134</f>
        <v>370</v>
      </c>
      <c r="T23" s="27">
        <f>Data!AO134</f>
        <v>396</v>
      </c>
      <c r="U23" s="27">
        <f>Data!AP134</f>
        <v>430</v>
      </c>
      <c r="V23" s="27">
        <f>Data!AQ134</f>
        <v>434</v>
      </c>
      <c r="W23" s="27">
        <f>Data!AR134</f>
        <v>454</v>
      </c>
      <c r="X23" s="27">
        <f>Data!AS134</f>
        <v>458</v>
      </c>
      <c r="Y23" s="32">
        <f>Data!AT134</f>
        <v>458</v>
      </c>
      <c r="Z23" s="32">
        <f>Data!AU134</f>
        <v>0</v>
      </c>
      <c r="AA23" s="32">
        <f>Data!AV134</f>
        <v>0</v>
      </c>
      <c r="AB23" s="32">
        <f>Data!AW134</f>
        <v>0</v>
      </c>
      <c r="AC23" s="32">
        <f>Data!AX134</f>
        <v>0</v>
      </c>
      <c r="AD23" s="32">
        <f>Data!AY134</f>
        <v>0</v>
      </c>
    </row>
    <row r="24" spans="2:30" x14ac:dyDescent="0.25">
      <c r="C24" s="3"/>
      <c r="D24" s="3"/>
      <c r="E24" s="3"/>
      <c r="R24" s="3"/>
      <c r="S24" s="3"/>
      <c r="T24" s="3"/>
    </row>
    <row r="25" spans="2:30" x14ac:dyDescent="0.25">
      <c r="B25" t="s">
        <v>36</v>
      </c>
      <c r="C25" s="4" t="s">
        <v>36</v>
      </c>
      <c r="D25" s="5" t="s">
        <v>21</v>
      </c>
      <c r="E25" s="5" t="s">
        <v>22</v>
      </c>
      <c r="F25" s="5" t="s">
        <v>23</v>
      </c>
      <c r="G25" s="5" t="s">
        <v>24</v>
      </c>
      <c r="H25" s="5" t="s">
        <v>25</v>
      </c>
      <c r="I25" s="5" t="s">
        <v>26</v>
      </c>
      <c r="J25" s="5" t="s">
        <v>27</v>
      </c>
      <c r="K25" s="5" t="s">
        <v>28</v>
      </c>
      <c r="L25" s="5" t="s">
        <v>29</v>
      </c>
      <c r="M25" s="5" t="s">
        <v>30</v>
      </c>
      <c r="N25" s="5" t="s">
        <v>31</v>
      </c>
      <c r="O25" s="5" t="s">
        <v>32</v>
      </c>
      <c r="R25" s="4" t="s">
        <v>36</v>
      </c>
      <c r="S25" s="5" t="s">
        <v>21</v>
      </c>
      <c r="T25" s="5" t="s">
        <v>22</v>
      </c>
      <c r="U25" s="5" t="s">
        <v>23</v>
      </c>
      <c r="V25" s="5" t="s">
        <v>24</v>
      </c>
      <c r="W25" s="5" t="s">
        <v>25</v>
      </c>
      <c r="X25" s="5" t="s">
        <v>26</v>
      </c>
      <c r="Y25" s="5" t="s">
        <v>27</v>
      </c>
      <c r="Z25" s="5" t="s">
        <v>28</v>
      </c>
      <c r="AA25" s="5" t="s">
        <v>29</v>
      </c>
      <c r="AB25" s="5" t="s">
        <v>30</v>
      </c>
      <c r="AC25" s="5" t="s">
        <v>31</v>
      </c>
      <c r="AD25" s="5" t="s">
        <v>32</v>
      </c>
    </row>
    <row r="26" spans="2:30" x14ac:dyDescent="0.25">
      <c r="C26" s="4" t="s">
        <v>33</v>
      </c>
      <c r="D26" s="30">
        <f>Data!B107</f>
        <v>2.6260869565217391</v>
      </c>
      <c r="E26" s="30">
        <f>Data!C107</f>
        <v>2.3374999999999999</v>
      </c>
      <c r="F26" s="30">
        <f>Data!D107</f>
        <v>4.048</v>
      </c>
      <c r="G26" s="30">
        <f>Data!E107</f>
        <v>3.6592592592592594</v>
      </c>
      <c r="H26" s="30">
        <f>Data!F107</f>
        <v>2.9791666666666665</v>
      </c>
      <c r="I26" s="30">
        <f>Data!G107</f>
        <v>4.3037037037037038</v>
      </c>
      <c r="J26" s="30">
        <f>Data!H107</f>
        <v>3.9090909090909092</v>
      </c>
      <c r="K26" s="30">
        <f>Data!I107</f>
        <v>3.1158536585365852</v>
      </c>
      <c r="L26" s="30">
        <f>Data!J107</f>
        <v>3.8411764705882354</v>
      </c>
      <c r="M26" s="30">
        <f>Data!K107</f>
        <v>4.4120879120879124</v>
      </c>
      <c r="N26" s="30">
        <f>Data!L107</f>
        <v>5.4472361809045227</v>
      </c>
      <c r="O26" s="30">
        <f>Data!M107</f>
        <v>5.8112244897959187</v>
      </c>
      <c r="R26" s="4" t="s">
        <v>34</v>
      </c>
      <c r="S26" s="30">
        <f t="shared" ref="S26" si="15">D28</f>
        <v>2.5988700564971752</v>
      </c>
      <c r="T26" s="30">
        <f t="shared" ref="T26" si="16">E28</f>
        <v>3.5029940119760479</v>
      </c>
      <c r="U26" s="30">
        <f t="shared" ref="U26" si="17">F28</f>
        <v>5.0883977900552484</v>
      </c>
      <c r="V26" s="30">
        <f t="shared" ref="V26" si="18">G28</f>
        <v>4.2784090909090908</v>
      </c>
      <c r="W26" s="30">
        <f t="shared" ref="W26" si="19">H28</f>
        <v>5.5178571428571432</v>
      </c>
      <c r="X26" s="30">
        <f t="shared" ref="X26" si="20">I28</f>
        <v>5.6809815950920246</v>
      </c>
      <c r="Y26" s="30">
        <f t="shared" ref="Y26" si="21">J28</f>
        <v>5.1517241379310343</v>
      </c>
      <c r="Z26" s="30">
        <f t="shared" ref="Z26" si="22">K28</f>
        <v>3.9161073825503356</v>
      </c>
      <c r="AA26" s="30">
        <f t="shared" ref="AA26" si="23">L28</f>
        <v>4.16</v>
      </c>
      <c r="AB26" s="30">
        <f t="shared" ref="AB26" si="24">M28</f>
        <v>3.9300911854103342</v>
      </c>
      <c r="AC26" s="30">
        <f t="shared" ref="AC26" si="25">N28</f>
        <v>3.2272727272727271</v>
      </c>
      <c r="AD26" s="30">
        <f t="shared" ref="AD26" si="26">O28</f>
        <v>4.7630769230769232</v>
      </c>
    </row>
    <row r="27" spans="2:30" x14ac:dyDescent="0.25">
      <c r="C27" s="4" t="s">
        <v>20</v>
      </c>
      <c r="D27" s="30">
        <f>'[6]2016-2018 Plan_Non-Credit Life'!I9</f>
        <v>2.8831228473019519</v>
      </c>
      <c r="E27" s="30">
        <f>'[6]2016-2018 Plan_Non-Credit Life'!J9</f>
        <v>3.427684964200477</v>
      </c>
      <c r="F27" s="30">
        <f>'[6]2016-2018 Plan_Non-Credit Life'!K9</f>
        <v>4.2413965087281795</v>
      </c>
      <c r="G27" s="31">
        <f>'[6]2016-2018 Plan_Non-Credit Life'!L9</f>
        <v>4.1101796407185622</v>
      </c>
      <c r="H27" s="31">
        <f>'[6]2016-2018 Plan_Non-Credit Life'!M9</f>
        <v>4.093231039017974</v>
      </c>
      <c r="I27" s="31">
        <f>'[6]2016-2018 Plan_Non-Credit Life'!N9</f>
        <v>4.1333516558552406</v>
      </c>
      <c r="J27" s="31">
        <f>'[6]2016-2018 Plan_Non-Credit Life'!O9</f>
        <v>3.5772988380537396</v>
      </c>
      <c r="K27" s="31">
        <f>'[6]2016-2018 Plan_Non-Credit Life'!P9</f>
        <v>4.1228675450762839</v>
      </c>
      <c r="L27" s="31">
        <f>'[6]2016-2018 Plan_Non-Credit Life'!Q9</f>
        <v>4.4860667861945309</v>
      </c>
      <c r="M27" s="31">
        <f>'[6]2016-2018 Plan_Non-Credit Life'!R9</f>
        <v>3.8185549938860959</v>
      </c>
      <c r="N27" s="31">
        <f>'[6]2016-2018 Plan_Non-Credit Life'!S9</f>
        <v>4.127255168407804</v>
      </c>
      <c r="O27" s="31">
        <f>'[6]2016-2018 Plan_Non-Credit Life'!T9</f>
        <v>4.7297449712476158</v>
      </c>
      <c r="R27" s="4" t="s">
        <v>204</v>
      </c>
      <c r="S27" s="30">
        <f>'[5]2017 - 2022 Plan'!Z11</f>
        <v>2.9883865557962404</v>
      </c>
      <c r="T27" s="30">
        <f>'[5]2017 - 2022 Plan'!AA11</f>
        <v>1.9591148810621428</v>
      </c>
      <c r="U27" s="30">
        <f>'[5]2017 - 2022 Plan'!AB11</f>
        <v>3.6425198658429649</v>
      </c>
      <c r="V27" s="31">
        <f>'[5]2017 - 2022 Plan'!AC11</f>
        <v>3.5549721074928105</v>
      </c>
      <c r="W27" s="31">
        <f>'[5]2017 - 2022 Plan'!AD11</f>
        <v>3.7600077674748058</v>
      </c>
      <c r="X27" s="31">
        <f>'[5]2017 - 2022 Plan'!AE11</f>
        <v>4.0464987457922303</v>
      </c>
      <c r="Y27" s="31">
        <f>'[5]2017 - 2022 Plan'!AF11</f>
        <v>2.3337774381854053</v>
      </c>
      <c r="Z27" s="31">
        <f>'[5]2017 - 2022 Plan'!AG11</f>
        <v>2.42963336531444</v>
      </c>
      <c r="AA27" s="31">
        <f>'[5]2017 - 2022 Plan'!AH11</f>
        <v>2.57108691475718</v>
      </c>
      <c r="AB27" s="31">
        <f>'[5]2017 - 2022 Plan'!AI11</f>
        <v>2.3651047854520546</v>
      </c>
      <c r="AC27" s="31">
        <f>'[5]2017 - 2022 Plan'!AJ11</f>
        <v>2.5365091907960338</v>
      </c>
      <c r="AD27" s="31">
        <f>'[5]2017 - 2022 Plan'!AK11</f>
        <v>2.6373563795933408</v>
      </c>
    </row>
    <row r="28" spans="2:30" x14ac:dyDescent="0.25">
      <c r="C28" s="4" t="s">
        <v>34</v>
      </c>
      <c r="D28" s="30">
        <f>Data!N107</f>
        <v>2.5988700564971752</v>
      </c>
      <c r="E28" s="30">
        <f>Data!O107</f>
        <v>3.5029940119760479</v>
      </c>
      <c r="F28" s="30">
        <f>Data!P107</f>
        <v>5.0883977900552484</v>
      </c>
      <c r="G28" s="30">
        <f>Data!Q107</f>
        <v>4.2784090909090908</v>
      </c>
      <c r="H28" s="30">
        <f>Data!R107</f>
        <v>5.5178571428571432</v>
      </c>
      <c r="I28" s="30">
        <f>Data!S107</f>
        <v>5.6809815950920246</v>
      </c>
      <c r="J28" s="30">
        <f>Data!T107</f>
        <v>5.1517241379310343</v>
      </c>
      <c r="K28" s="30">
        <f>Data!U107</f>
        <v>3.9161073825503356</v>
      </c>
      <c r="L28" s="30">
        <f>Data!V107</f>
        <v>4.16</v>
      </c>
      <c r="M28" s="30">
        <f>Data!W107</f>
        <v>3.9300911854103342</v>
      </c>
      <c r="N28" s="30">
        <f>Data!X107</f>
        <v>3.2272727272727271</v>
      </c>
      <c r="O28" s="30">
        <f>Data!Y107</f>
        <v>4.7630769230769232</v>
      </c>
      <c r="R28" s="4" t="s">
        <v>205</v>
      </c>
      <c r="S28" s="30">
        <f>Data!AN107</f>
        <v>2.875</v>
      </c>
      <c r="T28" s="30">
        <f>Data!AO107</f>
        <v>5.0192307692307692</v>
      </c>
      <c r="U28" s="30">
        <f>Data!AP107</f>
        <v>5.477966101694915</v>
      </c>
      <c r="V28" s="30">
        <f>Data!AQ107</f>
        <v>4.1866666666666665</v>
      </c>
      <c r="W28" s="30">
        <f>Data!AR107</f>
        <v>3.6808510638297873</v>
      </c>
      <c r="X28" s="30">
        <f>Data!AS107</f>
        <v>3.3730769230769231</v>
      </c>
      <c r="Y28" s="30">
        <f>Data!AT107</f>
        <v>4.0896860986547088</v>
      </c>
      <c r="Z28" s="30" t="str">
        <f>Data!AU107</f>
        <v/>
      </c>
      <c r="AA28" s="30" t="str">
        <f>Data!AV107</f>
        <v/>
      </c>
      <c r="AB28" s="30" t="str">
        <f>Data!AW107</f>
        <v/>
      </c>
      <c r="AC28" s="30" t="str">
        <f>Data!AX107</f>
        <v/>
      </c>
      <c r="AD28" s="30" t="str">
        <f>Data!AY107</f>
        <v/>
      </c>
    </row>
    <row r="29" spans="2:30" x14ac:dyDescent="0.25">
      <c r="D29" s="6"/>
      <c r="E29" s="6"/>
      <c r="F29" s="6"/>
      <c r="S29" s="6"/>
      <c r="T29" s="6"/>
      <c r="U29" s="6"/>
    </row>
    <row r="30" spans="2:30" x14ac:dyDescent="0.25">
      <c r="B30" t="s">
        <v>37</v>
      </c>
      <c r="C30" s="4" t="s">
        <v>37</v>
      </c>
      <c r="D30" s="5" t="s">
        <v>21</v>
      </c>
      <c r="E30" s="5" t="s">
        <v>22</v>
      </c>
      <c r="F30" s="5" t="s">
        <v>23</v>
      </c>
      <c r="G30" s="5" t="s">
        <v>24</v>
      </c>
      <c r="H30" s="5" t="s">
        <v>25</v>
      </c>
      <c r="I30" s="5" t="s">
        <v>26</v>
      </c>
      <c r="J30" s="5" t="s">
        <v>27</v>
      </c>
      <c r="K30" s="5" t="s">
        <v>28</v>
      </c>
      <c r="L30" s="5" t="s">
        <v>29</v>
      </c>
      <c r="M30" s="5" t="s">
        <v>30</v>
      </c>
      <c r="N30" s="5" t="s">
        <v>31</v>
      </c>
      <c r="O30" s="5" t="s">
        <v>32</v>
      </c>
      <c r="R30" s="4" t="s">
        <v>37</v>
      </c>
      <c r="S30" s="5" t="s">
        <v>21</v>
      </c>
      <c r="T30" s="5" t="s">
        <v>22</v>
      </c>
      <c r="U30" s="5" t="s">
        <v>23</v>
      </c>
      <c r="V30" s="5" t="s">
        <v>24</v>
      </c>
      <c r="W30" s="5" t="s">
        <v>25</v>
      </c>
      <c r="X30" s="5" t="s">
        <v>26</v>
      </c>
      <c r="Y30" s="5" t="s">
        <v>27</v>
      </c>
      <c r="Z30" s="5" t="s">
        <v>28</v>
      </c>
      <c r="AA30" s="5" t="s">
        <v>29</v>
      </c>
      <c r="AB30" s="5" t="s">
        <v>30</v>
      </c>
      <c r="AC30" s="5" t="s">
        <v>31</v>
      </c>
      <c r="AD30" s="5" t="s">
        <v>32</v>
      </c>
    </row>
    <row r="31" spans="2:30" x14ac:dyDescent="0.25">
      <c r="C31" s="4" t="s">
        <v>33</v>
      </c>
      <c r="D31" s="30">
        <f>Data!B116</f>
        <v>17.181003311258277</v>
      </c>
      <c r="E31" s="30">
        <f>Data!C116</f>
        <v>16.702262032085564</v>
      </c>
      <c r="F31" s="30">
        <f>Data!D116</f>
        <v>18.327385375494071</v>
      </c>
      <c r="G31" s="30">
        <f>Data!E116</f>
        <v>16.955228744939269</v>
      </c>
      <c r="H31" s="30">
        <f>Data!F116</f>
        <v>17.814076923076925</v>
      </c>
      <c r="I31" s="30">
        <f>Data!G116</f>
        <v>17.974347676419981</v>
      </c>
      <c r="J31" s="30">
        <f>Data!H116</f>
        <v>17.93627191413238</v>
      </c>
      <c r="K31" s="30">
        <f>Data!I116</f>
        <v>16.252520547945203</v>
      </c>
      <c r="L31" s="30">
        <f>Data!J116</f>
        <v>18.498681470137839</v>
      </c>
      <c r="M31" s="30">
        <f>Data!K116</f>
        <v>18.417509339975094</v>
      </c>
      <c r="N31" s="30">
        <f>Data!L116</f>
        <v>17.661800738007379</v>
      </c>
      <c r="O31" s="30">
        <f>Data!M116</f>
        <v>18.206905179982439</v>
      </c>
      <c r="R31" s="4" t="s">
        <v>34</v>
      </c>
      <c r="S31" s="30">
        <f t="shared" ref="S31" si="27">D33</f>
        <v>16.533354347826087</v>
      </c>
      <c r="T31" s="30">
        <f t="shared" ref="T31" si="28">E33</f>
        <v>17.158095726495745</v>
      </c>
      <c r="U31" s="30">
        <f t="shared" ref="U31" si="29">F33</f>
        <v>16.745802388707926</v>
      </c>
      <c r="V31" s="30">
        <f t="shared" ref="V31" si="30">G33</f>
        <v>16.810507304116864</v>
      </c>
      <c r="W31" s="30">
        <f t="shared" ref="W31" si="31">H33</f>
        <v>17.435297734627831</v>
      </c>
      <c r="X31" s="30">
        <f t="shared" ref="X31" si="32">I33</f>
        <v>17.704831533477321</v>
      </c>
      <c r="Y31" s="30">
        <f t="shared" ref="Y31" si="33">J33</f>
        <v>17.211680053547525</v>
      </c>
      <c r="Z31" s="30">
        <f t="shared" ref="Z31" si="34">K33</f>
        <v>17.280581833761783</v>
      </c>
      <c r="AA31" s="30">
        <f t="shared" ref="AA31" si="35">L33</f>
        <v>18.561541083916065</v>
      </c>
      <c r="AB31" s="30">
        <f t="shared" ref="AB31" si="36">M33</f>
        <v>16.813201856148492</v>
      </c>
      <c r="AC31" s="30">
        <f t="shared" ref="AC31" si="37">N33</f>
        <v>17.825803900325027</v>
      </c>
      <c r="AD31" s="30">
        <f t="shared" ref="AD31" si="38">O33</f>
        <v>19.434057493540053</v>
      </c>
    </row>
    <row r="32" spans="2:30" x14ac:dyDescent="0.25">
      <c r="C32" s="4" t="s">
        <v>20</v>
      </c>
      <c r="D32" s="30">
        <f>'[6]2016-2018 Plan_Non-Credit Life'!I10</f>
        <v>15.725390251672508</v>
      </c>
      <c r="E32" s="30">
        <f>'[6]2016-2018 Plan_Non-Credit Life'!J10</f>
        <v>17.109029034953352</v>
      </c>
      <c r="F32" s="30">
        <f>'[6]2016-2018 Plan_Non-Credit Life'!K10</f>
        <v>17.368767638758232</v>
      </c>
      <c r="G32" s="31">
        <f>'[6]2016-2018 Plan_Non-Credit Life'!L10</f>
        <v>17.335664335664337</v>
      </c>
      <c r="H32" s="31">
        <f>'[6]2016-2018 Plan_Non-Credit Life'!M10</f>
        <v>17.44371541857581</v>
      </c>
      <c r="I32" s="31">
        <f>'[6]2016-2018 Plan_Non-Credit Life'!N10</f>
        <v>18.233766295984161</v>
      </c>
      <c r="J32" s="31">
        <f>'[6]2016-2018 Plan_Non-Credit Life'!O10</f>
        <v>18.261884283823566</v>
      </c>
      <c r="K32" s="31">
        <f>'[6]2016-2018 Plan_Non-Credit Life'!P10</f>
        <v>18.240056011807891</v>
      </c>
      <c r="L32" s="31">
        <f>'[6]2016-2018 Plan_Non-Credit Life'!Q10</f>
        <v>18.392101546548581</v>
      </c>
      <c r="M32" s="31">
        <f>'[6]2016-2018 Plan_Non-Credit Life'!R10</f>
        <v>18.36757616374242</v>
      </c>
      <c r="N32" s="31">
        <f>'[6]2016-2018 Plan_Non-Credit Life'!S10</f>
        <v>19.649381456119521</v>
      </c>
      <c r="O32" s="31">
        <f>'[6]2016-2018 Plan_Non-Credit Life'!T10</f>
        <v>19.664610724097251</v>
      </c>
      <c r="R32" s="4" t="s">
        <v>204</v>
      </c>
      <c r="S32" s="30">
        <f>'[5]2017 - 2022 Plan'!Z12</f>
        <v>17.877513398243497</v>
      </c>
      <c r="T32" s="30">
        <f>'[5]2017 - 2022 Plan'!AA12</f>
        <v>18.124540317085014</v>
      </c>
      <c r="U32" s="30">
        <f>'[5]2017 - 2022 Plan'!AB12</f>
        <v>18.199634910692609</v>
      </c>
      <c r="V32" s="31">
        <f>'[5]2017 - 2022 Plan'!AC12</f>
        <v>18.271928572679641</v>
      </c>
      <c r="W32" s="31">
        <f>'[5]2017 - 2022 Plan'!AD12</f>
        <v>18.441742239672578</v>
      </c>
      <c r="X32" s="31">
        <f>'[5]2017 - 2022 Plan'!AE12</f>
        <v>18.1906220131286</v>
      </c>
      <c r="Y32" s="31">
        <f>'[5]2017 - 2022 Plan'!AF12</f>
        <v>16.864534010080714</v>
      </c>
      <c r="Z32" s="31">
        <f>'[5]2017 - 2022 Plan'!AG12</f>
        <v>17.530341409412848</v>
      </c>
      <c r="AA32" s="31">
        <f>'[5]2017 - 2022 Plan'!AH12</f>
        <v>17.39764785985853</v>
      </c>
      <c r="AB32" s="31">
        <f>'[5]2017 - 2022 Plan'!AI12</f>
        <v>17.088855356087237</v>
      </c>
      <c r="AC32" s="31">
        <f>'[5]2017 - 2022 Plan'!AJ12</f>
        <v>17.043897699120297</v>
      </c>
      <c r="AD32" s="31">
        <f>'[5]2017 - 2022 Plan'!AK12</f>
        <v>17.055381796705319</v>
      </c>
    </row>
    <row r="33" spans="1:30" x14ac:dyDescent="0.25">
      <c r="C33" s="4" t="s">
        <v>34</v>
      </c>
      <c r="D33" s="30">
        <f>Data!N116</f>
        <v>16.533354347826087</v>
      </c>
      <c r="E33" s="30">
        <f>Data!O116</f>
        <v>17.158095726495745</v>
      </c>
      <c r="F33" s="30">
        <f>Data!P116</f>
        <v>16.745802388707926</v>
      </c>
      <c r="G33" s="30">
        <f>Data!Q116</f>
        <v>16.810507304116864</v>
      </c>
      <c r="H33" s="30">
        <f>Data!R116</f>
        <v>17.435297734627831</v>
      </c>
      <c r="I33" s="30">
        <f>Data!S116</f>
        <v>17.704831533477321</v>
      </c>
      <c r="J33" s="30">
        <f>Data!T116</f>
        <v>17.211680053547525</v>
      </c>
      <c r="K33" s="30">
        <f>Data!U116</f>
        <v>17.280581833761783</v>
      </c>
      <c r="L33" s="30">
        <f>Data!V116</f>
        <v>18.561541083916065</v>
      </c>
      <c r="M33" s="30">
        <f>Data!W116</f>
        <v>16.813201856148492</v>
      </c>
      <c r="N33" s="30">
        <f>Data!X116</f>
        <v>17.825803900325027</v>
      </c>
      <c r="O33" s="30">
        <f>Data!Y116</f>
        <v>19.434057493540053</v>
      </c>
      <c r="R33" s="4" t="s">
        <v>205</v>
      </c>
      <c r="S33" s="30">
        <f>Data!AN116</f>
        <v>17.674856071964019</v>
      </c>
      <c r="T33" s="30">
        <f>Data!AO116</f>
        <v>16.676405363984674</v>
      </c>
      <c r="U33" s="30">
        <f>Data!AP116</f>
        <v>18.646912128712877</v>
      </c>
      <c r="V33" s="30">
        <f>Data!AQ116</f>
        <v>18.383829617834397</v>
      </c>
      <c r="W33" s="30">
        <f>Data!AR116</f>
        <v>19.240944123314062</v>
      </c>
      <c r="X33" s="30">
        <f>Data!AS116</f>
        <v>18.853443557582668</v>
      </c>
      <c r="Y33" s="30">
        <f>Data!AT116</f>
        <v>20.459292763157894</v>
      </c>
      <c r="Z33" s="30">
        <f>Data!AU116</f>
        <v>0</v>
      </c>
      <c r="AA33" s="30">
        <f>Data!AV116</f>
        <v>0</v>
      </c>
      <c r="AB33" s="30">
        <f>Data!AW116</f>
        <v>0</v>
      </c>
      <c r="AC33" s="30">
        <f>Data!AX116</f>
        <v>0</v>
      </c>
      <c r="AD33" s="30">
        <f>Data!AY116</f>
        <v>0</v>
      </c>
    </row>
    <row r="35" spans="1:30" x14ac:dyDescent="0.25">
      <c r="B35" t="s">
        <v>3</v>
      </c>
      <c r="C35" s="4" t="s">
        <v>3</v>
      </c>
      <c r="D35" s="5" t="s">
        <v>21</v>
      </c>
      <c r="E35" s="5" t="s">
        <v>22</v>
      </c>
      <c r="F35" s="5" t="s">
        <v>23</v>
      </c>
      <c r="G35" s="5" t="s">
        <v>24</v>
      </c>
      <c r="H35" s="5" t="s">
        <v>25</v>
      </c>
      <c r="I35" s="5" t="s">
        <v>26</v>
      </c>
      <c r="J35" s="5" t="s">
        <v>27</v>
      </c>
      <c r="K35" s="5" t="s">
        <v>28</v>
      </c>
      <c r="L35" s="5" t="s">
        <v>29</v>
      </c>
      <c r="M35" s="5" t="s">
        <v>30</v>
      </c>
      <c r="N35" s="5" t="s">
        <v>31</v>
      </c>
      <c r="O35" s="5" t="s">
        <v>32</v>
      </c>
      <c r="R35" s="4" t="s">
        <v>3</v>
      </c>
      <c r="S35" s="5" t="s">
        <v>21</v>
      </c>
      <c r="T35" s="5" t="s">
        <v>22</v>
      </c>
      <c r="U35" s="5" t="s">
        <v>23</v>
      </c>
      <c r="V35" s="5" t="s">
        <v>24</v>
      </c>
      <c r="W35" s="5" t="s">
        <v>25</v>
      </c>
      <c r="X35" s="5" t="s">
        <v>26</v>
      </c>
      <c r="Y35" s="5" t="s">
        <v>27</v>
      </c>
      <c r="Z35" s="5" t="s">
        <v>28</v>
      </c>
      <c r="AA35" s="5" t="s">
        <v>29</v>
      </c>
      <c r="AB35" s="5" t="s">
        <v>30</v>
      </c>
      <c r="AC35" s="5" t="s">
        <v>31</v>
      </c>
      <c r="AD35" s="5" t="s">
        <v>32</v>
      </c>
    </row>
    <row r="36" spans="1:30" x14ac:dyDescent="0.25">
      <c r="C36" s="4" t="s">
        <v>33</v>
      </c>
      <c r="D36" s="35">
        <f>Data!B98</f>
        <v>0.62841530054644812</v>
      </c>
      <c r="E36" s="35">
        <f>Data!C98</f>
        <v>0.41884816753926701</v>
      </c>
      <c r="F36" s="35">
        <f>Data!D98</f>
        <v>0.62814070351758799</v>
      </c>
      <c r="G36" s="35">
        <f>Data!E98</f>
        <v>0.65217391304347827</v>
      </c>
      <c r="H36" s="35">
        <f>Data!F98</f>
        <v>0.72</v>
      </c>
      <c r="I36" s="35">
        <f>Data!G98</f>
        <v>0.69230769230769229</v>
      </c>
      <c r="J36" s="35">
        <f>Data!H98</f>
        <v>0.65898617511520741</v>
      </c>
      <c r="K36" s="35">
        <f>Data!I98</f>
        <v>0.75576036866359442</v>
      </c>
      <c r="L36" s="35">
        <f>Data!J98</f>
        <v>0.71129707112970708</v>
      </c>
      <c r="M36" s="35">
        <f>Data!K98</f>
        <v>0.75518672199170123</v>
      </c>
      <c r="N36" s="35">
        <f>Data!L98</f>
        <v>0.81224489795918364</v>
      </c>
      <c r="O36" s="35">
        <f>Data!M98</f>
        <v>0.78714859437751006</v>
      </c>
      <c r="R36" s="4" t="s">
        <v>34</v>
      </c>
      <c r="S36" s="35">
        <f t="shared" ref="S36" si="39">D38</f>
        <v>0.71084337349397586</v>
      </c>
      <c r="T36" s="35">
        <f t="shared" ref="T36" si="40">E38</f>
        <v>0.68724279835390945</v>
      </c>
      <c r="U36" s="35">
        <f t="shared" ref="U36" si="41">F38</f>
        <v>0.76694915254237284</v>
      </c>
      <c r="V36" s="35">
        <f t="shared" ref="V36" si="42">G38</f>
        <v>0.73029045643153523</v>
      </c>
      <c r="W36" s="35">
        <f t="shared" ref="W36" si="43">H38</f>
        <v>0.72103004291845496</v>
      </c>
      <c r="X36" s="35">
        <f t="shared" ref="X36" si="44">I38</f>
        <v>0.6791666666666667</v>
      </c>
      <c r="Y36" s="35">
        <f t="shared" ref="Y36" si="45">J38</f>
        <v>0.79234972677595628</v>
      </c>
      <c r="Z36" s="35">
        <f t="shared" ref="Z36" si="46">K38</f>
        <v>0.75634517766497467</v>
      </c>
      <c r="AA36" s="35">
        <f t="shared" ref="AA36" si="47">L38</f>
        <v>0.69620253164556967</v>
      </c>
      <c r="AB36" s="35">
        <f t="shared" ref="AB36" si="48">M38</f>
        <v>0.65277777777777779</v>
      </c>
      <c r="AC36" s="35">
        <f t="shared" ref="AC36" si="49">N38</f>
        <v>0.66050808314087761</v>
      </c>
      <c r="AD36" s="35">
        <f t="shared" ref="AD36" si="50">O38</f>
        <v>0.8044554455445545</v>
      </c>
    </row>
    <row r="37" spans="1:30" x14ac:dyDescent="0.25">
      <c r="C37" s="4" t="s">
        <v>20</v>
      </c>
      <c r="D37" s="35">
        <f>'[6]2016-2018 Plan_Non-Credit Life'!I7</f>
        <v>0.69679999999999997</v>
      </c>
      <c r="E37" s="35">
        <f>'[6]2016-2018 Plan_Non-Credit Life'!J7</f>
        <v>0.67040000000000011</v>
      </c>
      <c r="F37" s="35">
        <f>'[6]2016-2018 Plan_Non-Credit Life'!K7</f>
        <v>0.80200000000000005</v>
      </c>
      <c r="G37" s="35">
        <f>'[6]2016-2018 Plan_Non-Credit Life'!L7</f>
        <v>0.66800000000000004</v>
      </c>
      <c r="H37" s="35">
        <f>'[6]2016-2018 Plan_Non-Credit Life'!M7</f>
        <v>0.72183544303797464</v>
      </c>
      <c r="I37" s="35">
        <f>'[6]2016-2018 Plan_Non-Credit Life'!N7</f>
        <v>0.75880829015544038</v>
      </c>
      <c r="J37" s="35">
        <f>'[6]2016-2018 Plan_Non-Credit Life'!O7</f>
        <v>0.69545454545454544</v>
      </c>
      <c r="K37" s="35">
        <f>'[6]2016-2018 Plan_Non-Credit Life'!P7</f>
        <v>0.7282828282828282</v>
      </c>
      <c r="L37" s="35">
        <f>'[6]2016-2018 Plan_Non-Credit Life'!Q7</f>
        <v>0.7800699300699302</v>
      </c>
      <c r="M37" s="35">
        <f>'[6]2016-2018 Plan_Non-Credit Life'!R7</f>
        <v>0.73589743589743584</v>
      </c>
      <c r="N37" s="35">
        <f>'[6]2016-2018 Plan_Non-Credit Life'!S7</f>
        <v>0.75641025641025639</v>
      </c>
      <c r="O37" s="35">
        <f>'[6]2016-2018 Plan_Non-Credit Life'!T7</f>
        <v>0.79592074592074591</v>
      </c>
      <c r="R37" s="4" t="s">
        <v>204</v>
      </c>
      <c r="S37" s="35">
        <f>'[5]2017 - 2022 Plan'!Z9</f>
        <v>0.77794085670798008</v>
      </c>
      <c r="T37" s="35">
        <f>'[5]2017 - 2022 Plan'!AA9</f>
        <v>0.58958469232441835</v>
      </c>
      <c r="U37" s="35">
        <f>'[5]2017 - 2022 Plan'!AB9</f>
        <v>0.84170367628916842</v>
      </c>
      <c r="V37" s="35">
        <f>'[5]2017 - 2022 Plan'!AC9</f>
        <v>0.75471491228070176</v>
      </c>
      <c r="W37" s="35">
        <f>'[5]2017 - 2022 Plan'!AD9</f>
        <v>0.79516129032258065</v>
      </c>
      <c r="X37" s="35">
        <f>'[5]2017 - 2022 Plan'!AE9</f>
        <v>0.8617943548387097</v>
      </c>
      <c r="Y37" s="35">
        <f>'[5]2017 - 2022 Plan'!AF9</f>
        <v>0.73171390013495285</v>
      </c>
      <c r="Z37" s="35">
        <f>'[5]2017 - 2022 Plan'!AG9</f>
        <v>0.7836707152496627</v>
      </c>
      <c r="AA37" s="35">
        <f>'[5]2017 - 2022 Plan'!AH9</f>
        <v>0.82510121457489871</v>
      </c>
      <c r="AB37" s="35">
        <f>'[5]2017 - 2022 Plan'!AI9</f>
        <v>0.76939040207522702</v>
      </c>
      <c r="AC37" s="35">
        <f>'[5]2017 - 2022 Plan'!AJ9</f>
        <v>0.82068741893644614</v>
      </c>
      <c r="AD37" s="35">
        <f>'[5]2017 - 2022 Plan'!AK9</f>
        <v>0.86044098573281447</v>
      </c>
    </row>
    <row r="38" spans="1:30" x14ac:dyDescent="0.25">
      <c r="C38" s="4" t="s">
        <v>34</v>
      </c>
      <c r="D38" s="35">
        <f>Data!N98</f>
        <v>0.71084337349397586</v>
      </c>
      <c r="E38" s="35">
        <f>Data!O98</f>
        <v>0.68724279835390945</v>
      </c>
      <c r="F38" s="35">
        <f>Data!P98</f>
        <v>0.76694915254237284</v>
      </c>
      <c r="G38" s="35">
        <f>Data!Q98</f>
        <v>0.73029045643153523</v>
      </c>
      <c r="H38" s="35">
        <f>Data!R98</f>
        <v>0.72103004291845496</v>
      </c>
      <c r="I38" s="35">
        <f>Data!S98</f>
        <v>0.6791666666666667</v>
      </c>
      <c r="J38" s="35">
        <f>Data!T98</f>
        <v>0.79234972677595628</v>
      </c>
      <c r="K38" s="35">
        <f>Data!U98</f>
        <v>0.75634517766497467</v>
      </c>
      <c r="L38" s="35">
        <f>Data!V98</f>
        <v>0.69620253164556967</v>
      </c>
      <c r="M38" s="35">
        <f>Data!W98</f>
        <v>0.65277777777777779</v>
      </c>
      <c r="N38" s="35">
        <f>Data!X98</f>
        <v>0.66050808314087761</v>
      </c>
      <c r="O38" s="35">
        <f>Data!Y98</f>
        <v>0.8044554455445545</v>
      </c>
      <c r="R38" s="4" t="s">
        <v>205</v>
      </c>
      <c r="S38" s="35">
        <f>Data!AN98</f>
        <v>0.61538461538461542</v>
      </c>
      <c r="T38" s="35">
        <f>Data!AO98</f>
        <v>0.67532467532467533</v>
      </c>
      <c r="U38" s="35">
        <f>Data!AP98</f>
        <v>0.67816091954022983</v>
      </c>
      <c r="V38" s="35">
        <f>Data!AQ98</f>
        <v>0.72115384615384615</v>
      </c>
      <c r="W38" s="35">
        <f>Data!AR98</f>
        <v>0.58627858627858631</v>
      </c>
      <c r="X38" s="35">
        <f>Data!AS98</f>
        <v>0.5252525252525253</v>
      </c>
      <c r="Y38" s="35">
        <f>Data!AT98</f>
        <v>1.1554404145077721</v>
      </c>
      <c r="Z38" s="35" t="str">
        <f>Data!AU98</f>
        <v/>
      </c>
      <c r="AA38" s="35" t="str">
        <f>Data!AV98</f>
        <v/>
      </c>
      <c r="AB38" s="35" t="str">
        <f>Data!AW98</f>
        <v/>
      </c>
      <c r="AC38" s="35" t="str">
        <f>Data!AX98</f>
        <v/>
      </c>
      <c r="AD38" s="35" t="str">
        <f>Data!AY98</f>
        <v/>
      </c>
    </row>
    <row r="40" spans="1:30" x14ac:dyDescent="0.25">
      <c r="B40" t="s">
        <v>8</v>
      </c>
      <c r="C40" s="4" t="s">
        <v>8</v>
      </c>
      <c r="D40" s="5" t="s">
        <v>21</v>
      </c>
      <c r="E40" s="5" t="s">
        <v>22</v>
      </c>
      <c r="F40" s="5" t="s">
        <v>23</v>
      </c>
      <c r="G40" s="5" t="s">
        <v>24</v>
      </c>
      <c r="H40" s="5" t="s">
        <v>25</v>
      </c>
      <c r="I40" s="5" t="s">
        <v>26</v>
      </c>
      <c r="J40" s="5" t="s">
        <v>27</v>
      </c>
      <c r="K40" s="5" t="s">
        <v>28</v>
      </c>
      <c r="L40" s="5" t="s">
        <v>29</v>
      </c>
      <c r="M40" s="5" t="s">
        <v>30</v>
      </c>
      <c r="N40" s="5" t="s">
        <v>31</v>
      </c>
      <c r="O40" s="5" t="s">
        <v>32</v>
      </c>
      <c r="R40" s="4" t="s">
        <v>8</v>
      </c>
      <c r="S40" s="5" t="s">
        <v>21</v>
      </c>
      <c r="T40" s="5" t="s">
        <v>22</v>
      </c>
      <c r="U40" s="5" t="s">
        <v>23</v>
      </c>
      <c r="V40" s="5" t="s">
        <v>24</v>
      </c>
      <c r="W40" s="5" t="s">
        <v>25</v>
      </c>
      <c r="X40" s="5" t="s">
        <v>26</v>
      </c>
      <c r="Y40" s="5" t="s">
        <v>27</v>
      </c>
      <c r="Z40" s="5" t="s">
        <v>28</v>
      </c>
      <c r="AA40" s="5" t="s">
        <v>29</v>
      </c>
      <c r="AB40" s="5" t="s">
        <v>30</v>
      </c>
      <c r="AC40" s="5" t="s">
        <v>31</v>
      </c>
      <c r="AD40" s="5" t="s">
        <v>32</v>
      </c>
    </row>
    <row r="41" spans="1:30" x14ac:dyDescent="0.25">
      <c r="C41" s="4" t="s">
        <v>33</v>
      </c>
      <c r="D41" s="30">
        <f>Data!B125</f>
        <v>28.353349726775953</v>
      </c>
      <c r="E41" s="30">
        <f>Data!C125</f>
        <v>16.352476439790578</v>
      </c>
      <c r="F41" s="30">
        <f>Data!D125</f>
        <v>46.601291457286429</v>
      </c>
      <c r="G41" s="30">
        <f>Data!E125</f>
        <v>40.463202898550726</v>
      </c>
      <c r="H41" s="30">
        <f>Data!F125</f>
        <v>38.211195000000004</v>
      </c>
      <c r="I41" s="30">
        <f>Data!G125</f>
        <v>53.554338461538507</v>
      </c>
      <c r="J41" s="30">
        <f>Data!H125</f>
        <v>46.204497695852538</v>
      </c>
      <c r="K41" s="30">
        <f>Data!I125</f>
        <v>38.272064516129028</v>
      </c>
      <c r="L41" s="30">
        <f>Data!J125</f>
        <v>50.542422594142302</v>
      </c>
      <c r="M41" s="30">
        <f>Data!K125</f>
        <v>61.366224066390039</v>
      </c>
      <c r="N41" s="30">
        <f>Data!L125</f>
        <v>78.144457142857135</v>
      </c>
      <c r="O41" s="30">
        <f>Data!M125</f>
        <v>83.283795180722876</v>
      </c>
      <c r="R41" s="4" t="s">
        <v>34</v>
      </c>
      <c r="S41" s="30">
        <f t="shared" ref="S41" si="51">D43</f>
        <v>30.543546184738958</v>
      </c>
      <c r="T41" s="30">
        <f t="shared" ref="T41" si="52">E43</f>
        <v>41.306526748971237</v>
      </c>
      <c r="U41" s="30">
        <f t="shared" ref="U41" si="53">F43</f>
        <v>65.351203389830502</v>
      </c>
      <c r="V41" s="30">
        <f t="shared" ref="V41" si="54">G43</f>
        <v>52.524116182572612</v>
      </c>
      <c r="W41" s="30">
        <f t="shared" ref="W41" si="55">H43</f>
        <v>69.367042918454928</v>
      </c>
      <c r="X41" s="30">
        <f t="shared" ref="X41" si="56">I43</f>
        <v>68.311141666666657</v>
      </c>
      <c r="Y41" s="30">
        <f t="shared" ref="Y41" si="57">J43</f>
        <v>70.257513661202182</v>
      </c>
      <c r="Z41" s="30">
        <f t="shared" ref="Z41" si="58">K43</f>
        <v>51.183855329949246</v>
      </c>
      <c r="AA41" s="30">
        <f t="shared" ref="AA41" si="59">L43</f>
        <v>53.757982278480959</v>
      </c>
      <c r="AB41" s="30">
        <f t="shared" ref="AB41" si="60">M43</f>
        <v>43.133869047619051</v>
      </c>
      <c r="AC41" s="30">
        <f t="shared" ref="AC41" si="61">N43</f>
        <v>37.998191685912239</v>
      </c>
      <c r="AD41" s="30">
        <f t="shared" ref="AD41" si="62">O43</f>
        <v>74.465150990099019</v>
      </c>
    </row>
    <row r="42" spans="1:30" x14ac:dyDescent="0.25">
      <c r="C42" s="4" t="s">
        <v>20</v>
      </c>
      <c r="D42" s="30">
        <f>'[6]2016-2018 Plan_Non-Credit Life'!I15</f>
        <v>31.591679999999997</v>
      </c>
      <c r="E42" s="30">
        <f>'[6]2016-2018 Plan_Non-Credit Life'!J15</f>
        <v>39.315180000000005</v>
      </c>
      <c r="F42" s="30">
        <f>'[6]2016-2018 Plan_Non-Credit Life'!K15</f>
        <v>59.081600000000009</v>
      </c>
      <c r="G42" s="31">
        <f>'[6]2016-2018 Plan_Non-Credit Life'!L15</f>
        <v>47.596799999999995</v>
      </c>
      <c r="H42" s="31">
        <f>'[6]2016-2018 Plan_Non-Credit Life'!M15</f>
        <v>51.539886075949362</v>
      </c>
      <c r="I42" s="31">
        <f>'[6]2016-2018 Plan_Non-Credit Life'!N15</f>
        <v>57.188776683937824</v>
      </c>
      <c r="J42" s="31">
        <f>'[6]2016-2018 Plan_Non-Credit Life'!O15</f>
        <v>45.43280575757575</v>
      </c>
      <c r="K42" s="31">
        <f>'[6]2016-2018 Plan_Non-Credit Life'!P15</f>
        <v>54.767840909090907</v>
      </c>
      <c r="L42" s="31">
        <f>'[6]2016-2018 Plan_Non-Credit Life'!Q15</f>
        <v>64.362162587412584</v>
      </c>
      <c r="M42" s="31">
        <f>'[6]2016-2018 Plan_Non-Credit Life'!R15</f>
        <v>51.614079768664631</v>
      </c>
      <c r="N42" s="31">
        <f>'[6]2016-2018 Plan_Non-Credit Life'!S15</f>
        <v>61.343367424055899</v>
      </c>
      <c r="O42" s="31">
        <f>'[6]2016-2018 Plan_Non-Credit Life'!T15</f>
        <v>74.027469261882231</v>
      </c>
      <c r="R42" s="4" t="s">
        <v>204</v>
      </c>
      <c r="S42" s="30">
        <f>'[5]2017 - 2022 Plan'!Z16</f>
        <v>41.561428571428571</v>
      </c>
      <c r="T42" s="30">
        <f>'[5]2017 - 2022 Plan'!AA16</f>
        <v>20.935006653620352</v>
      </c>
      <c r="U42" s="30">
        <f>'[5]2017 - 2022 Plan'!AB16</f>
        <v>55.798667653589931</v>
      </c>
      <c r="V42" s="31">
        <f>'[5]2017 - 2022 Plan'!AC16</f>
        <v>49.023410087719299</v>
      </c>
      <c r="W42" s="31">
        <f>'[5]2017 - 2022 Plan'!AD16</f>
        <v>55.137353830645161</v>
      </c>
      <c r="X42" s="31">
        <f>'[5]2017 - 2022 Plan'!AE16</f>
        <v>63.435242540322584</v>
      </c>
      <c r="Y42" s="31">
        <f>'[5]2017 - 2022 Plan'!AF16</f>
        <v>28.798846153846153</v>
      </c>
      <c r="Z42" s="31">
        <f>'[5]2017 - 2022 Plan'!AG16</f>
        <v>33.378340080971661</v>
      </c>
      <c r="AA42" s="31">
        <f>'[5]2017 - 2022 Plan'!AH16</f>
        <v>36.907490842490844</v>
      </c>
      <c r="AB42" s="31">
        <f>'[5]2017 - 2022 Plan'!AI16</f>
        <v>31.096400778210114</v>
      </c>
      <c r="AC42" s="31">
        <f>'[5]2017 - 2022 Plan'!AJ16</f>
        <v>35.479961089494161</v>
      </c>
      <c r="AD42" s="31">
        <f>'[5]2017 - 2022 Plan'!AK16</f>
        <v>38.703599221789879</v>
      </c>
    </row>
    <row r="43" spans="1:30" x14ac:dyDescent="0.25">
      <c r="C43" s="4" t="s">
        <v>34</v>
      </c>
      <c r="D43" s="30">
        <f>Data!N125</f>
        <v>30.543546184738958</v>
      </c>
      <c r="E43" s="30">
        <f>Data!O125</f>
        <v>41.306526748971237</v>
      </c>
      <c r="F43" s="30">
        <f>Data!P125</f>
        <v>65.351203389830502</v>
      </c>
      <c r="G43" s="30">
        <f>Data!Q125</f>
        <v>52.524116182572612</v>
      </c>
      <c r="H43" s="30">
        <f>Data!R125</f>
        <v>69.367042918454928</v>
      </c>
      <c r="I43" s="30">
        <f>Data!S125</f>
        <v>68.311141666666657</v>
      </c>
      <c r="J43" s="30">
        <f>Data!T125</f>
        <v>70.257513661202182</v>
      </c>
      <c r="K43" s="30">
        <f>Data!U125</f>
        <v>51.183855329949246</v>
      </c>
      <c r="L43" s="30">
        <f>Data!V125</f>
        <v>53.757982278480959</v>
      </c>
      <c r="M43" s="30">
        <f>Data!W125</f>
        <v>43.133869047619051</v>
      </c>
      <c r="N43" s="30">
        <f>Data!X125</f>
        <v>37.998191685912239</v>
      </c>
      <c r="O43" s="30">
        <f>Data!Y125</f>
        <v>74.465150990099019</v>
      </c>
      <c r="R43" s="4" t="s">
        <v>205</v>
      </c>
      <c r="S43" s="30">
        <f>Data!AN125</f>
        <v>31.270899204244035</v>
      </c>
      <c r="T43" s="30">
        <f>Data!AO125</f>
        <v>56.526516883116884</v>
      </c>
      <c r="U43" s="30">
        <f>Data!AP125</f>
        <v>69.272206896551751</v>
      </c>
      <c r="V43" s="30">
        <f>Data!AQ125</f>
        <v>55.505024038461549</v>
      </c>
      <c r="W43" s="30">
        <f>Data!AR125</f>
        <v>41.522037422037414</v>
      </c>
      <c r="X43" s="30">
        <f>Data!AS125</f>
        <v>33.402969696969699</v>
      </c>
      <c r="Y43" s="30">
        <f>Data!AT125</f>
        <v>96.678108808290162</v>
      </c>
      <c r="Z43" s="30" t="str">
        <f>Data!AU125</f>
        <v/>
      </c>
      <c r="AA43" s="30" t="str">
        <f>Data!AV125</f>
        <v/>
      </c>
      <c r="AB43" s="30" t="str">
        <f>Data!AW125</f>
        <v/>
      </c>
      <c r="AC43" s="30" t="str">
        <f>Data!AX125</f>
        <v/>
      </c>
      <c r="AD43" s="30" t="str">
        <f>Data!AY125</f>
        <v/>
      </c>
    </row>
    <row r="46" spans="1:30" x14ac:dyDescent="0.25">
      <c r="A46" t="s">
        <v>6</v>
      </c>
      <c r="B46" t="s">
        <v>47</v>
      </c>
      <c r="C46" s="4" t="str">
        <f>"APE Performance - " &amp;B46</f>
        <v>APE Performance - TCB</v>
      </c>
      <c r="D46" s="5" t="s">
        <v>21</v>
      </c>
      <c r="E46" s="5" t="s">
        <v>22</v>
      </c>
      <c r="F46" s="5" t="s">
        <v>23</v>
      </c>
      <c r="G46" s="5" t="s">
        <v>24</v>
      </c>
      <c r="H46" s="5" t="s">
        <v>25</v>
      </c>
      <c r="I46" s="5" t="s">
        <v>26</v>
      </c>
      <c r="J46" s="5" t="s">
        <v>27</v>
      </c>
      <c r="K46" s="5" t="s">
        <v>28</v>
      </c>
      <c r="L46" s="5" t="s">
        <v>29</v>
      </c>
      <c r="M46" s="5" t="s">
        <v>30</v>
      </c>
      <c r="N46" s="5" t="s">
        <v>31</v>
      </c>
      <c r="O46" s="5" t="s">
        <v>32</v>
      </c>
      <c r="R46" s="4" t="s">
        <v>175</v>
      </c>
      <c r="S46" s="5" t="s">
        <v>21</v>
      </c>
      <c r="T46" s="5" t="s">
        <v>22</v>
      </c>
      <c r="U46" s="5" t="s">
        <v>23</v>
      </c>
      <c r="V46" s="5" t="s">
        <v>24</v>
      </c>
      <c r="W46" s="5" t="s">
        <v>25</v>
      </c>
      <c r="X46" s="5" t="s">
        <v>26</v>
      </c>
      <c r="Y46" s="5" t="s">
        <v>27</v>
      </c>
      <c r="Z46" s="5" t="s">
        <v>28</v>
      </c>
      <c r="AA46" s="5" t="s">
        <v>29</v>
      </c>
      <c r="AB46" s="5" t="s">
        <v>30</v>
      </c>
      <c r="AC46" s="5" t="s">
        <v>31</v>
      </c>
      <c r="AD46" s="5" t="s">
        <v>32</v>
      </c>
    </row>
    <row r="47" spans="1:30" x14ac:dyDescent="0.25">
      <c r="C47" t="s">
        <v>173</v>
      </c>
      <c r="D47" s="11">
        <f>Data!N6</f>
        <v>5711.9999999999991</v>
      </c>
      <c r="E47" s="11">
        <f>Data!O6</f>
        <v>7395.1950000000006</v>
      </c>
      <c r="F47" s="11">
        <f>Data!P6</f>
        <v>11791.2</v>
      </c>
      <c r="G47" s="11">
        <f>Data!Q6</f>
        <v>9710.4</v>
      </c>
      <c r="H47" s="11">
        <f>Data!R6</f>
        <v>11271</v>
      </c>
      <c r="I47" s="11">
        <f>Data!S6</f>
        <v>14198.4</v>
      </c>
      <c r="J47" s="11">
        <f>Data!T6</f>
        <v>10709.999999999998</v>
      </c>
      <c r="K47" s="11">
        <f>Data!U6</f>
        <v>13770</v>
      </c>
      <c r="L47" s="11">
        <f>Data!V6</f>
        <v>16560.72</v>
      </c>
      <c r="M47" s="11">
        <f>Data!W6</f>
        <v>12602.304000000004</v>
      </c>
      <c r="N47" s="11">
        <f>Data!X6</f>
        <v>15797.760000000006</v>
      </c>
      <c r="O47" s="11">
        <f>Data!Y6</f>
        <v>19590.8</v>
      </c>
      <c r="R47" t="s">
        <v>173</v>
      </c>
      <c r="S47" s="11">
        <f>Data!AN6</f>
        <v>11402.1</v>
      </c>
      <c r="T47" s="11">
        <f>Data!AO6</f>
        <v>6051.4560000000001</v>
      </c>
      <c r="U47" s="11">
        <f>Data!AP6</f>
        <v>16830</v>
      </c>
      <c r="V47" s="11">
        <f>Data!AQ6</f>
        <v>16514.8</v>
      </c>
      <c r="W47" s="11">
        <f>Data!AR6</f>
        <v>19045.949999999997</v>
      </c>
      <c r="X47" s="11">
        <f>Data!AS6</f>
        <v>21478.942800000001</v>
      </c>
      <c r="Y47" s="222">
        <f>Data!AT6</f>
        <v>20795.967777060003</v>
      </c>
      <c r="Z47" s="211">
        <f>Data!AU6</f>
        <v>0</v>
      </c>
      <c r="AA47" s="211">
        <f>Data!AV6</f>
        <v>0</v>
      </c>
      <c r="AB47" s="211">
        <f>Data!AW6</f>
        <v>0</v>
      </c>
      <c r="AC47" s="211">
        <f>Data!AX6</f>
        <v>0</v>
      </c>
      <c r="AD47" s="211">
        <f>Data!AY6</f>
        <v>0</v>
      </c>
    </row>
    <row r="48" spans="1:30" x14ac:dyDescent="0.25">
      <c r="C48" t="s">
        <v>159</v>
      </c>
      <c r="D48" s="11">
        <f>Data!N19</f>
        <v>5683.9350000000004</v>
      </c>
      <c r="E48" s="11">
        <f>Data!O19</f>
        <v>8966.5000000000091</v>
      </c>
      <c r="F48" s="11">
        <f>Data!P19</f>
        <v>14179.177</v>
      </c>
      <c r="G48" s="11">
        <f>Data!Q19</f>
        <v>11771.885</v>
      </c>
      <c r="H48" s="11">
        <f>Data!R19</f>
        <v>15183.444</v>
      </c>
      <c r="I48" s="11">
        <f>Data!S19</f>
        <v>16008.795</v>
      </c>
      <c r="J48" s="11">
        <f>Data!T19</f>
        <v>12956.3</v>
      </c>
      <c r="K48" s="11">
        <f>Data!U19</f>
        <v>16443.667000000001</v>
      </c>
      <c r="L48" s="11">
        <f>Data!V19</f>
        <v>17583.61599999998</v>
      </c>
      <c r="M48" s="11">
        <f>Data!W19</f>
        <v>16589.584999999999</v>
      </c>
      <c r="N48" s="11">
        <f>Data!X19</f>
        <v>12806.273000000001</v>
      </c>
      <c r="O48" s="11">
        <f>Data!Y19</f>
        <v>24589.598000000002</v>
      </c>
      <c r="R48" t="s">
        <v>159</v>
      </c>
      <c r="S48" s="11">
        <f>Data!AN19</f>
        <v>9512.1810000000005</v>
      </c>
      <c r="T48" s="11">
        <f>Data!AO19</f>
        <v>18574.081999999999</v>
      </c>
      <c r="U48" s="11">
        <f>Data!AP19</f>
        <v>22745.040000000008</v>
      </c>
      <c r="V48" s="11">
        <f>Data!AQ19</f>
        <v>17763.730000000003</v>
      </c>
      <c r="W48" s="11">
        <f>Data!AR19</f>
        <v>14982.839999999998</v>
      </c>
      <c r="X48" s="11">
        <f>Data!AS19</f>
        <v>13542.25</v>
      </c>
      <c r="Y48" s="222">
        <f>Data!AT19</f>
        <v>15373.438</v>
      </c>
      <c r="Z48" s="211">
        <f>Data!AU19</f>
        <v>0</v>
      </c>
      <c r="AA48" s="211">
        <f>Data!AV19</f>
        <v>0</v>
      </c>
      <c r="AB48" s="211">
        <f>Data!AW19</f>
        <v>0</v>
      </c>
      <c r="AC48" s="211">
        <f>Data!AX19</f>
        <v>0</v>
      </c>
      <c r="AD48" s="211">
        <f>Data!AY19</f>
        <v>0</v>
      </c>
    </row>
    <row r="49" spans="2:30" x14ac:dyDescent="0.25">
      <c r="C49" t="s">
        <v>174</v>
      </c>
      <c r="D49" s="14">
        <f>D48/D47</f>
        <v>0.99508665966386578</v>
      </c>
      <c r="E49" s="14">
        <f t="shared" ref="E49:K49" si="63">E48/E47</f>
        <v>1.2124764796601049</v>
      </c>
      <c r="F49" s="14">
        <f t="shared" si="63"/>
        <v>1.2025219655336181</v>
      </c>
      <c r="G49" s="14">
        <f t="shared" si="63"/>
        <v>1.2122966098203989</v>
      </c>
      <c r="H49" s="14">
        <f t="shared" si="63"/>
        <v>1.3471248336438648</v>
      </c>
      <c r="I49" s="14">
        <f t="shared" si="63"/>
        <v>1.1275069726166329</v>
      </c>
      <c r="J49" s="14">
        <f t="shared" si="63"/>
        <v>1.2097385620915033</v>
      </c>
      <c r="K49" s="14">
        <f t="shared" si="63"/>
        <v>1.1941660856935368</v>
      </c>
      <c r="L49" s="14">
        <f t="shared" ref="L49:M49" si="64">L48/L47</f>
        <v>1.061766396630097</v>
      </c>
      <c r="M49" s="14">
        <f t="shared" si="64"/>
        <v>1.3163930182925276</v>
      </c>
      <c r="N49" s="14">
        <f t="shared" ref="N49:O49" si="65">N48/N47</f>
        <v>0.81063853356425197</v>
      </c>
      <c r="O49" s="14">
        <f t="shared" si="65"/>
        <v>1.2551604834922516</v>
      </c>
      <c r="R49" t="s">
        <v>174</v>
      </c>
      <c r="S49" s="14">
        <f>S48/S47</f>
        <v>0.83424816481174524</v>
      </c>
      <c r="T49" s="14">
        <f t="shared" ref="T49:AD49" si="66">T48/T47</f>
        <v>3.0693575232142476</v>
      </c>
      <c r="U49" s="14">
        <f t="shared" si="66"/>
        <v>1.3514581105169345</v>
      </c>
      <c r="V49" s="14">
        <f t="shared" si="66"/>
        <v>1.0756248940344422</v>
      </c>
      <c r="W49" s="14">
        <f t="shared" si="66"/>
        <v>0.7866680317862853</v>
      </c>
      <c r="X49" s="14">
        <f t="shared" si="66"/>
        <v>0.6304895974675252</v>
      </c>
      <c r="Y49" s="223">
        <f t="shared" si="66"/>
        <v>0.73925090502200208</v>
      </c>
      <c r="Z49" s="216" t="e">
        <f t="shared" si="66"/>
        <v>#DIV/0!</v>
      </c>
      <c r="AA49" s="216" t="e">
        <f t="shared" si="66"/>
        <v>#DIV/0!</v>
      </c>
      <c r="AB49" s="216" t="e">
        <f t="shared" si="66"/>
        <v>#DIV/0!</v>
      </c>
      <c r="AC49" s="216" t="e">
        <f t="shared" si="66"/>
        <v>#DIV/0!</v>
      </c>
      <c r="AD49" s="216" t="e">
        <f t="shared" si="66"/>
        <v>#DIV/0!</v>
      </c>
    </row>
    <row r="50" spans="2:30" x14ac:dyDescent="0.25">
      <c r="C50" t="s">
        <v>176</v>
      </c>
      <c r="D50" s="14">
        <f>D49</f>
        <v>0.99508665966386578</v>
      </c>
      <c r="E50" s="14">
        <f>SUM($D48:E48)/SUM($D47:E47)</f>
        <v>1.1177399130782757</v>
      </c>
      <c r="F50" s="14">
        <f>SUM($D48:F48)/SUM($D47:F47)</f>
        <v>1.1578903780745711</v>
      </c>
      <c r="G50" s="14">
        <f>SUM($D48:G48)/SUM($D47:G47)</f>
        <v>1.1731554652509575</v>
      </c>
      <c r="H50" s="14">
        <f>SUM($D48:H48)/SUM($D47:H47)</f>
        <v>1.2158934232378329</v>
      </c>
      <c r="I50" s="14">
        <f>SUM($D48:I48)/SUM($D47:I47)</f>
        <v>1.1950048765612882</v>
      </c>
      <c r="J50" s="14">
        <f>SUM($D48:J48)/SUM($D47:J47)</f>
        <v>1.197234030335143</v>
      </c>
      <c r="K50" s="14">
        <f>SUM($D48:K48)/SUM($D47:K47)</f>
        <v>1.1967344265094593</v>
      </c>
      <c r="L50" s="14">
        <f>SUM($D48:L48)/SUM($D47:L47)</f>
        <v>1.1746300778642651</v>
      </c>
      <c r="M50" s="14">
        <f>SUM($D48:M48)/SUM($D47:M47)</f>
        <v>1.1903398960223948</v>
      </c>
      <c r="N50" s="14">
        <f>SUM($D48:N48)/SUM($D47:N47)</f>
        <v>1.1440267530212693</v>
      </c>
      <c r="O50" s="14">
        <f>SUM($D48:O48)/SUM($D47:O47)</f>
        <v>1.1586280669090117</v>
      </c>
      <c r="R50" t="s">
        <v>176</v>
      </c>
      <c r="S50" s="14">
        <f>S49</f>
        <v>0.83424816481174524</v>
      </c>
      <c r="T50" s="14">
        <f>SUM($D48:T48)/SUM($D47:T47)</f>
        <v>1.2058418378810676</v>
      </c>
      <c r="U50" s="14">
        <f>SUM($D48:U48)/SUM($D47:U47)</f>
        <v>1.2192050381765507</v>
      </c>
      <c r="V50" s="14">
        <f>SUM($D48:V48)/SUM($D47:V47)</f>
        <v>1.207343603100494</v>
      </c>
      <c r="W50" s="14">
        <f>SUM($D48:W48)/SUM($D47:W47)</f>
        <v>1.1707506987138421</v>
      </c>
      <c r="X50" s="14">
        <f>SUM($D48:X48)/SUM($D47:X47)</f>
        <v>1.122486791725209</v>
      </c>
      <c r="Y50" s="14">
        <f>SUM($D48:Y48)/SUM($D47:Y47)</f>
        <v>1.0919780760549307</v>
      </c>
      <c r="Z50" s="14">
        <f>SUM($D48:Z48)/SUM($D47:Z47)</f>
        <v>1.0919780760549307</v>
      </c>
      <c r="AA50" s="14">
        <f>SUM($D48:AA48)/SUM($D47:AA47)</f>
        <v>1.0919780760549307</v>
      </c>
      <c r="AB50" s="14">
        <f>SUM($D48:AB48)/SUM($D47:AB47)</f>
        <v>1.0919780760549307</v>
      </c>
      <c r="AC50" s="14">
        <f>SUM($D48:AC48)/SUM($D47:AC47)</f>
        <v>1.0919780760549307</v>
      </c>
      <c r="AD50" s="14">
        <f>SUM($D48:AD48)/SUM($D47:AD47)</f>
        <v>1.0919780760549307</v>
      </c>
    </row>
    <row r="52" spans="2:30" x14ac:dyDescent="0.25">
      <c r="B52" t="s">
        <v>116</v>
      </c>
      <c r="C52" s="4" t="str">
        <f>"APE Performance - " &amp;B52</f>
        <v>APE Performance - EIB</v>
      </c>
      <c r="D52" s="5" t="s">
        <v>21</v>
      </c>
      <c r="E52" s="5" t="s">
        <v>22</v>
      </c>
      <c r="F52" s="5" t="s">
        <v>23</v>
      </c>
      <c r="G52" s="5" t="s">
        <v>24</v>
      </c>
      <c r="H52" s="5" t="s">
        <v>25</v>
      </c>
      <c r="I52" s="5" t="s">
        <v>26</v>
      </c>
      <c r="J52" s="5" t="s">
        <v>27</v>
      </c>
      <c r="K52" s="5" t="s">
        <v>28</v>
      </c>
      <c r="L52" s="5" t="s">
        <v>29</v>
      </c>
      <c r="M52" s="5" t="s">
        <v>30</v>
      </c>
      <c r="N52" s="5" t="s">
        <v>31</v>
      </c>
      <c r="O52" s="5" t="s">
        <v>32</v>
      </c>
      <c r="R52" s="4" t="s">
        <v>175</v>
      </c>
      <c r="S52" s="5" t="s">
        <v>21</v>
      </c>
      <c r="T52" s="5" t="s">
        <v>22</v>
      </c>
      <c r="U52" s="5" t="s">
        <v>23</v>
      </c>
      <c r="V52" s="5" t="s">
        <v>24</v>
      </c>
      <c r="W52" s="5" t="s">
        <v>25</v>
      </c>
      <c r="X52" s="5" t="s">
        <v>26</v>
      </c>
      <c r="Y52" s="5" t="s">
        <v>27</v>
      </c>
      <c r="Z52" s="5" t="s">
        <v>28</v>
      </c>
      <c r="AA52" s="5" t="s">
        <v>29</v>
      </c>
      <c r="AB52" s="5" t="s">
        <v>30</v>
      </c>
      <c r="AC52" s="5" t="s">
        <v>31</v>
      </c>
      <c r="AD52" s="5" t="s">
        <v>32</v>
      </c>
    </row>
    <row r="53" spans="2:30" x14ac:dyDescent="0.25">
      <c r="C53" t="s">
        <v>173</v>
      </c>
      <c r="D53" s="11"/>
      <c r="E53" s="11"/>
      <c r="F53" s="11"/>
      <c r="G53" s="11"/>
      <c r="H53" s="11">
        <f>Data!R8</f>
        <v>2286.8999999999996</v>
      </c>
      <c r="I53" s="11">
        <f>Data!S8</f>
        <v>2499.2550000000001</v>
      </c>
      <c r="J53" s="11">
        <f>Data!T8</f>
        <v>2379.2907600000003</v>
      </c>
      <c r="K53" s="11">
        <f>Data!U8</f>
        <v>2494.7999999999997</v>
      </c>
      <c r="L53" s="11">
        <f>Data!V8</f>
        <v>4143.1500000000005</v>
      </c>
      <c r="M53" s="11">
        <f>Data!W8</f>
        <v>4036.8635832571208</v>
      </c>
      <c r="N53" s="11">
        <f>Data!X8</f>
        <v>4226.2327624199761</v>
      </c>
      <c r="O53" s="11">
        <f>Data!Y8</f>
        <v>4874.7968577224747</v>
      </c>
      <c r="R53" t="s">
        <v>173</v>
      </c>
      <c r="S53" s="11">
        <f>Data!AN8</f>
        <v>3539.25</v>
      </c>
      <c r="T53" s="11">
        <f>Data!AO8</f>
        <v>1361.25</v>
      </c>
      <c r="U53" s="11">
        <f>Data!AP8</f>
        <v>3702.6</v>
      </c>
      <c r="V53" s="11">
        <f>Data!AQ8</f>
        <v>3430.35</v>
      </c>
      <c r="W53" s="11">
        <f>Data!AR8</f>
        <v>4070.1374999999998</v>
      </c>
      <c r="X53" s="11">
        <f>Data!AS8</f>
        <v>5104.6875</v>
      </c>
      <c r="Y53" s="11">
        <f>Data!AT8</f>
        <v>4608.45</v>
      </c>
      <c r="Z53" s="11">
        <f>Data!AU8</f>
        <v>5768.4</v>
      </c>
      <c r="AA53" s="11">
        <f>Data!AV8</f>
        <v>6661.875</v>
      </c>
      <c r="AB53" s="11">
        <f>Data!AW8</f>
        <v>5336.1</v>
      </c>
      <c r="AC53" s="11">
        <f>Data!AX8</f>
        <v>6679.1999999999989</v>
      </c>
      <c r="AD53" s="11">
        <f>Data!AY8</f>
        <v>7713.75</v>
      </c>
    </row>
    <row r="54" spans="2:30" x14ac:dyDescent="0.25">
      <c r="C54" t="s">
        <v>159</v>
      </c>
      <c r="D54" s="11"/>
      <c r="E54" s="11"/>
      <c r="F54" s="11"/>
      <c r="G54" s="11"/>
      <c r="H54" s="11"/>
      <c r="I54" s="11"/>
      <c r="J54" s="11"/>
      <c r="K54" s="11">
        <f>Data!U$20</f>
        <v>3008.45</v>
      </c>
      <c r="L54" s="11">
        <f>Data!V$20</f>
        <v>3026.7269999999999</v>
      </c>
      <c r="M54" s="11">
        <f>Data!W$20</f>
        <v>4662.5019999999995</v>
      </c>
      <c r="N54" s="11">
        <f>Data!X$20</f>
        <v>3282.4009999999994</v>
      </c>
      <c r="O54" s="11">
        <f>Data!Y$20</f>
        <v>5359.4579999999996</v>
      </c>
      <c r="R54" t="s">
        <v>159</v>
      </c>
      <c r="S54" s="11">
        <f>Data!AN20</f>
        <v>2313.453</v>
      </c>
      <c r="T54" s="11">
        <f>Data!AO20</f>
        <v>2976.6620000000003</v>
      </c>
      <c r="U54" s="11">
        <f>Data!AP20</f>
        <v>6331.84</v>
      </c>
      <c r="V54" s="11">
        <f>Data!AQ20</f>
        <v>4179.01</v>
      </c>
      <c r="W54" s="11">
        <f>Data!AR20</f>
        <v>3670.7300000000005</v>
      </c>
      <c r="X54" s="11">
        <f>Data!AS20</f>
        <v>1414.4699999999998</v>
      </c>
      <c r="Y54" s="11">
        <f>Data!AT20</f>
        <v>2343.444</v>
      </c>
      <c r="Z54" s="11">
        <f>Data!AU20</f>
        <v>0</v>
      </c>
      <c r="AA54" s="11">
        <f>Data!AV20</f>
        <v>0</v>
      </c>
      <c r="AB54" s="11">
        <f>Data!AW20</f>
        <v>0</v>
      </c>
      <c r="AC54" s="11">
        <f>Data!AX20</f>
        <v>0</v>
      </c>
      <c r="AD54" s="11">
        <f>Data!AY20</f>
        <v>0</v>
      </c>
    </row>
    <row r="55" spans="2:30" x14ac:dyDescent="0.25">
      <c r="C55" t="s">
        <v>174</v>
      </c>
      <c r="D55" s="14"/>
      <c r="E55" s="14"/>
      <c r="F55" s="14"/>
      <c r="G55" s="14"/>
      <c r="H55" s="14">
        <f t="shared" ref="H55:N55" si="67">H54/H53</f>
        <v>0</v>
      </c>
      <c r="I55" s="14">
        <f t="shared" si="67"/>
        <v>0</v>
      </c>
      <c r="J55" s="14">
        <f t="shared" si="67"/>
        <v>0</v>
      </c>
      <c r="K55" s="14">
        <f t="shared" si="67"/>
        <v>1.2058882475549142</v>
      </c>
      <c r="L55" s="14">
        <f t="shared" si="67"/>
        <v>0.73053763440860198</v>
      </c>
      <c r="M55" s="14">
        <f t="shared" si="67"/>
        <v>1.1549813125560429</v>
      </c>
      <c r="N55" s="14">
        <f t="shared" si="67"/>
        <v>0.77667302879940503</v>
      </c>
      <c r="O55" s="14">
        <f t="shared" ref="O55" si="68">O54/O53</f>
        <v>1.0994218131386835</v>
      </c>
      <c r="R55" t="s">
        <v>174</v>
      </c>
      <c r="S55" s="14">
        <f t="shared" ref="S55:V55" si="69">S54/S53</f>
        <v>0.65365628311082857</v>
      </c>
      <c r="T55" s="14">
        <f t="shared" si="69"/>
        <v>2.186712213039486</v>
      </c>
      <c r="U55" s="14">
        <f t="shared" si="69"/>
        <v>1.7101064117106899</v>
      </c>
      <c r="V55" s="14">
        <f t="shared" si="69"/>
        <v>1.2182459515792849</v>
      </c>
      <c r="W55" s="14">
        <f t="shared" ref="W55:AD55" si="70">W54/W53</f>
        <v>0.9018687943589131</v>
      </c>
      <c r="X55" s="14">
        <f t="shared" si="70"/>
        <v>0.27709237832874195</v>
      </c>
      <c r="Y55" s="14">
        <f t="shared" si="70"/>
        <v>0.5085102366305374</v>
      </c>
      <c r="Z55" s="14">
        <f t="shared" si="70"/>
        <v>0</v>
      </c>
      <c r="AA55" s="14">
        <f t="shared" si="70"/>
        <v>0</v>
      </c>
      <c r="AB55" s="14">
        <f t="shared" si="70"/>
        <v>0</v>
      </c>
      <c r="AC55" s="14">
        <f t="shared" si="70"/>
        <v>0</v>
      </c>
      <c r="AD55" s="14">
        <f t="shared" si="70"/>
        <v>0</v>
      </c>
    </row>
    <row r="56" spans="2:30" x14ac:dyDescent="0.25">
      <c r="C56" t="s">
        <v>176</v>
      </c>
      <c r="D56" s="14"/>
      <c r="E56" s="14"/>
      <c r="F56" s="14"/>
      <c r="G56" s="14"/>
      <c r="H56" s="14">
        <f>SUM($D54:H54)/SUM($D53:H53)</f>
        <v>0</v>
      </c>
      <c r="I56" s="14">
        <f>SUM($D54:I54)/SUM($D53:I53)</f>
        <v>0</v>
      </c>
      <c r="J56" s="14">
        <f>SUM($D54:J54)/SUM($D53:J53)</f>
        <v>0</v>
      </c>
      <c r="K56" s="14">
        <f>SUM($D54:K54)/SUM($D53:K53)</f>
        <v>0.31142582442954325</v>
      </c>
      <c r="L56" s="14">
        <f>SUM($D54:L54)/SUM($D53:L53)</f>
        <v>0.43722407912761313</v>
      </c>
      <c r="M56" s="14">
        <f>SUM($D54:M54)/SUM($D53:M53)</f>
        <v>0.59963696682712631</v>
      </c>
      <c r="N56" s="14">
        <f>SUM($D54:N54)/SUM($D53:N53)</f>
        <v>0.63354338030027502</v>
      </c>
      <c r="O56" s="14">
        <f>SUM($D54:O54)/SUM($D53:O53)</f>
        <v>0.71784011619760502</v>
      </c>
      <c r="R56" t="s">
        <v>176</v>
      </c>
      <c r="S56" s="14">
        <f>SUM($S54:S54)/SUM($S53:S53)</f>
        <v>0.65365628311082857</v>
      </c>
      <c r="T56" s="14">
        <f>SUM($S54:T54)/SUM($S53:T53)</f>
        <v>1.0795051525354555</v>
      </c>
      <c r="U56" s="14">
        <f>SUM($S54:U54)/SUM($S53:U53)</f>
        <v>1.3509031628134045</v>
      </c>
      <c r="V56" s="14">
        <f>SUM($S54:V54)/SUM($S53:V53)</f>
        <v>1.3130868537285649</v>
      </c>
      <c r="W56" s="14">
        <f>SUM($S54:W54)/SUM($S53:W53)</f>
        <v>1.2091526189428285</v>
      </c>
      <c r="X56" s="14">
        <f>SUM($S54:X54)/SUM($S53:X53)</f>
        <v>0.98481206038680658</v>
      </c>
      <c r="Y56" s="14">
        <f>SUM($S54:Y54)/SUM($S53:Y53)</f>
        <v>0.89978914831373846</v>
      </c>
      <c r="Z56" s="14">
        <f>SUM($S54:Z54)/SUM($S53:Z53)</f>
        <v>0.73546041055718481</v>
      </c>
      <c r="AA56" s="14">
        <f>SUM($S54:AA54)/SUM($S53:AA53)</f>
        <v>0.60735767511177352</v>
      </c>
      <c r="AB56" s="14">
        <f>SUM($S54:AB54)/SUM($S53:AB53)</f>
        <v>0.53299579424134591</v>
      </c>
      <c r="AC56" s="14">
        <f>SUM($S54:AC54)/SUM($S53:AC53)</f>
        <v>0.46216764851588571</v>
      </c>
      <c r="AD56" s="14">
        <f>SUM($S54:AD54)/SUM($S53:AD53)</f>
        <v>0.40067595153515984</v>
      </c>
    </row>
    <row r="58" spans="2:30" x14ac:dyDescent="0.25">
      <c r="B58" t="s">
        <v>208</v>
      </c>
      <c r="C58" s="4" t="str">
        <f>"APE Performance - " &amp;B58</f>
        <v>APE Performance - OCB</v>
      </c>
      <c r="D58" s="5" t="s">
        <v>21</v>
      </c>
      <c r="E58" s="5" t="s">
        <v>22</v>
      </c>
      <c r="F58" s="5" t="s">
        <v>23</v>
      </c>
      <c r="G58" s="5" t="s">
        <v>24</v>
      </c>
      <c r="H58" s="5" t="s">
        <v>25</v>
      </c>
      <c r="I58" s="5" t="s">
        <v>26</v>
      </c>
      <c r="J58" s="5" t="s">
        <v>27</v>
      </c>
      <c r="K58" s="5" t="s">
        <v>28</v>
      </c>
      <c r="L58" s="5" t="s">
        <v>29</v>
      </c>
      <c r="M58" s="5" t="s">
        <v>30</v>
      </c>
      <c r="N58" s="5" t="s">
        <v>31</v>
      </c>
      <c r="O58" s="5" t="s">
        <v>32</v>
      </c>
      <c r="R58" s="4" t="s">
        <v>175</v>
      </c>
      <c r="S58" s="5" t="s">
        <v>21</v>
      </c>
      <c r="T58" s="5" t="s">
        <v>22</v>
      </c>
      <c r="U58" s="5" t="s">
        <v>23</v>
      </c>
      <c r="V58" s="5" t="s">
        <v>24</v>
      </c>
      <c r="W58" s="5" t="s">
        <v>25</v>
      </c>
      <c r="X58" s="5" t="s">
        <v>26</v>
      </c>
      <c r="Y58" s="5" t="s">
        <v>27</v>
      </c>
      <c r="Z58" s="5" t="s">
        <v>28</v>
      </c>
      <c r="AA58" s="5" t="s">
        <v>29</v>
      </c>
      <c r="AB58" s="5" t="s">
        <v>30</v>
      </c>
      <c r="AC58" s="5" t="s">
        <v>31</v>
      </c>
      <c r="AD58" s="5" t="s">
        <v>32</v>
      </c>
    </row>
    <row r="59" spans="2:30" x14ac:dyDescent="0.25">
      <c r="C59" t="s">
        <v>173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R59" t="s">
        <v>173</v>
      </c>
      <c r="S59" s="11">
        <f>Data!AN10</f>
        <v>0</v>
      </c>
      <c r="T59" s="11">
        <f>Data!AO10</f>
        <v>0</v>
      </c>
      <c r="U59" s="11">
        <f>Data!AP10</f>
        <v>491.40000000000003</v>
      </c>
      <c r="V59" s="11">
        <f>Data!AQ10</f>
        <v>491.40000000000003</v>
      </c>
      <c r="W59" s="11">
        <f>Data!AR10</f>
        <v>540.54000000000008</v>
      </c>
      <c r="X59" s="11">
        <f>Data!AS10</f>
        <v>661.5</v>
      </c>
      <c r="Y59" s="11">
        <f>Data!AT10</f>
        <v>582.12000000000012</v>
      </c>
      <c r="Z59" s="11">
        <f>Data!AU10</f>
        <v>661.5</v>
      </c>
      <c r="AA59" s="11">
        <f>Data!AV10</f>
        <v>918.54000000000019</v>
      </c>
      <c r="AB59" s="11">
        <f>Data!AW10</f>
        <v>815.84999999999991</v>
      </c>
      <c r="AC59" s="11">
        <f>Data!AX10</f>
        <v>932.40000000000009</v>
      </c>
      <c r="AD59" s="11">
        <f>Data!AY10</f>
        <v>1256.8500000000001</v>
      </c>
    </row>
    <row r="60" spans="2:30" x14ac:dyDescent="0.25">
      <c r="C60" t="s">
        <v>159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R60" t="s">
        <v>159</v>
      </c>
      <c r="S60" s="11">
        <f>Data!AN22</f>
        <v>0</v>
      </c>
      <c r="T60" s="11">
        <f>Data!AO22</f>
        <v>0</v>
      </c>
      <c r="U60" s="11">
        <f>Data!AP22</f>
        <v>727.29</v>
      </c>
      <c r="V60" s="11">
        <f>Data!AQ22</f>
        <v>844.96999999999991</v>
      </c>
      <c r="W60" s="11">
        <f>Data!AR22</f>
        <v>901.76</v>
      </c>
      <c r="X60" s="11">
        <f>Data!AS22</f>
        <v>1369.42</v>
      </c>
      <c r="Y60" s="11">
        <f>Data!AT22</f>
        <v>609.53</v>
      </c>
      <c r="Z60" s="11">
        <f>Data!AU22</f>
        <v>0</v>
      </c>
      <c r="AA60" s="11">
        <f>Data!AV22</f>
        <v>0</v>
      </c>
      <c r="AB60" s="11">
        <f>Data!AW22</f>
        <v>0</v>
      </c>
      <c r="AC60" s="11">
        <f>Data!AX22</f>
        <v>0</v>
      </c>
      <c r="AD60" s="11">
        <f>Data!AY22</f>
        <v>0</v>
      </c>
    </row>
    <row r="61" spans="2:30" x14ac:dyDescent="0.25">
      <c r="C61" t="s">
        <v>174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R61" t="s">
        <v>174</v>
      </c>
      <c r="S61" s="14" t="e">
        <f t="shared" ref="S61:AD61" si="71">S60/S59</f>
        <v>#DIV/0!</v>
      </c>
      <c r="T61" s="14" t="e">
        <f t="shared" si="71"/>
        <v>#DIV/0!</v>
      </c>
      <c r="U61" s="14">
        <f t="shared" si="71"/>
        <v>1.4800366300366299</v>
      </c>
      <c r="V61" s="14">
        <f t="shared" si="71"/>
        <v>1.7195156695156693</v>
      </c>
      <c r="W61" s="14">
        <f t="shared" si="71"/>
        <v>1.668257668257668</v>
      </c>
      <c r="X61" s="14">
        <f t="shared" si="71"/>
        <v>2.0701738473167044</v>
      </c>
      <c r="Y61" s="14">
        <f t="shared" si="71"/>
        <v>1.0470865113722254</v>
      </c>
      <c r="Z61" s="14">
        <f t="shared" si="71"/>
        <v>0</v>
      </c>
      <c r="AA61" s="14">
        <f t="shared" si="71"/>
        <v>0</v>
      </c>
      <c r="AB61" s="14">
        <f t="shared" si="71"/>
        <v>0</v>
      </c>
      <c r="AC61" s="14">
        <f t="shared" si="71"/>
        <v>0</v>
      </c>
      <c r="AD61" s="14">
        <f t="shared" si="71"/>
        <v>0</v>
      </c>
    </row>
    <row r="62" spans="2:30" x14ac:dyDescent="0.25">
      <c r="C62" t="s">
        <v>176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R62" t="s">
        <v>176</v>
      </c>
      <c r="S62" s="14" t="e">
        <f>SUM($S60:S60)/SUM($S59:S59)</f>
        <v>#DIV/0!</v>
      </c>
      <c r="T62" s="14" t="e">
        <f>SUM($S60:T60)/SUM($S59:T59)</f>
        <v>#DIV/0!</v>
      </c>
      <c r="U62" s="14">
        <f>SUM($S60:U60)/SUM($S59:U59)</f>
        <v>1.4800366300366299</v>
      </c>
      <c r="V62" s="14">
        <f>SUM($S60:V60)/SUM($S59:V59)</f>
        <v>1.5997761497761493</v>
      </c>
      <c r="W62" s="14">
        <f>SUM($S60:W60)/SUM($S59:W59)</f>
        <v>1.6240760434308816</v>
      </c>
      <c r="X62" s="14">
        <f>SUM($S60:X60)/SUM($S59:X59)</f>
        <v>1.7591402574101533</v>
      </c>
      <c r="Y62" s="14">
        <f>SUM($S60:Y60)/SUM($S59:Y59)</f>
        <v>1.6093366004568188</v>
      </c>
      <c r="Z62" s="14">
        <f>SUM($S60:Z60)/SUM($S59:Z59)</f>
        <v>1.2988251284833421</v>
      </c>
      <c r="AA62" s="14">
        <f>SUM($S60:AA60)/SUM($S59:AA59)</f>
        <v>1.0243777317690359</v>
      </c>
      <c r="AB62" s="14">
        <f>SUM($S60:AB60)/SUM($S59:AB59)</f>
        <v>0.86250230008619255</v>
      </c>
      <c r="AC62" s="14">
        <f>SUM($S60:AC60)/SUM($S59:AC59)</f>
        <v>0.73056396374225818</v>
      </c>
      <c r="AD62" s="14">
        <f>SUM($S60:AD60)/SUM($S59:AD59)</f>
        <v>0.60567320901511124</v>
      </c>
    </row>
    <row r="64" spans="2:30" x14ac:dyDescent="0.25">
      <c r="B64" t="s">
        <v>201</v>
      </c>
      <c r="C64" s="4" t="str">
        <f>"APE Performance - " &amp;B64</f>
        <v>APE Performance - CMG</v>
      </c>
      <c r="D64" s="5" t="s">
        <v>21</v>
      </c>
      <c r="E64" s="5" t="s">
        <v>22</v>
      </c>
      <c r="F64" s="5" t="s">
        <v>23</v>
      </c>
      <c r="G64" s="5" t="s">
        <v>24</v>
      </c>
      <c r="H64" s="5" t="s">
        <v>25</v>
      </c>
      <c r="I64" s="5" t="s">
        <v>26</v>
      </c>
      <c r="J64" s="5" t="s">
        <v>27</v>
      </c>
      <c r="K64" s="5" t="s">
        <v>28</v>
      </c>
      <c r="L64" s="5" t="s">
        <v>29</v>
      </c>
      <c r="M64" s="5" t="s">
        <v>30</v>
      </c>
      <c r="N64" s="5" t="s">
        <v>31</v>
      </c>
      <c r="O64" s="5" t="s">
        <v>32</v>
      </c>
      <c r="R64" s="4" t="s">
        <v>175</v>
      </c>
      <c r="S64" s="5" t="s">
        <v>21</v>
      </c>
      <c r="T64" s="5" t="s">
        <v>22</v>
      </c>
      <c r="U64" s="5" t="s">
        <v>23</v>
      </c>
      <c r="V64" s="5" t="s">
        <v>24</v>
      </c>
      <c r="W64" s="5" t="s">
        <v>25</v>
      </c>
      <c r="X64" s="5" t="s">
        <v>26</v>
      </c>
      <c r="Y64" s="5" t="s">
        <v>27</v>
      </c>
      <c r="Z64" s="5" t="s">
        <v>28</v>
      </c>
      <c r="AA64" s="5" t="s">
        <v>29</v>
      </c>
      <c r="AB64" s="5" t="s">
        <v>30</v>
      </c>
      <c r="AC64" s="5" t="s">
        <v>31</v>
      </c>
      <c r="AD64" s="5" t="s">
        <v>32</v>
      </c>
    </row>
    <row r="65" spans="3:30" x14ac:dyDescent="0.25">
      <c r="C65" t="s">
        <v>173</v>
      </c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R65" t="s">
        <v>173</v>
      </c>
      <c r="S65" s="11">
        <f>Data!AN12</f>
        <v>228.57142857142856</v>
      </c>
      <c r="T65" s="11">
        <f>Data!AO12</f>
        <v>228.57142857142856</v>
      </c>
      <c r="U65" s="11">
        <f>Data!AP12</f>
        <v>514.28571428571422</v>
      </c>
      <c r="V65" s="11">
        <f>Data!AQ12</f>
        <v>792</v>
      </c>
      <c r="W65" s="11">
        <f>Data!AR12</f>
        <v>1034.9999999999998</v>
      </c>
      <c r="X65" s="11">
        <f>Data!AS12</f>
        <v>1125</v>
      </c>
      <c r="Y65" s="11">
        <f>Data!AT12</f>
        <v>1458</v>
      </c>
      <c r="Z65" s="11">
        <f>Data!AU12</f>
        <v>1890</v>
      </c>
      <c r="AA65" s="11">
        <f>Data!AV12</f>
        <v>2514.2857142857142</v>
      </c>
      <c r="AB65" s="11">
        <f>Data!AW12</f>
        <v>2232</v>
      </c>
      <c r="AC65" s="11">
        <f>Data!AX12</f>
        <v>2790</v>
      </c>
      <c r="AD65" s="11">
        <f>Data!AY12</f>
        <v>3348</v>
      </c>
    </row>
    <row r="66" spans="3:30" x14ac:dyDescent="0.25">
      <c r="C66" t="s">
        <v>159</v>
      </c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R66" t="s">
        <v>159</v>
      </c>
      <c r="S66" s="11">
        <f>Data!AN23</f>
        <v>33.945999999999998</v>
      </c>
      <c r="T66" s="11">
        <f>Data!AO23</f>
        <v>211.96499999999997</v>
      </c>
      <c r="U66" s="11">
        <f>Data!AP23</f>
        <v>329.24</v>
      </c>
      <c r="V66" s="11">
        <f>Data!AQ23</f>
        <v>319.60000000000002</v>
      </c>
      <c r="W66" s="11">
        <f>Data!AR23</f>
        <v>340.87</v>
      </c>
      <c r="X66" s="11">
        <f>Data!AS23</f>
        <v>91.14</v>
      </c>
      <c r="Y66" s="11">
        <f>Data!AT23</f>
        <v>169.96299999999999</v>
      </c>
      <c r="Z66" s="11">
        <f>Data!AU23</f>
        <v>0</v>
      </c>
      <c r="AA66" s="11">
        <f>Data!AV23</f>
        <v>0</v>
      </c>
      <c r="AB66" s="11">
        <f>Data!AW23</f>
        <v>0</v>
      </c>
      <c r="AC66" s="11">
        <f>Data!AX23</f>
        <v>0</v>
      </c>
      <c r="AD66" s="11">
        <f>Data!AY23</f>
        <v>0</v>
      </c>
    </row>
    <row r="67" spans="3:30" x14ac:dyDescent="0.25">
      <c r="C67" t="s">
        <v>174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R67" t="s">
        <v>174</v>
      </c>
      <c r="S67" s="14">
        <f t="shared" ref="S67:AD67" si="72">S66/S65</f>
        <v>0.14851375</v>
      </c>
      <c r="T67" s="14">
        <f t="shared" si="72"/>
        <v>0.9273468749999999</v>
      </c>
      <c r="U67" s="14">
        <f t="shared" si="72"/>
        <v>0.64018888888888903</v>
      </c>
      <c r="V67" s="14">
        <f t="shared" si="72"/>
        <v>0.40353535353535358</v>
      </c>
      <c r="W67" s="14">
        <f t="shared" si="72"/>
        <v>0.32934299516908222</v>
      </c>
      <c r="X67" s="14">
        <f t="shared" si="72"/>
        <v>8.101333333333334E-2</v>
      </c>
      <c r="Y67" s="14">
        <f t="shared" si="72"/>
        <v>0.11657270233196158</v>
      </c>
      <c r="Z67" s="14">
        <f t="shared" si="72"/>
        <v>0</v>
      </c>
      <c r="AA67" s="14">
        <f t="shared" si="72"/>
        <v>0</v>
      </c>
      <c r="AB67" s="14">
        <f t="shared" si="72"/>
        <v>0</v>
      </c>
      <c r="AC67" s="14">
        <f t="shared" si="72"/>
        <v>0</v>
      </c>
      <c r="AD67" s="14">
        <f t="shared" si="72"/>
        <v>0</v>
      </c>
    </row>
    <row r="68" spans="3:30" x14ac:dyDescent="0.25">
      <c r="C68" t="s">
        <v>176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R68" t="s">
        <v>176</v>
      </c>
      <c r="S68" s="14">
        <f>SUM($S66:S66)/SUM($S65:S65)</f>
        <v>0.14851375</v>
      </c>
      <c r="T68" s="14">
        <f>SUM($S66:T66)/SUM($S65:T65)</f>
        <v>0.53793031250000001</v>
      </c>
      <c r="U68" s="14">
        <f>SUM($S66:U66)/SUM($S65:U65)</f>
        <v>0.59206720588235295</v>
      </c>
      <c r="V68" s="14">
        <f>SUM($S66:V66)/SUM($S65:V65)</f>
        <v>0.50739282242384964</v>
      </c>
      <c r="W68" s="14">
        <f>SUM($S66:W66)/SUM($S65:W65)</f>
        <v>0.44154101791821948</v>
      </c>
      <c r="X68" s="14">
        <f>SUM($S66:X66)/SUM($S65:X65)</f>
        <v>0.33816366880279647</v>
      </c>
      <c r="Y68" s="14">
        <f>SUM($S66:Y66)/SUM($S65:Y65)</f>
        <v>0.278127634722591</v>
      </c>
      <c r="Z68" s="14">
        <f>SUM($S66:Z66)/SUM($S65:Z65)</f>
        <v>0.20583630648330065</v>
      </c>
      <c r="AA68" s="14">
        <f>SUM($S66:AA66)/SUM($S65:AA65)</f>
        <v>0.152949897810219</v>
      </c>
      <c r="AB68" s="14">
        <f>SUM($S66:AB66)/SUM($S65:AB65)</f>
        <v>0.12454315058722841</v>
      </c>
      <c r="AC68" s="14">
        <f>SUM($S66:AC66)/SUM($S65:AC65)</f>
        <v>0.10107731491307621</v>
      </c>
      <c r="AD68" s="14">
        <f>SUM($S66:AD66)/SUM($S65:AD65)</f>
        <v>8.2438177669368187E-2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Snapshot</vt:lpstr>
      <vt:lpstr>BANCA Dashboard</vt:lpstr>
      <vt:lpstr>FTM</vt:lpstr>
      <vt:lpstr>Bank Performance</vt:lpstr>
      <vt:lpstr>Rider Performance</vt:lpstr>
      <vt:lpstr>RM Performance</vt:lpstr>
      <vt:lpstr>Bank Performance (2017)</vt:lpstr>
      <vt:lpstr>Data</vt:lpstr>
      <vt:lpstr>Data_Chart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Tung Nguyen</cp:lastModifiedBy>
  <dcterms:created xsi:type="dcterms:W3CDTF">2016-07-06T03:30:57Z</dcterms:created>
  <dcterms:modified xsi:type="dcterms:W3CDTF">2017-08-11T04:29:35Z</dcterms:modified>
</cp:coreProperties>
</file>